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6"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收益法倒推租金-商业" sheetId="78" r:id="rId17"/>
    <sheet name="收益法倒推租金-商业单租" sheetId="89" state="hidden" r:id="rId18"/>
    <sheet name="收益法倒推租金-酒店" sheetId="90" r:id="rId19"/>
    <sheet name="各层租金" sheetId="88" state="hidden" r:id="rId20"/>
    <sheet name="收益法倒推租金-仓储" sheetId="87" r:id="rId21"/>
    <sheet name="商业总体租金" sheetId="91" r:id="rId22"/>
    <sheet name="Sheet1" sheetId="92" r:id="rId23"/>
    <sheet name="系统读取表" sheetId="74" r:id="rId24"/>
    <sheet name="结果表--商业" sheetId="9" r:id="rId25"/>
    <sheet name="比较法-住宅" sheetId="21" state="hidden" r:id="rId26"/>
    <sheet name="比较法-商业" sheetId="33" r:id="rId27"/>
    <sheet name="比较法案例" sheetId="77" r:id="rId28"/>
    <sheet name="典型户型修正" sheetId="31" r:id="rId29"/>
    <sheet name="成本法" sheetId="68" r:id="rId30"/>
    <sheet name="基准地价修正--商业" sheetId="43" r:id="rId31"/>
    <sheet name="结果表--酒店" sheetId="81" r:id="rId32"/>
    <sheet name="收益法-经营" sheetId="82" r:id="rId33"/>
    <sheet name="成本法--酒店" sheetId="83" r:id="rId34"/>
    <sheet name="基准地价修正--酒店" sheetId="84" r:id="rId35"/>
    <sheet name="结果表--仓储" sheetId="80" r:id="rId36"/>
    <sheet name="假设开发法" sheetId="12" state="hidden" r:id="rId37"/>
    <sheet name="收益法" sheetId="15" state="hidden" r:id="rId38"/>
    <sheet name="收益法 (元)" sheetId="67" state="hidden" r:id="rId39"/>
    <sheet name="收益法（汇总）" sheetId="70" state="hidden" r:id="rId40"/>
    <sheet name="酒店收入计算" sheetId="66" state="hidden" r:id="rId41"/>
    <sheet name="比较法-办公" sheetId="34" state="hidden" r:id="rId42"/>
    <sheet name="比较法-工业" sheetId="37" state="hidden" r:id="rId43"/>
    <sheet name="比较法-车位" sheetId="35" state="hidden" r:id="rId44"/>
    <sheet name="比较法-仓储" sheetId="36" r:id="rId45"/>
    <sheet name="土地比较法-住宅、综合" sheetId="39" state="hidden" r:id="rId46"/>
    <sheet name="土地比较法-工业" sheetId="40" state="hidden" r:id="rId47"/>
    <sheet name="成本法--仓储" sheetId="85" r:id="rId48"/>
    <sheet name="成本法 (元)" sheetId="69" state="hidden" r:id="rId49"/>
    <sheet name="基准地价修正--仓储" sheetId="79" r:id="rId50"/>
    <sheet name="仓库案例" sheetId="86" r:id="rId51"/>
    <sheet name="修正" sheetId="45" state="hidden" r:id="rId52"/>
    <sheet name="容积率修正" sheetId="46" state="hidden" r:id="rId53"/>
    <sheet name="基准地价（汇总）" sheetId="76" state="hidden" r:id="rId54"/>
    <sheet name="地价" sheetId="71" state="hidden" r:id="rId55"/>
    <sheet name="成本法（废）" sheetId="11" state="hidden" r:id="rId56"/>
    <sheet name="区片价" sheetId="44" state="hidden" r:id="rId57"/>
    <sheet name="因素修正幅度" sheetId="65" state="hidden" r:id="rId58"/>
    <sheet name="存贷款利率" sheetId="73" state="hidden" r:id="rId59"/>
    <sheet name="区片价（范围）" sheetId="75" state="hidden" r:id="rId60"/>
  </sheets>
  <externalReferences>
    <externalReference r:id="rId61"/>
    <externalReference r:id="rId62"/>
    <externalReference r:id="rId63"/>
    <externalReference r:id="rId64"/>
    <externalReference r:id="rId65"/>
    <externalReference r:id="rId66"/>
    <externalReference r:id="rId67"/>
  </externalReferences>
  <definedNames>
    <definedName name="_xlnm._FilterDatabase" localSheetId="41"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41">'比较法-办公'!$A$1:$K$55,'比较法-办公'!$A$58:$M$132</definedName>
    <definedName name="_xlnm.Print_Area" localSheetId="44">'比较法-仓储'!$A$1:$K$42,'比较法-仓储'!$A$45:$M$96</definedName>
    <definedName name="_xlnm.Print_Area" localSheetId="43">'比较法-车位'!$A$1:$K$44,'比较法-车位'!$A$47:$M$102</definedName>
    <definedName name="_xlnm.Print_Area" localSheetId="4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9">成本法!$A$1:$G$57</definedName>
    <definedName name="_xlnm.Print_Area" localSheetId="48">'成本法 (元)'!$A$1:$G$57</definedName>
    <definedName name="_xlnm.Print_Area" localSheetId="15">估价对象房地状况!$A$1:$G$24</definedName>
    <definedName name="_xlnm.Print_Area" localSheetId="8">估价师及机构信息!$A$1:$G$22</definedName>
    <definedName name="_xlnm.Print_Area" localSheetId="53">'基准地价（汇总）'!$A$1:$E$13</definedName>
    <definedName name="_xlnm.Print_Area" localSheetId="30">'基准地价修正--商业'!$A$1:$J$41,'基准地价修正--商业'!$A$45:$H$88,'基准地价修正--商业'!$R$1:$V$16</definedName>
    <definedName name="_xlnm.Print_Area" localSheetId="36">假设开发法!$A$1:$K$32</definedName>
    <definedName name="_xlnm.Print_Area" localSheetId="24">'结果表--商业'!$A$1:$I$127</definedName>
    <definedName name="_xlnm.Print_Area" localSheetId="37">收益法!$A$1:$F$43,收益法!$H$3:$M$29,收益法!$A$46:$F$71,收益法!$I$46:$N$65</definedName>
    <definedName name="_xlnm.Print_Area" localSheetId="38">'收益法 (元)'!$A$1:$F$43,'收益法 (元)'!$H$3:$M$29,'收益法 (元)'!$A$45:$F$71,'收益法 (元)'!$I$46:$N$65</definedName>
    <definedName name="_xlnm.Print_Area" localSheetId="39">'收益法（汇总）'!$A$1:$F$13</definedName>
    <definedName name="_xlnm.Print_Area" localSheetId="13">'数据-汇总表'!$A$1:$P$32</definedName>
    <definedName name="_xlnm.Print_Area" localSheetId="46">'土地比较法-工业'!$A$1:$K$61,'土地比较法-工业'!$A$64:$M$121</definedName>
    <definedName name="_xlnm.Print_Area" localSheetId="45">'土地比较法-住宅、综合'!$A$1:$K$66,'土地比较法-住宅、综合'!$A$69:$M$132</definedName>
    <definedName name="_xlnm.Print_Area" localSheetId="23">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6">'收益法倒推租金-商业'!$A$1:$I$53</definedName>
    <definedName name="八级" localSheetId="16">[1]区片价!$O$1:$O$40</definedName>
    <definedName name="办公层高" localSheetId="16">'[1]比较法-办公'!$B$119:$M$119</definedName>
    <definedName name="办公朝向" localSheetId="16">'[1]比较法-办公'!$B$91:$M$91</definedName>
    <definedName name="办公道路级别" localSheetId="16">'[1]比较法-办公'!$B$87:$M$87</definedName>
    <definedName name="办公公共部分装修" localSheetId="16">'[1]比较法-办公'!$B$108:$M$108</definedName>
    <definedName name="办公基础设施水平" localSheetId="16">'[1]比较法-办公'!$B$117:$M$117</definedName>
    <definedName name="办公集聚程度" localSheetId="16">[1]定义!$M$1:$M$6</definedName>
    <definedName name="办公建筑结构" localSheetId="16">'[1]比较法-办公'!$B$106:$M$106</definedName>
    <definedName name="办公建筑类型" localSheetId="16">'[1]比较法-办公'!$B$101:$M$101</definedName>
    <definedName name="办公交易情况" localSheetId="16">'[1]比较法-办公'!$A$62:$M$62</definedName>
    <definedName name="办公楼层" localSheetId="16">'[1]比较法-办公'!$B$89:$M$89</definedName>
    <definedName name="办公内部装修" localSheetId="16">'[1]比较法-办公'!$B$123:$M$123</definedName>
    <definedName name="办公物业管理" localSheetId="16">'[1]比较法-办公'!$B$115:$M$115</definedName>
    <definedName name="办公用途" localSheetId="16">'[1]比较法-办公'!$B$64:$M$64</definedName>
    <definedName name="仓储公共部分装修" localSheetId="16">'[1]比较法-仓储'!$B$77:$M$77</definedName>
    <definedName name="仓储交易情况" localSheetId="16">'[1]比较法-仓储'!$A$49:$M$49</definedName>
    <definedName name="仓储楼层" localSheetId="16">'[1]比较法-仓储'!$B$69:$M$69</definedName>
    <definedName name="仓储物业等级" localSheetId="16">'[1]比较法-仓储'!$B$82:$M$82</definedName>
    <definedName name="仓储用途" localSheetId="16">'[1]比较法-仓储'!$B$51:$M$51</definedName>
    <definedName name="产业集聚程度" localSheetId="16">[1]定义!$N$1:$N$6</definedName>
    <definedName name="车位公共部分装修" localSheetId="16">'[1]比较法-车位'!$B$83:$M$83</definedName>
    <definedName name="车位交易情况" localSheetId="16">'[1]比较法-车位'!$A$51:$M$51</definedName>
    <definedName name="车位类型" localSheetId="16">'[1]比较法-车位'!$B$93:$M$93</definedName>
    <definedName name="车位楼层" localSheetId="16">'[1]比较法-车位'!$B$71:$M$71</definedName>
    <definedName name="车位配套类型" localSheetId="16">'[1]比较法-车位'!$B$79:$M$79</definedName>
    <definedName name="车位物业等级" localSheetId="16">'[1]比较法-车位'!$B$88:$M$88</definedName>
    <definedName name="车位用途" localSheetId="16">'[1]比较法-车位'!$B$53:$M$53</definedName>
    <definedName name="城镇土地纳税等级分级范围" localSheetId="16">'[1]数据-取费表'!$A$53:$A$63</definedName>
    <definedName name="单价内涵" localSheetId="16">[1]定义!$V$1:$V$3</definedName>
    <definedName name="地类判定" localSheetId="16">[1]定义!$H$1:$H$9</definedName>
    <definedName name="二级" localSheetId="16">[1]区片价!$I$1:$I$20</definedName>
    <definedName name="二级分类" localSheetId="16">[1]修正!$C$17:$C$39</definedName>
    <definedName name="法定最高年限" localSheetId="16">[1]定义!$G$1:$G$4</definedName>
    <definedName name="工业公共部分装修" localSheetId="16">'[1]比较法-工业'!$B$95:$M$95</definedName>
    <definedName name="工业基础设施水平" localSheetId="16">'[1]比较法-工业'!$B$102:$M$102</definedName>
    <definedName name="工业建筑结构" localSheetId="16">'[1]比较法-工业'!$B$93:$M$93</definedName>
    <definedName name="工业建筑类型" localSheetId="16">'[1]比较法-工业'!$B$88:$M$88</definedName>
    <definedName name="工业交易情况" localSheetId="16">'[1]比较法-工业'!$A$55:$M$55</definedName>
    <definedName name="工业内部装修" localSheetId="16">'[1]比较法-工业'!$B$104:$M$104</definedName>
    <definedName name="工业物业管理" localSheetId="16">'[1]比较法-工业'!$B$100:$M$100</definedName>
    <definedName name="工业用途" localSheetId="16">'[1]比较法-工业'!$B$57:$M$57</definedName>
    <definedName name="公共配套设施" localSheetId="16">[1]定义!$Q$1:$Q$6</definedName>
    <definedName name="估价方法" localSheetId="16">[1]定义!$B$1:$B$50</definedName>
    <definedName name="环境" localSheetId="16">[1]定义!$S$1:$S$6</definedName>
    <definedName name="基础设施水平" localSheetId="16">[1]定义!$R$1:$R$6</definedName>
    <definedName name="季度" localSheetId="16">[1]基准地价修正!$Q$19:$AD$19</definedName>
    <definedName name="价值类型2" localSheetId="16">[1]定义!$B$54:$B$56</definedName>
    <definedName name="交通便捷度" localSheetId="16">[1]定义!$O$1:$O$6</definedName>
    <definedName name="九级" localSheetId="16">[1]区片价!$P$1:$P$46</definedName>
    <definedName name="居住社区成熟度" localSheetId="16">[1]定义!$K$1:$K$6</definedName>
    <definedName name="类别" localSheetId="16">[1]定义!$J$1:$J$3</definedName>
    <definedName name="临街状况" localSheetId="16">[1]定义!$T$1:$T$5</definedName>
    <definedName name="六级" localSheetId="16">[1]区片价!$M$1:$M$49</definedName>
    <definedName name="内部装修维护情况" localSheetId="16">[1]定义!$U$1:$U$6</definedName>
    <definedName name="判定" localSheetId="16">[1]定义!$D$1:$D$4</definedName>
    <definedName name="七级" localSheetId="16">[1]区片价!$N$1:$N$49</definedName>
    <definedName name="七通一平" localSheetId="16">[1]修正!$A$6:$A$14</definedName>
    <definedName name="区域土地利用方向" localSheetId="16">[1]定义!$P$1:$P$6</definedName>
    <definedName name="三级" localSheetId="16">[1]区片价!$J$1:$J$21</definedName>
    <definedName name="商业层高" localSheetId="16">'[1]比较法-商业'!$B$116:$M$116</definedName>
    <definedName name="商业成新度" localSheetId="16">'[1]比较法-商业'!$B$109:$M$109</definedName>
    <definedName name="商业繁华度" localSheetId="16">[1]定义!$L$1:$L$6</definedName>
    <definedName name="商业公共部分装修" localSheetId="16">'[1]比较法-商业'!$B$107:$M$107</definedName>
    <definedName name="商业基础设施水平" localSheetId="16">'[1]比较法-商业'!$B$112:$M$112</definedName>
    <definedName name="商业建筑结构" localSheetId="16">'[1]比较法-商业'!$B$105:$M$105</definedName>
    <definedName name="商业交易情况" localSheetId="16">'[1]比较法-商业'!$A$61:$M$61</definedName>
    <definedName name="商业街名称" localSheetId="16">[1]修正!$C$59:$C$119</definedName>
    <definedName name="商业进深比" localSheetId="16">'[1]比较法-商业'!$B$120:$M$120</definedName>
    <definedName name="商业类型" localSheetId="16">'[1]比较法-商业'!$B$100:$M$100</definedName>
    <definedName name="商业临街状况" localSheetId="16">'[1]比较法-商业'!$B$86:$M$86</definedName>
    <definedName name="商业楼层" localSheetId="16">'[1]比较法-商业'!$B$92:$M$92</definedName>
    <definedName name="商业内部装修" localSheetId="16">'[1]比较法-商业'!$B$122:$M$122</definedName>
    <definedName name="商业人流量" localSheetId="16">'[1]比较法-商业'!$B$90:$M$90</definedName>
    <definedName name="商业业态" localSheetId="16">'[1]比较法-商业'!$B$114:$M$114</definedName>
    <definedName name="商业用途" localSheetId="16">'[1]比较法-商业'!$B$63:$M$63</definedName>
    <definedName name="十二级" localSheetId="16">[1]区片价!$S$1:$S$8</definedName>
    <definedName name="十级" localSheetId="16">[1]区片价!$Q$1:$Q$27</definedName>
    <definedName name="十一级" localSheetId="16">[1]区片价!$R$1:$R$22</definedName>
    <definedName name="是否封闭" localSheetId="16">'[1]比较法-仓储'!$B$89:$M$89</definedName>
    <definedName name="是否直接入户" localSheetId="16">'[1]比较法-车位'!$B$95:$M$95</definedName>
    <definedName name="四级" localSheetId="16">[1]区片价!$K$1:$K$28</definedName>
    <definedName name="套工道路等级" localSheetId="16">'[1]土地比较法-工业'!$B$97:$M$97</definedName>
    <definedName name="套工地质条件" localSheetId="16">'[1]土地比较法-工业'!$B$114:$M$114</definedName>
    <definedName name="套工交易情况" localSheetId="16">'[1]土地比较法-住宅、综合'!$A$73:$M$73</definedName>
    <definedName name="套工土地级别" localSheetId="16">'[1]土地比较法-工业'!$B$99:$M$99</definedName>
    <definedName name="套工用途" localSheetId="16">'[1]土地比较法-工业'!$B$70:$M$70</definedName>
    <definedName name="套工宗地开发程度" localSheetId="16">'[1]土地比较法-工业'!$B$112:$M$112</definedName>
    <definedName name="套工宗地形状" localSheetId="16">'[1]土地比较法-工业'!$B$110:$M$110</definedName>
    <definedName name="套综道路等级" localSheetId="16">'[1]土地比较法-住宅、综合'!$B$106:$M$106</definedName>
    <definedName name="套综工程地质条件" localSheetId="16">'[1]土地比较法-住宅、综合'!$B$125:$M$125</definedName>
    <definedName name="套综交易情况" localSheetId="16">'[1]土地比较法-住宅、综合'!$A$73:$M$73</definedName>
    <definedName name="套综临街宽度及深度" localSheetId="16">'[1]土地比较法-住宅、综合'!$B$121:$M$121</definedName>
    <definedName name="套综土地级别" localSheetId="16">'[1]土地比较法-住宅、综合'!$B$108:$M$108</definedName>
    <definedName name="套综用途" localSheetId="16">'[1]土地比较法-住宅、综合'!$B$75:$M$75</definedName>
    <definedName name="套综宗地内开发程度" localSheetId="16">'[1]土地比较法-住宅、综合'!$B$123:$M$123</definedName>
    <definedName name="套综宗地形状" localSheetId="16">'[1]土地比较法-住宅、综合'!$B$119:$M$119</definedName>
    <definedName name="土地估价师" localSheetId="16">[1]估价师及机构信息!$D$3:$D$24</definedName>
    <definedName name="土地级别" localSheetId="16">[1]定义!$C$1:$C$14</definedName>
    <definedName name="土地利用方向" localSheetId="16">[1]定义!$P$1:$P$6</definedName>
    <definedName name="土地年限区间" localSheetId="16">[1]定义!$I$1:$I$8</definedName>
    <definedName name="位置" localSheetId="16">[1]定义!$E$2:$E$4</definedName>
    <definedName name="五等判定" localSheetId="16">[1]定义!$W$1:$W$6</definedName>
    <definedName name="五级" localSheetId="16">[1]区片价!$L$1:$L$35</definedName>
    <definedName name="项目类型" localSheetId="16">'[1]数据-汇总表'!$C$17:$C$26</definedName>
    <definedName name="写字楼等级" localSheetId="16">'[1]比较法-办公'!$B$113:$M$113</definedName>
    <definedName name="一级" localSheetId="16">[1]区片价!$H$1:$H$6</definedName>
    <definedName name="一修多修正项2" localSheetId="16">[1]典型户型修正!$5:$5</definedName>
    <definedName name="一修多修正项3" localSheetId="16">[1]典型户型修正!$7:$7</definedName>
    <definedName name="一修多修正项4" localSheetId="16">[1]典型户型修正!$9:$9</definedName>
    <definedName name="一修多修正项5" localSheetId="16">[1]典型户型修正!$11:$11</definedName>
    <definedName name="一修多修正项6" localSheetId="16">[1]典型户型修正!$13:$13</definedName>
    <definedName name="一修多修正项7" localSheetId="16">[1]典型户型修正!$15:$15</definedName>
    <definedName name="一修多修正项8" localSheetId="16">[1]典型户型修正!$17:$17</definedName>
    <definedName name="用途明细" localSheetId="16">[1]定义!$A$1:$A$50</definedName>
    <definedName name="有无电梯" localSheetId="16">'[1]比较法-仓储'!$B$84:$M$84</definedName>
    <definedName name="主用途" localSheetId="16">[1]定义!$F$1:$F$10</definedName>
    <definedName name="住宅朝向" localSheetId="16">'[1]比较法-住宅'!$B$88:$M$88</definedName>
    <definedName name="住宅房型" localSheetId="16">'[1]比较法-住宅'!$B$118:$M$118</definedName>
    <definedName name="住宅公共部分装修" localSheetId="16">'[1]比较法-住宅'!$B$109:$M$109</definedName>
    <definedName name="住宅基础设施水平" localSheetId="16">'[1]比较法-住宅'!$B$116:$M$116</definedName>
    <definedName name="住宅建筑结构" localSheetId="16">'[1]比较法-住宅'!$B$105:$M$105</definedName>
    <definedName name="住宅建筑类型" localSheetId="16">'[1]比较法-住宅'!$B$100:$M$100</definedName>
    <definedName name="住宅建筑品质" localSheetId="16">'[1]比较法-住宅'!$B$107:$M$107</definedName>
    <definedName name="住宅交易情况" localSheetId="16">'[1]比较法-住宅'!$A$61:$M$61</definedName>
    <definedName name="住宅楼层" localSheetId="16">'[1]比较法-住宅'!$B$86:$M$86</definedName>
    <definedName name="住宅内部装修" localSheetId="16">'[1]比较法-住宅'!$B$122:$M$122</definedName>
    <definedName name="住宅物业管理" localSheetId="16">'[1]比较法-住宅'!$B$114:$M$114</definedName>
    <definedName name="住宅用途" localSheetId="16">'[1]比较法-住宅'!$B$63:$M$63</definedName>
    <definedName name="住宅主力户型面积" localSheetId="16">'[1]比较法-住宅'!$B$120:$M$120</definedName>
    <definedName name="注册房地产估价师" localSheetId="16">[1]估价师及机构信息!$A$3:$A$24</definedName>
    <definedName name="_xlnm.Print_Area" localSheetId="49">'基准地价修正--仓储'!$A$1:$J$41,'基准地价修正--仓储'!$A$45:$H$88,'基准地价修正--仓储'!$R$1:$V$16</definedName>
    <definedName name="季度" localSheetId="49">'基准地价修正--仓储'!$Q$19:$AD$19</definedName>
    <definedName name="_xlnm.Print_Area" localSheetId="35">'结果表--仓储'!$A$1:$I$127</definedName>
    <definedName name="_xlnm.Print_Area" localSheetId="31">'结果表--酒店'!$A$1:$I$127</definedName>
    <definedName name="八级" localSheetId="32">[6]区片价!$O$1:$O$40</definedName>
    <definedName name="办公层高" localSheetId="32">'[4]比较法-办公'!$B$119:$M$119</definedName>
    <definedName name="办公朝向" localSheetId="32">'[4]比较法-办公'!$B$91:$M$91</definedName>
    <definedName name="办公道路级别" localSheetId="32">'[4]比较法-办公'!$B$87:$M$87</definedName>
    <definedName name="办公公共部分装修" localSheetId="32">'[4]比较法-办公'!$B$108:$M$108</definedName>
    <definedName name="办公基础设施水平" localSheetId="32">'[4]比较法-办公'!$B$117:$M$117</definedName>
    <definedName name="办公集聚程度" localSheetId="32">[4]定义!$M$1:$M$6</definedName>
    <definedName name="办公建筑结构" localSheetId="32">'[4]比较法-办公'!$B$106:$M$106</definedName>
    <definedName name="办公建筑类型" localSheetId="32">'[4]比较法-办公'!$B$101:$M$101</definedName>
    <definedName name="办公交易情况" localSheetId="32">'[4]比较法-办公'!$A$62:$M$62</definedName>
    <definedName name="办公楼层" localSheetId="32">'[4]比较法-办公'!$B$89:$M$89</definedName>
    <definedName name="办公内部装修" localSheetId="32">'[4]比较法-办公'!$B$123:$M$123</definedName>
    <definedName name="办公物业管理" localSheetId="32">'[4]比较法-办公'!$B$115:$M$115</definedName>
    <definedName name="办公用途" localSheetId="32">'[4]比较法-办公'!$B$64:$M$64</definedName>
    <definedName name="仓储公共部分装修" localSheetId="32">'[4]比较法-仓储'!$B$77:$M$77</definedName>
    <definedName name="仓储交易情况" localSheetId="32">'[4]比较法-仓储'!$A$49:$M$49</definedName>
    <definedName name="仓储楼层" localSheetId="32">'[4]比较法-仓储'!$B$69:$M$69</definedName>
    <definedName name="仓储物业等级" localSheetId="32">'[4]比较法-仓储'!$B$82:$M$82</definedName>
    <definedName name="仓储用途" localSheetId="32">'[4]比较法-仓储'!$B$51:$M$51</definedName>
    <definedName name="产业集聚程度" localSheetId="32">[4]定义!$N$1:$N$6</definedName>
    <definedName name="车位公共部分装修" localSheetId="32">'[4]比较法-车位'!$B$83:$M$83</definedName>
    <definedName name="车位交易情况" localSheetId="32">'[4]比较法-车位'!$A$51:$M$51</definedName>
    <definedName name="车位类型" localSheetId="32">'[4]比较法-车位'!$B$93:$M$93</definedName>
    <definedName name="车位楼层" localSheetId="32">'[4]比较法-车位'!$B$71:$M$71</definedName>
    <definedName name="车位配套类型" localSheetId="32">'[4]比较法-车位'!$B$79:$M$79</definedName>
    <definedName name="车位物业等级" localSheetId="32">'[4]比较法-车位'!$B$88:$M$88</definedName>
    <definedName name="车位用途" localSheetId="32">'[4]比较法-车位'!$B$53:$M$53</definedName>
    <definedName name="城镇土地纳税等级分级范围" localSheetId="32">'[4]数据-取费表'!$A$53:$A$63</definedName>
    <definedName name="单价内涵" localSheetId="32">[4]定义!$V$1:$V$3</definedName>
    <definedName name="地类判定" localSheetId="32">[4]定义!$H$1:$H$9</definedName>
    <definedName name="二级" localSheetId="32">[6]区片价!$I$1:$I$20</definedName>
    <definedName name="二级分类" localSheetId="32">[4]修正!$C$17:$C$39</definedName>
    <definedName name="法定最高年限" localSheetId="32">[4]定义!$G$1:$G$4</definedName>
    <definedName name="工业公共部分装修" localSheetId="32">'[4]比较法-工业'!$B$95:$M$95</definedName>
    <definedName name="工业基础设施水平" localSheetId="32">'[4]比较法-工业'!$B$102:$M$102</definedName>
    <definedName name="工业建筑结构" localSheetId="32">'[4]比较法-工业'!$B$93:$M$93</definedName>
    <definedName name="工业建筑类型" localSheetId="32">'[4]比较法-工业'!$B$88:$M$88</definedName>
    <definedName name="工业交易情况" localSheetId="32">'[4]比较法-工业'!$A$55:$M$55</definedName>
    <definedName name="工业内部装修" localSheetId="32">'[4]比较法-工业'!$B$104:$M$104</definedName>
    <definedName name="工业物业管理" localSheetId="32">'[4]比较法-工业'!$B$100:$M$100</definedName>
    <definedName name="工业用途" localSheetId="32">'[4]比较法-工业'!$B$57:$M$57</definedName>
    <definedName name="公共配套设施" localSheetId="32">[4]定义!$Q$1:$Q$6</definedName>
    <definedName name="估价方法" localSheetId="32">[4]定义!$B$1:$B$50</definedName>
    <definedName name="环境" localSheetId="32">[4]定义!$S$1:$S$6</definedName>
    <definedName name="基础设施水平" localSheetId="32">[4]定义!$R$1:$R$6</definedName>
    <definedName name="季度" localSheetId="32">[6]基准地价修正!$Q$19:$AD$19</definedName>
    <definedName name="价值类型2" localSheetId="32">[4]定义!$B$54:$B$56</definedName>
    <definedName name="交通便捷度" localSheetId="32">[4]定义!$O$1:$O$6</definedName>
    <definedName name="九级" localSheetId="32">[6]区片价!$P$1:$P$46</definedName>
    <definedName name="居住社区成熟度" localSheetId="32">[4]定义!$K$1:$K$6</definedName>
    <definedName name="类别" localSheetId="32">[4]定义!$J$1:$J$3</definedName>
    <definedName name="临街状况" localSheetId="32">[4]定义!$T$1:$T$5</definedName>
    <definedName name="六级" localSheetId="32">[6]区片价!$M$1:$M$49</definedName>
    <definedName name="内部装修维护情况" localSheetId="32">[4]定义!$U$1:$U$6</definedName>
    <definedName name="判定" localSheetId="32">[5]定义!$D$1:$D$4</definedName>
    <definedName name="七级" localSheetId="32">[6]区片价!$N$1:$N$49</definedName>
    <definedName name="七通一平" localSheetId="32">[4]修正!$A$6:$A$14</definedName>
    <definedName name="区域土地利用方向" localSheetId="32">[4]定义!$P$1:$P$6</definedName>
    <definedName name="三级" localSheetId="32">[6]区片价!$J$1:$J$21</definedName>
    <definedName name="商业层高" localSheetId="32">'[4]比较法-商业'!$B$116:$M$116</definedName>
    <definedName name="商业成新度" localSheetId="32">'[6]比较法-商业'!$B$109:$M$109</definedName>
    <definedName name="商业繁华度" localSheetId="32">[4]定义!$L$1:$L$6</definedName>
    <definedName name="商业公共部分装修" localSheetId="32">'[4]比较法-商业'!$B$107:$M$107</definedName>
    <definedName name="商业基础设施水平" localSheetId="32">'[4]比较法-商业'!$B$112:$M$112</definedName>
    <definedName name="商业建筑结构" localSheetId="32">'[4]比较法-商业'!$B$105:$M$105</definedName>
    <definedName name="商业交易情况" localSheetId="32">'[4]比较法-商业'!$A$61:$M$61</definedName>
    <definedName name="商业街名称" localSheetId="32">[4]修正!$C$59:$C$119</definedName>
    <definedName name="商业进深比" localSheetId="32">'[4]比较法-商业'!$B$120:$M$120</definedName>
    <definedName name="商业类型" localSheetId="32">'[4]比较法-商业'!$B$100:$M$100</definedName>
    <definedName name="商业临街状况" localSheetId="32">'[4]比较法-商业'!$B$86:$M$86</definedName>
    <definedName name="商业楼层" localSheetId="32">'[4]比较法-商业'!$B$92:$M$92</definedName>
    <definedName name="商业内部装修" localSheetId="32">'[4]比较法-商业'!$B$122:$M$122</definedName>
    <definedName name="商业人流量" localSheetId="32">'[4]比较法-商业'!$B$90:$M$90</definedName>
    <definedName name="商业业态" localSheetId="32">'[4]比较法-商业'!$B$114:$M$114</definedName>
    <definedName name="商业用途" localSheetId="32">'[4]比较法-商业'!$B$63:$M$63</definedName>
    <definedName name="十二级" localSheetId="32">[6]区片价!$S$1:$S$8</definedName>
    <definedName name="十级" localSheetId="32">[6]区片价!$Q$1:$Q$27</definedName>
    <definedName name="十一级" localSheetId="32">[6]区片价!$R$1:$R$22</definedName>
    <definedName name="是否封闭" localSheetId="32">'[4]比较法-仓储'!$B$89:$M$89</definedName>
    <definedName name="是否直接入户" localSheetId="32">'[4]比较法-车位'!$B$95:$M$95</definedName>
    <definedName name="四级" localSheetId="32">[6]区片价!$K$1:$K$28</definedName>
    <definedName name="套工道路等级" localSheetId="32">'[4]土地比较法-工业'!$B$97:$M$97</definedName>
    <definedName name="套工地质条件" localSheetId="32">'[4]土地比较法-工业'!$B$114:$M$114</definedName>
    <definedName name="套工交易情况" localSheetId="32">'[4]土地比较法-住宅、综合'!$A$73:$M$73</definedName>
    <definedName name="套工土地级别" localSheetId="32">'[4]土地比较法-工业'!$B$99:$M$99</definedName>
    <definedName name="套工用途" localSheetId="32">'[4]土地比较法-工业'!$B$70:$M$70</definedName>
    <definedName name="套工宗地开发程度" localSheetId="32">'[4]土地比较法-工业'!$B$112:$M$112</definedName>
    <definedName name="套工宗地形状" localSheetId="32">'[4]土地比较法-工业'!$B$110:$M$110</definedName>
    <definedName name="套综道路等级" localSheetId="32">'[4]土地比较法-住宅、综合'!$B$106:$M$106</definedName>
    <definedName name="套综工程地质条件" localSheetId="32">'[4]土地比较法-住宅、综合'!$B$125:$M$125</definedName>
    <definedName name="套综交易情况" localSheetId="32">'[4]土地比较法-住宅、综合'!$A$73:$M$73</definedName>
    <definedName name="套综临街宽度及深度" localSheetId="32">'[4]土地比较法-住宅、综合'!$B$121:$M$121</definedName>
    <definedName name="套综土地级别" localSheetId="32">'[4]土地比较法-住宅、综合'!$B$108:$M$108</definedName>
    <definedName name="套综用途" localSheetId="32">'[4]土地比较法-住宅、综合'!$B$75:$M$75</definedName>
    <definedName name="套综宗地内开发程度" localSheetId="32">'[4]土地比较法-住宅、综合'!$B$123:$M$123</definedName>
    <definedName name="套综宗地形状" localSheetId="32">'[4]土地比较法-住宅、综合'!$B$119:$M$119</definedName>
    <definedName name="土地估价师" localSheetId="32">[6]估价师及机构信息!$D$3:$D$24</definedName>
    <definedName name="土地级别" localSheetId="32">[4]定义!$C$1:$C$14</definedName>
    <definedName name="土地利用方向" localSheetId="32">[6]定义!$P$1:$P$6</definedName>
    <definedName name="土地年限区间" localSheetId="32">[4]定义!$I$1:$I$8</definedName>
    <definedName name="位置" localSheetId="32">[4]定义!$E$2:$E$4</definedName>
    <definedName name="五等判定" localSheetId="32">[4]定义!$W$1:$W$6</definedName>
    <definedName name="五级" localSheetId="32">[6]区片价!$L$1:$L$35</definedName>
    <definedName name="项目类型" localSheetId="32">'[5]数据-汇总表'!$C$17:$C$26</definedName>
    <definedName name="写字楼等级" localSheetId="32">'[4]比较法-办公'!$B$113:$M$113</definedName>
    <definedName name="一级" localSheetId="32">[6]区片价!$H$1:$H$6</definedName>
    <definedName name="一修多修正项2" localSheetId="32">[4]典型户型修正!$5:$5</definedName>
    <definedName name="一修多修正项3" localSheetId="32">[4]典型户型修正!$7:$7</definedName>
    <definedName name="一修多修正项4" localSheetId="32">[4]典型户型修正!$9:$9</definedName>
    <definedName name="一修多修正项5" localSheetId="32">[4]典型户型修正!$11:$11</definedName>
    <definedName name="一修多修正项6" localSheetId="32">[4]典型户型修正!$13:$13</definedName>
    <definedName name="一修多修正项7" localSheetId="32">[4]典型户型修正!$15:$15</definedName>
    <definedName name="一修多修正项8" localSheetId="32">[4]典型户型修正!$17:$17</definedName>
    <definedName name="用途明细" localSheetId="32">[4]定义!$A$1:$A$50</definedName>
    <definedName name="有无电梯" localSheetId="32">'[4]比较法-仓储'!$B$84:$M$84</definedName>
    <definedName name="主用途" localSheetId="32">[4]定义!$F$1:$F$10</definedName>
    <definedName name="住宅朝向" localSheetId="32">'[4]比较法-住宅'!$B$88:$M$88</definedName>
    <definedName name="住宅房型" localSheetId="32">'[4]比较法-住宅'!$B$118:$M$118</definedName>
    <definedName name="住宅公共部分装修" localSheetId="32">'[4]比较法-住宅'!$B$109:$M$109</definedName>
    <definedName name="住宅基础设施水平" localSheetId="32">'[4]比较法-住宅'!$B$116:$M$116</definedName>
    <definedName name="住宅建筑结构" localSheetId="32">'[4]比较法-住宅'!$B$105:$M$105</definedName>
    <definedName name="住宅建筑类型" localSheetId="32">'[4]比较法-住宅'!$B$100:$M$100</definedName>
    <definedName name="住宅建筑品质" localSheetId="32">'[4]比较法-住宅'!$B$107:$M$107</definedName>
    <definedName name="住宅交易情况" localSheetId="32">'[4]比较法-住宅'!$A$61:$M$61</definedName>
    <definedName name="住宅楼层" localSheetId="32">'[4]比较法-住宅'!$B$86:$M$86</definedName>
    <definedName name="住宅内部装修" localSheetId="32">'[4]比较法-住宅'!$B$122:$M$122</definedName>
    <definedName name="住宅物业管理" localSheetId="32">'[4]比较法-住宅'!$B$114:$M$114</definedName>
    <definedName name="住宅用途" localSheetId="32">'[4]比较法-住宅'!$B$63:$M$63</definedName>
    <definedName name="住宅主力户型面积" localSheetId="32">'[6]比较法-住宅'!$B$120:$M$120</definedName>
    <definedName name="注册房地产估价师" localSheetId="32">[4]估价师及机构信息!$A$3:$A$16</definedName>
    <definedName name="_xlnm.Print_Area" localSheetId="33">'成本法--酒店'!$A$1:$G$57</definedName>
    <definedName name="_xlnm.Print_Area" localSheetId="34">'基准地价修正--酒店'!$A$1:$J$41,'基准地价修正--酒店'!$A$45:$H$88,'基准地价修正--酒店'!$R$1:$V$16</definedName>
    <definedName name="季度" localSheetId="34">'基准地价修正--酒店'!$Q$19:$AD$19</definedName>
    <definedName name="_xlnm.Print_Area" localSheetId="47">'成本法--仓储'!$A$1:$G$57</definedName>
    <definedName name="_xlnm.Print_Area" localSheetId="20">'收益法倒推租金-仓储'!$A$1:$I$53</definedName>
    <definedName name="八级" localSheetId="20">[1]区片价!$O$1:$O$40</definedName>
    <definedName name="办公层高" localSheetId="20">'[1]比较法-办公'!$B$119:$M$119</definedName>
    <definedName name="办公朝向" localSheetId="20">'[1]比较法-办公'!$B$91:$M$91</definedName>
    <definedName name="办公道路级别" localSheetId="20">'[1]比较法-办公'!$B$87:$M$87</definedName>
    <definedName name="办公公共部分装修" localSheetId="20">'[1]比较法-办公'!$B$108:$M$108</definedName>
    <definedName name="办公基础设施水平" localSheetId="20">'[1]比较法-办公'!$B$117:$M$117</definedName>
    <definedName name="办公集聚程度" localSheetId="20">[1]定义!$M$1:$M$6</definedName>
    <definedName name="办公建筑结构" localSheetId="20">'[1]比较法-办公'!$B$106:$M$106</definedName>
    <definedName name="办公建筑类型" localSheetId="20">'[1]比较法-办公'!$B$101:$M$101</definedName>
    <definedName name="办公交易情况" localSheetId="20">'[1]比较法-办公'!$A$62:$M$62</definedName>
    <definedName name="办公楼层" localSheetId="20">'[1]比较法-办公'!$B$89:$M$89</definedName>
    <definedName name="办公内部装修" localSheetId="20">'[1]比较法-办公'!$B$123:$M$123</definedName>
    <definedName name="办公物业管理" localSheetId="20">'[1]比较法-办公'!$B$115:$M$115</definedName>
    <definedName name="办公用途" localSheetId="20">'[1]比较法-办公'!$B$64:$M$64</definedName>
    <definedName name="仓储公共部分装修" localSheetId="20">'[1]比较法-仓储'!$B$77:$M$77</definedName>
    <definedName name="仓储交易情况" localSheetId="20">'[1]比较法-仓储'!$A$49:$M$49</definedName>
    <definedName name="仓储楼层" localSheetId="20">'[1]比较法-仓储'!$B$69:$M$69</definedName>
    <definedName name="仓储物业等级" localSheetId="20">'[1]比较法-仓储'!$B$82:$M$82</definedName>
    <definedName name="仓储用途" localSheetId="20">'[1]比较法-仓储'!$B$51:$M$51</definedName>
    <definedName name="产业集聚程度" localSheetId="20">[1]定义!$N$1:$N$6</definedName>
    <definedName name="车位公共部分装修" localSheetId="20">'[1]比较法-车位'!$B$83:$M$83</definedName>
    <definedName name="车位交易情况" localSheetId="20">'[1]比较法-车位'!$A$51:$M$51</definedName>
    <definedName name="车位类型" localSheetId="20">'[1]比较法-车位'!$B$93:$M$93</definedName>
    <definedName name="车位楼层" localSheetId="20">'[1]比较法-车位'!$B$71:$M$71</definedName>
    <definedName name="车位配套类型" localSheetId="20">'[1]比较法-车位'!$B$79:$M$79</definedName>
    <definedName name="车位物业等级" localSheetId="20">'[1]比较法-车位'!$B$88:$M$88</definedName>
    <definedName name="车位用途" localSheetId="20">'[1]比较法-车位'!$B$53:$M$53</definedName>
    <definedName name="城镇土地纳税等级分级范围" localSheetId="20">'[1]数据-取费表'!$A$53:$A$63</definedName>
    <definedName name="单价内涵" localSheetId="20">[1]定义!$V$1:$V$3</definedName>
    <definedName name="地类判定" localSheetId="20">[1]定义!$H$1:$H$9</definedName>
    <definedName name="二级" localSheetId="20">[1]区片价!$I$1:$I$20</definedName>
    <definedName name="二级分类" localSheetId="20">[1]修正!$C$17:$C$39</definedName>
    <definedName name="法定最高年限" localSheetId="20">[1]定义!$G$1:$G$4</definedName>
    <definedName name="工业公共部分装修" localSheetId="20">'[1]比较法-工业'!$B$95:$M$95</definedName>
    <definedName name="工业基础设施水平" localSheetId="20">'[1]比较法-工业'!$B$102:$M$102</definedName>
    <definedName name="工业建筑结构" localSheetId="20">'[1]比较法-工业'!$B$93:$M$93</definedName>
    <definedName name="工业建筑类型" localSheetId="20">'[1]比较法-工业'!$B$88:$M$88</definedName>
    <definedName name="工业交易情况" localSheetId="20">'[1]比较法-工业'!$A$55:$M$55</definedName>
    <definedName name="工业内部装修" localSheetId="20">'[1]比较法-工业'!$B$104:$M$104</definedName>
    <definedName name="工业物业管理" localSheetId="20">'[1]比较法-工业'!$B$100:$M$100</definedName>
    <definedName name="工业用途" localSheetId="20">'[1]比较法-工业'!$B$57:$M$57</definedName>
    <definedName name="公共配套设施" localSheetId="20">[1]定义!$Q$1:$Q$6</definedName>
    <definedName name="估价方法" localSheetId="20">[1]定义!$B$1:$B$50</definedName>
    <definedName name="环境" localSheetId="20">[1]定义!$S$1:$S$6</definedName>
    <definedName name="基础设施水平" localSheetId="20">[1]定义!$R$1:$R$6</definedName>
    <definedName name="季度" localSheetId="20">[1]基准地价修正!$Q$19:$AD$19</definedName>
    <definedName name="价值类型2" localSheetId="20">[1]定义!$B$54:$B$56</definedName>
    <definedName name="交通便捷度" localSheetId="20">[1]定义!$O$1:$O$6</definedName>
    <definedName name="九级" localSheetId="20">[1]区片价!$P$1:$P$46</definedName>
    <definedName name="居住社区成熟度" localSheetId="20">[1]定义!$K$1:$K$6</definedName>
    <definedName name="类别" localSheetId="20">[1]定义!$J$1:$J$3</definedName>
    <definedName name="临街状况" localSheetId="20">[1]定义!$T$1:$T$5</definedName>
    <definedName name="六级" localSheetId="20">[1]区片价!$M$1:$M$49</definedName>
    <definedName name="内部装修维护情况" localSheetId="20">[1]定义!$U$1:$U$6</definedName>
    <definedName name="判定" localSheetId="20">[1]定义!$D$1:$D$4</definedName>
    <definedName name="七级" localSheetId="20">[1]区片价!$N$1:$N$49</definedName>
    <definedName name="七通一平" localSheetId="20">[1]修正!$A$6:$A$14</definedName>
    <definedName name="区域土地利用方向" localSheetId="20">[1]定义!$P$1:$P$6</definedName>
    <definedName name="三级" localSheetId="20">[1]区片价!$J$1:$J$21</definedName>
    <definedName name="商业层高" localSheetId="20">'[1]比较法-商业'!$B$116:$M$116</definedName>
    <definedName name="商业成新度" localSheetId="20">'[1]比较法-商业'!$B$109:$M$109</definedName>
    <definedName name="商业繁华度" localSheetId="20">[1]定义!$L$1:$L$6</definedName>
    <definedName name="商业公共部分装修" localSheetId="20">'[1]比较法-商业'!$B$107:$M$107</definedName>
    <definedName name="商业基础设施水平" localSheetId="20">'[1]比较法-商业'!$B$112:$M$112</definedName>
    <definedName name="商业建筑结构" localSheetId="20">'[1]比较法-商业'!$B$105:$M$105</definedName>
    <definedName name="商业交易情况" localSheetId="20">'[1]比较法-商业'!$A$61:$M$61</definedName>
    <definedName name="商业街名称" localSheetId="20">[1]修正!$C$59:$C$119</definedName>
    <definedName name="商业进深比" localSheetId="20">'[1]比较法-商业'!$B$120:$M$120</definedName>
    <definedName name="商业类型" localSheetId="20">'[1]比较法-商业'!$B$100:$M$100</definedName>
    <definedName name="商业临街状况" localSheetId="20">'[1]比较法-商业'!$B$86:$M$86</definedName>
    <definedName name="商业楼层" localSheetId="20">'[1]比较法-商业'!$B$92:$M$92</definedName>
    <definedName name="商业内部装修" localSheetId="20">'[1]比较法-商业'!$B$122:$M$122</definedName>
    <definedName name="商业人流量" localSheetId="20">'[1]比较法-商业'!$B$90:$M$90</definedName>
    <definedName name="商业业态" localSheetId="20">'[1]比较法-商业'!$B$114:$M$114</definedName>
    <definedName name="商业用途" localSheetId="20">'[1]比较法-商业'!$B$63:$M$63</definedName>
    <definedName name="十二级" localSheetId="20">[1]区片价!$S$1:$S$8</definedName>
    <definedName name="十级" localSheetId="20">[1]区片价!$Q$1:$Q$27</definedName>
    <definedName name="十一级" localSheetId="20">[1]区片价!$R$1:$R$22</definedName>
    <definedName name="是否封闭" localSheetId="20">'[1]比较法-仓储'!$B$89:$M$89</definedName>
    <definedName name="是否直接入户" localSheetId="20">'[1]比较法-车位'!$B$95:$M$95</definedName>
    <definedName name="四级" localSheetId="20">[1]区片价!$K$1:$K$28</definedName>
    <definedName name="套工道路等级" localSheetId="20">'[1]土地比较法-工业'!$B$97:$M$97</definedName>
    <definedName name="套工地质条件" localSheetId="20">'[1]土地比较法-工业'!$B$114:$M$114</definedName>
    <definedName name="套工交易情况" localSheetId="20">'[1]土地比较法-住宅、综合'!$A$73:$M$73</definedName>
    <definedName name="套工土地级别" localSheetId="20">'[1]土地比较法-工业'!$B$99:$M$99</definedName>
    <definedName name="套工用途" localSheetId="20">'[1]土地比较法-工业'!$B$70:$M$70</definedName>
    <definedName name="套工宗地开发程度" localSheetId="20">'[1]土地比较法-工业'!$B$112:$M$112</definedName>
    <definedName name="套工宗地形状" localSheetId="20">'[1]土地比较法-工业'!$B$110:$M$110</definedName>
    <definedName name="套综道路等级" localSheetId="20">'[1]土地比较法-住宅、综合'!$B$106:$M$106</definedName>
    <definedName name="套综工程地质条件" localSheetId="20">'[1]土地比较法-住宅、综合'!$B$125:$M$125</definedName>
    <definedName name="套综交易情况" localSheetId="20">'[1]土地比较法-住宅、综合'!$A$73:$M$73</definedName>
    <definedName name="套综临街宽度及深度" localSheetId="20">'[1]土地比较法-住宅、综合'!$B$121:$M$121</definedName>
    <definedName name="套综土地级别" localSheetId="20">'[1]土地比较法-住宅、综合'!$B$108:$M$108</definedName>
    <definedName name="套综用途" localSheetId="20">'[1]土地比较法-住宅、综合'!$B$75:$M$75</definedName>
    <definedName name="套综宗地内开发程度" localSheetId="20">'[1]土地比较法-住宅、综合'!$B$123:$M$123</definedName>
    <definedName name="套综宗地形状" localSheetId="20">'[1]土地比较法-住宅、综合'!$B$119:$M$119</definedName>
    <definedName name="土地估价师" localSheetId="20">[1]估价师及机构信息!$D$3:$D$24</definedName>
    <definedName name="土地级别" localSheetId="20">[1]定义!$C$1:$C$14</definedName>
    <definedName name="土地利用方向" localSheetId="20">[1]定义!$P$1:$P$6</definedName>
    <definedName name="土地年限区间" localSheetId="20">[1]定义!$I$1:$I$8</definedName>
    <definedName name="位置" localSheetId="20">[1]定义!$E$2:$E$4</definedName>
    <definedName name="五等判定" localSheetId="20">[1]定义!$W$1:$W$6</definedName>
    <definedName name="五级" localSheetId="20">[1]区片价!$L$1:$L$35</definedName>
    <definedName name="项目类型" localSheetId="20">'[1]数据-汇总表'!$C$17:$C$26</definedName>
    <definedName name="写字楼等级" localSheetId="20">'[1]比较法-办公'!$B$113:$M$113</definedName>
    <definedName name="一级" localSheetId="20">[1]区片价!$H$1:$H$6</definedName>
    <definedName name="一修多修正项2" localSheetId="20">[1]典型户型修正!$5:$5</definedName>
    <definedName name="一修多修正项3" localSheetId="20">[1]典型户型修正!$7:$7</definedName>
    <definedName name="一修多修正项4" localSheetId="20">[1]典型户型修正!$9:$9</definedName>
    <definedName name="一修多修正项5" localSheetId="20">[1]典型户型修正!$11:$11</definedName>
    <definedName name="一修多修正项6" localSheetId="20">[1]典型户型修正!$13:$13</definedName>
    <definedName name="一修多修正项7" localSheetId="20">[1]典型户型修正!$15:$15</definedName>
    <definedName name="一修多修正项8" localSheetId="20">[1]典型户型修正!$17:$17</definedName>
    <definedName name="用途明细" localSheetId="20">[1]定义!$A$1:$A$50</definedName>
    <definedName name="有无电梯" localSheetId="20">'[1]比较法-仓储'!$B$84:$M$84</definedName>
    <definedName name="主用途" localSheetId="20">[1]定义!$F$1:$F$10</definedName>
    <definedName name="住宅朝向" localSheetId="20">'[1]比较法-住宅'!$B$88:$M$88</definedName>
    <definedName name="住宅房型" localSheetId="20">'[1]比较法-住宅'!$B$118:$M$118</definedName>
    <definedName name="住宅公共部分装修" localSheetId="20">'[1]比较法-住宅'!$B$109:$M$109</definedName>
    <definedName name="住宅基础设施水平" localSheetId="20">'[1]比较法-住宅'!$B$116:$M$116</definedName>
    <definedName name="住宅建筑结构" localSheetId="20">'[1]比较法-住宅'!$B$105:$M$105</definedName>
    <definedName name="住宅建筑类型" localSheetId="20">'[1]比较法-住宅'!$B$100:$M$100</definedName>
    <definedName name="住宅建筑品质" localSheetId="20">'[1]比较法-住宅'!$B$107:$M$107</definedName>
    <definedName name="住宅交易情况" localSheetId="20">'[1]比较法-住宅'!$A$61:$M$61</definedName>
    <definedName name="住宅楼层" localSheetId="20">'[1]比较法-住宅'!$B$86:$M$86</definedName>
    <definedName name="住宅内部装修" localSheetId="20">'[1]比较法-住宅'!$B$122:$M$122</definedName>
    <definedName name="住宅物业管理" localSheetId="20">'[1]比较法-住宅'!$B$114:$M$114</definedName>
    <definedName name="住宅用途" localSheetId="20">'[1]比较法-住宅'!$B$63:$M$63</definedName>
    <definedName name="住宅主力户型面积" localSheetId="20">'[1]比较法-住宅'!$B$120:$M$120</definedName>
    <definedName name="注册房地产估价师" localSheetId="20">[1]估价师及机构信息!$A$3:$A$24</definedName>
    <definedName name="_xlnm.Print_Area" localSheetId="17">'收益法倒推租金-商业单租'!$A$1:$I$53</definedName>
    <definedName name="八级" localSheetId="17">[1]区片价!$O$1:$O$40</definedName>
    <definedName name="办公层高" localSheetId="17">'[1]比较法-办公'!$B$119:$M$119</definedName>
    <definedName name="办公朝向" localSheetId="17">'[1]比较法-办公'!$B$91:$M$91</definedName>
    <definedName name="办公道路级别" localSheetId="17">'[1]比较法-办公'!$B$87:$M$87</definedName>
    <definedName name="办公公共部分装修" localSheetId="17">'[1]比较法-办公'!$B$108:$M$108</definedName>
    <definedName name="办公基础设施水平" localSheetId="17">'[1]比较法-办公'!$B$117:$M$117</definedName>
    <definedName name="办公集聚程度" localSheetId="17">[1]定义!$M$1:$M$6</definedName>
    <definedName name="办公建筑结构" localSheetId="17">'[1]比较法-办公'!$B$106:$M$106</definedName>
    <definedName name="办公建筑类型" localSheetId="17">'[1]比较法-办公'!$B$101:$M$101</definedName>
    <definedName name="办公交易情况" localSheetId="17">'[1]比较法-办公'!$A$62:$M$62</definedName>
    <definedName name="办公楼层" localSheetId="17">'[1]比较法-办公'!$B$89:$M$89</definedName>
    <definedName name="办公内部装修" localSheetId="17">'[1]比较法-办公'!$B$123:$M$123</definedName>
    <definedName name="办公物业管理" localSheetId="17">'[1]比较法-办公'!$B$115:$M$115</definedName>
    <definedName name="办公用途" localSheetId="17">'[1]比较法-办公'!$B$64:$M$64</definedName>
    <definedName name="仓储公共部分装修" localSheetId="17">'[1]比较法-仓储'!$B$77:$M$77</definedName>
    <definedName name="仓储交易情况" localSheetId="17">'[1]比较法-仓储'!$A$49:$M$49</definedName>
    <definedName name="仓储楼层" localSheetId="17">'[1]比较法-仓储'!$B$69:$M$69</definedName>
    <definedName name="仓储物业等级" localSheetId="17">'[1]比较法-仓储'!$B$82:$M$82</definedName>
    <definedName name="仓储用途" localSheetId="17">'[1]比较法-仓储'!$B$51:$M$51</definedName>
    <definedName name="产业集聚程度" localSheetId="17">[1]定义!$N$1:$N$6</definedName>
    <definedName name="车位公共部分装修" localSheetId="17">'[1]比较法-车位'!$B$83:$M$83</definedName>
    <definedName name="车位交易情况" localSheetId="17">'[1]比较法-车位'!$A$51:$M$51</definedName>
    <definedName name="车位类型" localSheetId="17">'[1]比较法-车位'!$B$93:$M$93</definedName>
    <definedName name="车位楼层" localSheetId="17">'[1]比较法-车位'!$B$71:$M$71</definedName>
    <definedName name="车位配套类型" localSheetId="17">'[1]比较法-车位'!$B$79:$M$79</definedName>
    <definedName name="车位物业等级" localSheetId="17">'[1]比较法-车位'!$B$88:$M$88</definedName>
    <definedName name="车位用途" localSheetId="17">'[1]比较法-车位'!$B$53:$M$53</definedName>
    <definedName name="城镇土地纳税等级分级范围" localSheetId="17">'[1]数据-取费表'!$A$53:$A$63</definedName>
    <definedName name="单价内涵" localSheetId="17">[1]定义!$V$1:$V$3</definedName>
    <definedName name="地类判定" localSheetId="17">[1]定义!$H$1:$H$9</definedName>
    <definedName name="二级" localSheetId="17">[1]区片价!$I$1:$I$20</definedName>
    <definedName name="二级分类" localSheetId="17">[1]修正!$C$17:$C$39</definedName>
    <definedName name="法定最高年限" localSheetId="17">[1]定义!$G$1:$G$4</definedName>
    <definedName name="工业公共部分装修" localSheetId="17">'[1]比较法-工业'!$B$95:$M$95</definedName>
    <definedName name="工业基础设施水平" localSheetId="17">'[1]比较法-工业'!$B$102:$M$102</definedName>
    <definedName name="工业建筑结构" localSheetId="17">'[1]比较法-工业'!$B$93:$M$93</definedName>
    <definedName name="工业建筑类型" localSheetId="17">'[1]比较法-工业'!$B$88:$M$88</definedName>
    <definedName name="工业交易情况" localSheetId="17">'[1]比较法-工业'!$A$55:$M$55</definedName>
    <definedName name="工业内部装修" localSheetId="17">'[1]比较法-工业'!$B$104:$M$104</definedName>
    <definedName name="工业物业管理" localSheetId="17">'[1]比较法-工业'!$B$100:$M$100</definedName>
    <definedName name="工业用途" localSheetId="17">'[1]比较法-工业'!$B$57:$M$57</definedName>
    <definedName name="公共配套设施" localSheetId="17">[1]定义!$Q$1:$Q$6</definedName>
    <definedName name="估价方法" localSheetId="17">[1]定义!$B$1:$B$50</definedName>
    <definedName name="环境" localSheetId="17">[1]定义!$S$1:$S$6</definedName>
    <definedName name="基础设施水平" localSheetId="17">[1]定义!$R$1:$R$6</definedName>
    <definedName name="季度" localSheetId="17">[1]基准地价修正!$Q$19:$AD$19</definedName>
    <definedName name="价值类型2" localSheetId="17">[1]定义!$B$54:$B$56</definedName>
    <definedName name="交通便捷度" localSheetId="17">[1]定义!$O$1:$O$6</definedName>
    <definedName name="九级" localSheetId="17">[1]区片价!$P$1:$P$46</definedName>
    <definedName name="居住社区成熟度" localSheetId="17">[1]定义!$K$1:$K$6</definedName>
    <definedName name="类别" localSheetId="17">[1]定义!$J$1:$J$3</definedName>
    <definedName name="临街状况" localSheetId="17">[1]定义!$T$1:$T$5</definedName>
    <definedName name="六级" localSheetId="17">[1]区片价!$M$1:$M$49</definedName>
    <definedName name="内部装修维护情况" localSheetId="17">[1]定义!$U$1:$U$6</definedName>
    <definedName name="判定" localSheetId="17">[1]定义!$D$1:$D$4</definedName>
    <definedName name="七级" localSheetId="17">[1]区片价!$N$1:$N$49</definedName>
    <definedName name="七通一平" localSheetId="17">[1]修正!$A$6:$A$14</definedName>
    <definedName name="区域土地利用方向" localSheetId="17">[1]定义!$P$1:$P$6</definedName>
    <definedName name="三级" localSheetId="17">[1]区片价!$J$1:$J$21</definedName>
    <definedName name="商业层高" localSheetId="17">'[1]比较法-商业'!$B$116:$M$116</definedName>
    <definedName name="商业成新度" localSheetId="17">'[1]比较法-商业'!$B$109:$M$109</definedName>
    <definedName name="商业繁华度" localSheetId="17">[1]定义!$L$1:$L$6</definedName>
    <definedName name="商业公共部分装修" localSheetId="17">'[1]比较法-商业'!$B$107:$M$107</definedName>
    <definedName name="商业基础设施水平" localSheetId="17">'[1]比较法-商业'!$B$112:$M$112</definedName>
    <definedName name="商业建筑结构" localSheetId="17">'[1]比较法-商业'!$B$105:$M$105</definedName>
    <definedName name="商业交易情况" localSheetId="17">'[1]比较法-商业'!$A$61:$M$61</definedName>
    <definedName name="商业街名称" localSheetId="17">[1]修正!$C$59:$C$119</definedName>
    <definedName name="商业进深比" localSheetId="17">'[1]比较法-商业'!$B$120:$M$120</definedName>
    <definedName name="商业类型" localSheetId="17">'[1]比较法-商业'!$B$100:$M$100</definedName>
    <definedName name="商业临街状况" localSheetId="17">'[1]比较法-商业'!$B$86:$M$86</definedName>
    <definedName name="商业楼层" localSheetId="17">'[1]比较法-商业'!$B$92:$M$92</definedName>
    <definedName name="商业内部装修" localSheetId="17">'[1]比较法-商业'!$B$122:$M$122</definedName>
    <definedName name="商业人流量" localSheetId="17">'[1]比较法-商业'!$B$90:$M$90</definedName>
    <definedName name="商业业态" localSheetId="17">'[1]比较法-商业'!$B$114:$M$114</definedName>
    <definedName name="商业用途" localSheetId="17">'[1]比较法-商业'!$B$63:$M$63</definedName>
    <definedName name="十二级" localSheetId="17">[1]区片价!$S$1:$S$8</definedName>
    <definedName name="十级" localSheetId="17">[1]区片价!$Q$1:$Q$27</definedName>
    <definedName name="十一级" localSheetId="17">[1]区片价!$R$1:$R$22</definedName>
    <definedName name="是否封闭" localSheetId="17">'[1]比较法-仓储'!$B$89:$M$89</definedName>
    <definedName name="是否直接入户" localSheetId="17">'[1]比较法-车位'!$B$95:$M$95</definedName>
    <definedName name="四级" localSheetId="17">[1]区片价!$K$1:$K$28</definedName>
    <definedName name="套工道路等级" localSheetId="17">'[1]土地比较法-工业'!$B$97:$M$97</definedName>
    <definedName name="套工地质条件" localSheetId="17">'[1]土地比较法-工业'!$B$114:$M$114</definedName>
    <definedName name="套工交易情况" localSheetId="17">'[1]土地比较法-住宅、综合'!$A$73:$M$73</definedName>
    <definedName name="套工土地级别" localSheetId="17">'[1]土地比较法-工业'!$B$99:$M$99</definedName>
    <definedName name="套工用途" localSheetId="17">'[1]土地比较法-工业'!$B$70:$M$70</definedName>
    <definedName name="套工宗地开发程度" localSheetId="17">'[1]土地比较法-工业'!$B$112:$M$112</definedName>
    <definedName name="套工宗地形状" localSheetId="17">'[1]土地比较法-工业'!$B$110:$M$110</definedName>
    <definedName name="套综道路等级" localSheetId="17">'[1]土地比较法-住宅、综合'!$B$106:$M$106</definedName>
    <definedName name="套综工程地质条件" localSheetId="17">'[1]土地比较法-住宅、综合'!$B$125:$M$125</definedName>
    <definedName name="套综交易情况" localSheetId="17">'[1]土地比较法-住宅、综合'!$A$73:$M$73</definedName>
    <definedName name="套综临街宽度及深度" localSheetId="17">'[1]土地比较法-住宅、综合'!$B$121:$M$121</definedName>
    <definedName name="套综土地级别" localSheetId="17">'[1]土地比较法-住宅、综合'!$B$108:$M$108</definedName>
    <definedName name="套综用途" localSheetId="17">'[1]土地比较法-住宅、综合'!$B$75:$M$75</definedName>
    <definedName name="套综宗地内开发程度" localSheetId="17">'[1]土地比较法-住宅、综合'!$B$123:$M$123</definedName>
    <definedName name="套综宗地形状" localSheetId="17">'[1]土地比较法-住宅、综合'!$B$119:$M$119</definedName>
    <definedName name="土地估价师" localSheetId="17">[1]估价师及机构信息!$D$3:$D$24</definedName>
    <definedName name="土地级别" localSheetId="17">[1]定义!$C$1:$C$14</definedName>
    <definedName name="土地利用方向" localSheetId="17">[1]定义!$P$1:$P$6</definedName>
    <definedName name="土地年限区间" localSheetId="17">[1]定义!$I$1:$I$8</definedName>
    <definedName name="位置" localSheetId="17">[1]定义!$E$2:$E$4</definedName>
    <definedName name="五等判定" localSheetId="17">[1]定义!$W$1:$W$6</definedName>
    <definedName name="五级" localSheetId="17">[1]区片价!$L$1:$L$35</definedName>
    <definedName name="项目类型" localSheetId="17">'[1]数据-汇总表'!$C$17:$C$26</definedName>
    <definedName name="写字楼等级" localSheetId="17">'[1]比较法-办公'!$B$113:$M$113</definedName>
    <definedName name="一级" localSheetId="17">[1]区片价!$H$1:$H$6</definedName>
    <definedName name="一修多修正项2" localSheetId="17">[1]典型户型修正!$5:$5</definedName>
    <definedName name="一修多修正项3" localSheetId="17">[1]典型户型修正!$7:$7</definedName>
    <definedName name="一修多修正项4" localSheetId="17">[1]典型户型修正!$9:$9</definedName>
    <definedName name="一修多修正项5" localSheetId="17">[1]典型户型修正!$11:$11</definedName>
    <definedName name="一修多修正项6" localSheetId="17">[1]典型户型修正!$13:$13</definedName>
    <definedName name="一修多修正项7" localSheetId="17">[1]典型户型修正!$15:$15</definedName>
    <definedName name="一修多修正项8" localSheetId="17">[1]典型户型修正!$17:$17</definedName>
    <definedName name="用途明细" localSheetId="17">[1]定义!$A$1:$A$50</definedName>
    <definedName name="有无电梯" localSheetId="17">'[1]比较法-仓储'!$B$84:$M$84</definedName>
    <definedName name="主用途" localSheetId="17">[1]定义!$F$1:$F$10</definedName>
    <definedName name="住宅朝向" localSheetId="17">'[1]比较法-住宅'!$B$88:$M$88</definedName>
    <definedName name="住宅房型" localSheetId="17">'[1]比较法-住宅'!$B$118:$M$118</definedName>
    <definedName name="住宅公共部分装修" localSheetId="17">'[1]比较法-住宅'!$B$109:$M$109</definedName>
    <definedName name="住宅基础设施水平" localSheetId="17">'[1]比较法-住宅'!$B$116:$M$116</definedName>
    <definedName name="住宅建筑结构" localSheetId="17">'[1]比较法-住宅'!$B$105:$M$105</definedName>
    <definedName name="住宅建筑类型" localSheetId="17">'[1]比较法-住宅'!$B$100:$M$100</definedName>
    <definedName name="住宅建筑品质" localSheetId="17">'[1]比较法-住宅'!$B$107:$M$107</definedName>
    <definedName name="住宅交易情况" localSheetId="17">'[1]比较法-住宅'!$A$61:$M$61</definedName>
    <definedName name="住宅楼层" localSheetId="17">'[1]比较法-住宅'!$B$86:$M$86</definedName>
    <definedName name="住宅内部装修" localSheetId="17">'[1]比较法-住宅'!$B$122:$M$122</definedName>
    <definedName name="住宅物业管理" localSheetId="17">'[1]比较法-住宅'!$B$114:$M$114</definedName>
    <definedName name="住宅用途" localSheetId="17">'[1]比较法-住宅'!$B$63:$M$63</definedName>
    <definedName name="住宅主力户型面积" localSheetId="17">'[1]比较法-住宅'!$B$120:$M$120</definedName>
    <definedName name="注册房地产估价师" localSheetId="17">[1]估价师及机构信息!$A$3:$A$24</definedName>
    <definedName name="_xlnm.Print_Area" localSheetId="18">'收益法倒推租金-酒店'!$A$1:$I$53</definedName>
    <definedName name="八级" localSheetId="18">[1]区片价!$O$1:$O$40</definedName>
    <definedName name="办公层高" localSheetId="18">'[1]比较法-办公'!$B$119:$M$119</definedName>
    <definedName name="办公朝向" localSheetId="18">'[1]比较法-办公'!$B$91:$M$91</definedName>
    <definedName name="办公道路级别" localSheetId="18">'[1]比较法-办公'!$B$87:$M$87</definedName>
    <definedName name="办公公共部分装修" localSheetId="18">'[1]比较法-办公'!$B$108:$M$108</definedName>
    <definedName name="办公基础设施水平" localSheetId="18">'[1]比较法-办公'!$B$117:$M$117</definedName>
    <definedName name="办公集聚程度" localSheetId="18">[1]定义!$M$1:$M$6</definedName>
    <definedName name="办公建筑结构" localSheetId="18">'[1]比较法-办公'!$B$106:$M$106</definedName>
    <definedName name="办公建筑类型" localSheetId="18">'[1]比较法-办公'!$B$101:$M$101</definedName>
    <definedName name="办公交易情况" localSheetId="18">'[1]比较法-办公'!$A$62:$M$62</definedName>
    <definedName name="办公楼层" localSheetId="18">'[1]比较法-办公'!$B$89:$M$89</definedName>
    <definedName name="办公内部装修" localSheetId="18">'[1]比较法-办公'!$B$123:$M$123</definedName>
    <definedName name="办公物业管理" localSheetId="18">'[1]比较法-办公'!$B$115:$M$115</definedName>
    <definedName name="办公用途" localSheetId="18">'[1]比较法-办公'!$B$64:$M$64</definedName>
    <definedName name="仓储公共部分装修" localSheetId="18">'[1]比较法-仓储'!$B$77:$M$77</definedName>
    <definedName name="仓储交易情况" localSheetId="18">'[1]比较法-仓储'!$A$49:$M$49</definedName>
    <definedName name="仓储楼层" localSheetId="18">'[1]比较法-仓储'!$B$69:$M$69</definedName>
    <definedName name="仓储物业等级" localSheetId="18">'[1]比较法-仓储'!$B$82:$M$82</definedName>
    <definedName name="仓储用途" localSheetId="18">'[1]比较法-仓储'!$B$51:$M$51</definedName>
    <definedName name="产业集聚程度" localSheetId="18">[1]定义!$N$1:$N$6</definedName>
    <definedName name="车位公共部分装修" localSheetId="18">'[1]比较法-车位'!$B$83:$M$83</definedName>
    <definedName name="车位交易情况" localSheetId="18">'[1]比较法-车位'!$A$51:$M$51</definedName>
    <definedName name="车位类型" localSheetId="18">'[1]比较法-车位'!$B$93:$M$93</definedName>
    <definedName name="车位楼层" localSheetId="18">'[1]比较法-车位'!$B$71:$M$71</definedName>
    <definedName name="车位配套类型" localSheetId="18">'[1]比较法-车位'!$B$79:$M$79</definedName>
    <definedName name="车位物业等级" localSheetId="18">'[1]比较法-车位'!$B$88:$M$88</definedName>
    <definedName name="车位用途" localSheetId="18">'[1]比较法-车位'!$B$53:$M$53</definedName>
    <definedName name="城镇土地纳税等级分级范围" localSheetId="18">'[1]数据-取费表'!$A$53:$A$63</definedName>
    <definedName name="单价内涵" localSheetId="18">[1]定义!$V$1:$V$3</definedName>
    <definedName name="地类判定" localSheetId="18">[1]定义!$H$1:$H$9</definedName>
    <definedName name="二级" localSheetId="18">[1]区片价!$I$1:$I$20</definedName>
    <definedName name="二级分类" localSheetId="18">[1]修正!$C$17:$C$39</definedName>
    <definedName name="法定最高年限" localSheetId="18">[1]定义!$G$1:$G$4</definedName>
    <definedName name="工业公共部分装修" localSheetId="18">'[1]比较法-工业'!$B$95:$M$95</definedName>
    <definedName name="工业基础设施水平" localSheetId="18">'[1]比较法-工业'!$B$102:$M$102</definedName>
    <definedName name="工业建筑结构" localSheetId="18">'[1]比较法-工业'!$B$93:$M$93</definedName>
    <definedName name="工业建筑类型" localSheetId="18">'[1]比较法-工业'!$B$88:$M$88</definedName>
    <definedName name="工业交易情况" localSheetId="18">'[1]比较法-工业'!$A$55:$M$55</definedName>
    <definedName name="工业内部装修" localSheetId="18">'[1]比较法-工业'!$B$104:$M$104</definedName>
    <definedName name="工业物业管理" localSheetId="18">'[1]比较法-工业'!$B$100:$M$100</definedName>
    <definedName name="工业用途" localSheetId="18">'[1]比较法-工业'!$B$57:$M$57</definedName>
    <definedName name="公共配套设施" localSheetId="18">[1]定义!$Q$1:$Q$6</definedName>
    <definedName name="估价方法" localSheetId="18">[1]定义!$B$1:$B$50</definedName>
    <definedName name="环境" localSheetId="18">[1]定义!$S$1:$S$6</definedName>
    <definedName name="基础设施水平" localSheetId="18">[1]定义!$R$1:$R$6</definedName>
    <definedName name="季度" localSheetId="18">[1]基准地价修正!$Q$19:$AD$19</definedName>
    <definedName name="价值类型2" localSheetId="18">[1]定义!$B$54:$B$56</definedName>
    <definedName name="交通便捷度" localSheetId="18">[1]定义!$O$1:$O$6</definedName>
    <definedName name="九级" localSheetId="18">[1]区片价!$P$1:$P$46</definedName>
    <definedName name="居住社区成熟度" localSheetId="18">[1]定义!$K$1:$K$6</definedName>
    <definedName name="类别" localSheetId="18">[1]定义!$J$1:$J$3</definedName>
    <definedName name="临街状况" localSheetId="18">[1]定义!$T$1:$T$5</definedName>
    <definedName name="六级" localSheetId="18">[1]区片价!$M$1:$M$49</definedName>
    <definedName name="内部装修维护情况" localSheetId="18">[1]定义!$U$1:$U$6</definedName>
    <definedName name="判定" localSheetId="18">[1]定义!$D$1:$D$4</definedName>
    <definedName name="七级" localSheetId="18">[1]区片价!$N$1:$N$49</definedName>
    <definedName name="七通一平" localSheetId="18">[1]修正!$A$6:$A$14</definedName>
    <definedName name="区域土地利用方向" localSheetId="18">[1]定义!$P$1:$P$6</definedName>
    <definedName name="三级" localSheetId="18">[1]区片价!$J$1:$J$21</definedName>
    <definedName name="商业层高" localSheetId="18">'[1]比较法-商业'!$B$116:$M$116</definedName>
    <definedName name="商业成新度" localSheetId="18">'[1]比较法-商业'!$B$109:$M$109</definedName>
    <definedName name="商业繁华度" localSheetId="18">[1]定义!$L$1:$L$6</definedName>
    <definedName name="商业公共部分装修" localSheetId="18">'[1]比较法-商业'!$B$107:$M$107</definedName>
    <definedName name="商业基础设施水平" localSheetId="18">'[1]比较法-商业'!$B$112:$M$112</definedName>
    <definedName name="商业建筑结构" localSheetId="18">'[1]比较法-商业'!$B$105:$M$105</definedName>
    <definedName name="商业交易情况" localSheetId="18">'[1]比较法-商业'!$A$61:$M$61</definedName>
    <definedName name="商业街名称" localSheetId="18">[1]修正!$C$59:$C$119</definedName>
    <definedName name="商业进深比" localSheetId="18">'[1]比较法-商业'!$B$120:$M$120</definedName>
    <definedName name="商业类型" localSheetId="18">'[1]比较法-商业'!$B$100:$M$100</definedName>
    <definedName name="商业临街状况" localSheetId="18">'[1]比较法-商业'!$B$86:$M$86</definedName>
    <definedName name="商业楼层" localSheetId="18">'[1]比较法-商业'!$B$92:$M$92</definedName>
    <definedName name="商业内部装修" localSheetId="18">'[1]比较法-商业'!$B$122:$M$122</definedName>
    <definedName name="商业人流量" localSheetId="18">'[1]比较法-商业'!$B$90:$M$90</definedName>
    <definedName name="商业业态" localSheetId="18">'[1]比较法-商业'!$B$114:$M$114</definedName>
    <definedName name="商业用途" localSheetId="18">'[1]比较法-商业'!$B$63:$M$63</definedName>
    <definedName name="十二级" localSheetId="18">[1]区片价!$S$1:$S$8</definedName>
    <definedName name="十级" localSheetId="18">[1]区片价!$Q$1:$Q$27</definedName>
    <definedName name="十一级" localSheetId="18">[1]区片价!$R$1:$R$22</definedName>
    <definedName name="是否封闭" localSheetId="18">'[1]比较法-仓储'!$B$89:$M$89</definedName>
    <definedName name="是否直接入户" localSheetId="18">'[1]比较法-车位'!$B$95:$M$95</definedName>
    <definedName name="四级" localSheetId="18">[1]区片价!$K$1:$K$28</definedName>
    <definedName name="套工道路等级" localSheetId="18">'[1]土地比较法-工业'!$B$97:$M$97</definedName>
    <definedName name="套工地质条件" localSheetId="18">'[1]土地比较法-工业'!$B$114:$M$114</definedName>
    <definedName name="套工交易情况" localSheetId="18">'[1]土地比较法-住宅、综合'!$A$73:$M$73</definedName>
    <definedName name="套工土地级别" localSheetId="18">'[1]土地比较法-工业'!$B$99:$M$99</definedName>
    <definedName name="套工用途" localSheetId="18">'[1]土地比较法-工业'!$B$70:$M$70</definedName>
    <definedName name="套工宗地开发程度" localSheetId="18">'[1]土地比较法-工业'!$B$112:$M$112</definedName>
    <definedName name="套工宗地形状" localSheetId="18">'[1]土地比较法-工业'!$B$110:$M$110</definedName>
    <definedName name="套综道路等级" localSheetId="18">'[1]土地比较法-住宅、综合'!$B$106:$M$106</definedName>
    <definedName name="套综工程地质条件" localSheetId="18">'[1]土地比较法-住宅、综合'!$B$125:$M$125</definedName>
    <definedName name="套综交易情况" localSheetId="18">'[1]土地比较法-住宅、综合'!$A$73:$M$73</definedName>
    <definedName name="套综临街宽度及深度" localSheetId="18">'[1]土地比较法-住宅、综合'!$B$121:$M$121</definedName>
    <definedName name="套综土地级别" localSheetId="18">'[1]土地比较法-住宅、综合'!$B$108:$M$108</definedName>
    <definedName name="套综用途" localSheetId="18">'[1]土地比较法-住宅、综合'!$B$75:$M$75</definedName>
    <definedName name="套综宗地内开发程度" localSheetId="18">'[1]土地比较法-住宅、综合'!$B$123:$M$123</definedName>
    <definedName name="套综宗地形状" localSheetId="18">'[1]土地比较法-住宅、综合'!$B$119:$M$119</definedName>
    <definedName name="土地估价师" localSheetId="18">[1]估价师及机构信息!$D$3:$D$24</definedName>
    <definedName name="土地级别" localSheetId="18">[1]定义!$C$1:$C$14</definedName>
    <definedName name="土地利用方向" localSheetId="18">[1]定义!$P$1:$P$6</definedName>
    <definedName name="土地年限区间" localSheetId="18">[1]定义!$I$1:$I$8</definedName>
    <definedName name="位置" localSheetId="18">[1]定义!$E$2:$E$4</definedName>
    <definedName name="五等判定" localSheetId="18">[1]定义!$W$1:$W$6</definedName>
    <definedName name="五级" localSheetId="18">[1]区片价!$L$1:$L$35</definedName>
    <definedName name="项目类型" localSheetId="18">'[1]数据-汇总表'!$C$17:$C$26</definedName>
    <definedName name="写字楼等级" localSheetId="18">'[1]比较法-办公'!$B$113:$M$113</definedName>
    <definedName name="一级" localSheetId="18">[1]区片价!$H$1:$H$6</definedName>
    <definedName name="一修多修正项2" localSheetId="18">[1]典型户型修正!$5:$5</definedName>
    <definedName name="一修多修正项3" localSheetId="18">[1]典型户型修正!$7:$7</definedName>
    <definedName name="一修多修正项4" localSheetId="18">[1]典型户型修正!$9:$9</definedName>
    <definedName name="一修多修正项5" localSheetId="18">[1]典型户型修正!$11:$11</definedName>
    <definedName name="一修多修正项6" localSheetId="18">[1]典型户型修正!$13:$13</definedName>
    <definedName name="一修多修正项7" localSheetId="18">[1]典型户型修正!$15:$15</definedName>
    <definedName name="一修多修正项8" localSheetId="18">[1]典型户型修正!$17:$17</definedName>
    <definedName name="用途明细" localSheetId="18">[1]定义!$A$1:$A$50</definedName>
    <definedName name="有无电梯" localSheetId="18">'[1]比较法-仓储'!$B$84:$M$84</definedName>
    <definedName name="主用途" localSheetId="18">[1]定义!$F$1:$F$10</definedName>
    <definedName name="住宅朝向" localSheetId="18">'[1]比较法-住宅'!$B$88:$M$88</definedName>
    <definedName name="住宅房型" localSheetId="18">'[1]比较法-住宅'!$B$118:$M$118</definedName>
    <definedName name="住宅公共部分装修" localSheetId="18">'[1]比较法-住宅'!$B$109:$M$109</definedName>
    <definedName name="住宅基础设施水平" localSheetId="18">'[1]比较法-住宅'!$B$116:$M$116</definedName>
    <definedName name="住宅建筑结构" localSheetId="18">'[1]比较法-住宅'!$B$105:$M$105</definedName>
    <definedName name="住宅建筑类型" localSheetId="18">'[1]比较法-住宅'!$B$100:$M$100</definedName>
    <definedName name="住宅建筑品质" localSheetId="18">'[1]比较法-住宅'!$B$107:$M$107</definedName>
    <definedName name="住宅交易情况" localSheetId="18">'[1]比较法-住宅'!$A$61:$M$61</definedName>
    <definedName name="住宅楼层" localSheetId="18">'[1]比较法-住宅'!$B$86:$M$86</definedName>
    <definedName name="住宅内部装修" localSheetId="18">'[1]比较法-住宅'!$B$122:$M$122</definedName>
    <definedName name="住宅物业管理" localSheetId="18">'[1]比较法-住宅'!$B$114:$M$114</definedName>
    <definedName name="住宅用途" localSheetId="18">'[1]比较法-住宅'!$B$63:$M$63</definedName>
    <definedName name="住宅主力户型面积" localSheetId="18">'[1]比较法-住宅'!$B$120:$M$120</definedName>
    <definedName name="注册房地产估价师" localSheetId="18">[1]估价师及机构信息!$A$3:$A$24</definedName>
    <definedName name="八级" localSheetId="22">[7]区片价!$O$1:$O$40</definedName>
    <definedName name="办公层高" localSheetId="22">'[7]比较法-办公'!$B$119:$M$119</definedName>
    <definedName name="办公朝向" localSheetId="22">'[7]比较法-办公'!$B$91:$M$91</definedName>
    <definedName name="办公道路级别" localSheetId="22">'[7]比较法-办公'!$B$87:$M$87</definedName>
    <definedName name="办公公共部分装修" localSheetId="22">'[7]比较法-办公'!$B$108:$M$108</definedName>
    <definedName name="办公基础设施水平" localSheetId="22">'[7]比较法-办公'!$B$117:$M$117</definedName>
    <definedName name="办公集聚程度" localSheetId="22">[7]定义!$M$1:$M$6</definedName>
    <definedName name="办公建筑结构" localSheetId="22">'[7]比较法-办公'!$B$106:$M$106</definedName>
    <definedName name="办公建筑类型" localSheetId="22">'[7]比较法-办公'!$B$101:$M$101</definedName>
    <definedName name="办公交易情况" localSheetId="22">'[7]比较法-办公'!$A$62:$M$62</definedName>
    <definedName name="办公楼层" localSheetId="22">'[7]比较法-办公'!$B$89:$M$89</definedName>
    <definedName name="办公内部装修" localSheetId="22">'[7]比较法-办公'!$B$123:$M$123</definedName>
    <definedName name="办公物业管理" localSheetId="22">'[7]比较法-办公'!$B$115:$M$115</definedName>
    <definedName name="办公用途" localSheetId="22">'[7]比较法-办公'!$B$64:$M$64</definedName>
    <definedName name="仓储公共部分装修" localSheetId="22">'[7]比较法-仓储'!$B$77:$M$77</definedName>
    <definedName name="仓储交易情况" localSheetId="22">'[7]比较法-仓储'!$A$49:$M$49</definedName>
    <definedName name="仓储楼层" localSheetId="22">'[7]比较法-仓储'!$B$69:$M$69</definedName>
    <definedName name="仓储物业等级" localSheetId="22">'[7]比较法-仓储'!$B$82:$M$82</definedName>
    <definedName name="仓储用途" localSheetId="22">'[7]比较法-仓储'!$B$51:$M$51</definedName>
    <definedName name="产业集聚程度" localSheetId="22">[7]定义!$N$1:$N$6</definedName>
    <definedName name="车位公共部分装修" localSheetId="22">'[7]比较法-车位'!$B$83:$M$83</definedName>
    <definedName name="车位交易情况" localSheetId="22">'[7]比较法-车位'!$A$51:$M$51</definedName>
    <definedName name="车位类型" localSheetId="22">'[7]比较法-车位'!$B$93:$M$93</definedName>
    <definedName name="车位楼层" localSheetId="22">'[7]比较法-车位'!$B$71:$M$71</definedName>
    <definedName name="车位配套类型" localSheetId="22">'[7]比较法-车位'!$B$79:$M$79</definedName>
    <definedName name="车位物业等级" localSheetId="22">'[7]比较法-车位'!$B$88:$M$88</definedName>
    <definedName name="车位用途" localSheetId="22">'[7]比较法-车位'!$B$53:$M$53</definedName>
    <definedName name="城镇土地纳税等级分级范围" localSheetId="22">'[7]数据-取费表'!$A$53:$A$63</definedName>
    <definedName name="单价内涵" localSheetId="22">[7]定义!$V$1:$V$3</definedName>
    <definedName name="地类判定" localSheetId="22">[7]定义!$H$1:$H$9</definedName>
    <definedName name="二级" localSheetId="22">[7]区片价!$I$1:$I$20</definedName>
    <definedName name="二级分类" localSheetId="22">[7]修正!$C$17:$C$39</definedName>
    <definedName name="法定最高年限" localSheetId="22">[7]定义!$G$1:$G$4</definedName>
    <definedName name="工业公共部分装修" localSheetId="22">'[7]比较法-工业'!$B$95:$M$95</definedName>
    <definedName name="工业基础设施水平" localSheetId="22">'[7]比较法-工业'!$B$102:$M$102</definedName>
    <definedName name="工业建筑结构" localSheetId="22">'[7]比较法-工业'!$B$93:$M$93</definedName>
    <definedName name="工业建筑类型" localSheetId="22">'[7]比较法-工业'!$B$88:$M$88</definedName>
    <definedName name="工业交易情况" localSheetId="22">'[7]比较法-工业'!$A$55:$M$55</definedName>
    <definedName name="工业内部装修" localSheetId="22">'[7]比较法-工业'!$B$104:$M$104</definedName>
    <definedName name="工业物业管理" localSheetId="22">'[7]比较法-工业'!$B$100:$M$100</definedName>
    <definedName name="工业用途" localSheetId="22">'[7]比较法-工业'!$B$57:$M$57</definedName>
    <definedName name="公共配套设施" localSheetId="22">[7]定义!$Q$1:$Q$6</definedName>
    <definedName name="估价方法" localSheetId="22">[7]定义!$B$1:$B$50</definedName>
    <definedName name="环境" localSheetId="22">[7]定义!$S$1:$S$6</definedName>
    <definedName name="基础设施水平" localSheetId="22">[7]定义!$R$1:$R$6</definedName>
    <definedName name="季度" localSheetId="22">'[7]基准地价修正--商业'!$Q$19:$AD$19</definedName>
    <definedName name="价值类型2" localSheetId="22">[7]定义!$B$54:$B$56</definedName>
    <definedName name="交通便捷度" localSheetId="22">[7]定义!$O$1:$O$6</definedName>
    <definedName name="九级" localSheetId="22">[7]区片价!$P$1:$P$46</definedName>
    <definedName name="居住社区成熟度" localSheetId="22">[7]定义!$K$1:$K$6</definedName>
    <definedName name="类别" localSheetId="22">[7]定义!$J$1:$J$3</definedName>
    <definedName name="临街状况" localSheetId="22">[7]定义!$T$1:$T$5</definedName>
    <definedName name="六级" localSheetId="22">[7]区片价!$M$1:$M$49</definedName>
    <definedName name="内部装修维护情况" localSheetId="22">[7]定义!$U$1:$U$6</definedName>
    <definedName name="判定" localSheetId="22">[7]定义!$D$1:$D$4</definedName>
    <definedName name="七级" localSheetId="22">[7]区片价!$N$1:$N$49</definedName>
    <definedName name="七通一平" localSheetId="22">[7]修正!$A$6:$A$14</definedName>
    <definedName name="区域土地利用方向" localSheetId="22">[7]定义!$P$1:$P$6</definedName>
    <definedName name="三级" localSheetId="22">[7]区片价!$J$1:$J$21</definedName>
    <definedName name="商业层高" localSheetId="22">'[7]比较法-商业'!$B$116:$M$116</definedName>
    <definedName name="商业成新度" localSheetId="22">'[7]比较法-商业'!$B$109:$M$109</definedName>
    <definedName name="商业繁华度" localSheetId="22">[7]定义!$L$1:$L$6</definedName>
    <definedName name="商业公共部分装修" localSheetId="22">'[7]比较法-商业'!$B$107:$M$107</definedName>
    <definedName name="商业基础设施水平" localSheetId="22">'[7]比较法-商业'!$B$112:$M$112</definedName>
    <definedName name="商业建筑结构" localSheetId="22">'[7]比较法-商业'!$B$105:$M$105</definedName>
    <definedName name="商业交易情况" localSheetId="22">'[7]比较法-商业'!$A$61:$M$61</definedName>
    <definedName name="商业街名称" localSheetId="22">[7]修正!$C$59:$C$119</definedName>
    <definedName name="商业进深比" localSheetId="22">'[7]比较法-商业'!$B$120:$M$120</definedName>
    <definedName name="商业类型" localSheetId="22">'[7]比较法-商业'!$B$100:$M$100</definedName>
    <definedName name="商业临街状况" localSheetId="22">'[7]比较法-商业'!$B$86:$M$86</definedName>
    <definedName name="商业楼层" localSheetId="22">'[7]比较法-商业'!$B$92:$M$92</definedName>
    <definedName name="商业内部装修" localSheetId="22">'[7]比较法-商业'!$B$122:$M$122</definedName>
    <definedName name="商业人流量" localSheetId="22">'[7]比较法-商业'!$B$90:$M$90</definedName>
    <definedName name="商业业态" localSheetId="22">'[7]比较法-商业'!$B$114:$M$114</definedName>
    <definedName name="商业用途" localSheetId="22">'[7]比较法-商业'!$B$63:$M$63</definedName>
    <definedName name="十二级" localSheetId="22">[7]区片价!$S$1:$S$8</definedName>
    <definedName name="十级" localSheetId="22">[7]区片价!$Q$1:$Q$27</definedName>
    <definedName name="十一级" localSheetId="22">[7]区片价!$R$1:$R$22</definedName>
    <definedName name="是否封闭" localSheetId="22">'[7]比较法-仓储'!$B$89:$M$89</definedName>
    <definedName name="是否直接入户" localSheetId="22">'[7]比较法-车位'!$B$95:$M$95</definedName>
    <definedName name="四级" localSheetId="22">[7]区片价!$K$1:$K$28</definedName>
    <definedName name="套工道路等级" localSheetId="22">'[7]土地比较法-工业'!$B$97:$M$97</definedName>
    <definedName name="套工地质条件" localSheetId="22">'[7]土地比较法-工业'!$B$114:$M$114</definedName>
    <definedName name="套工交易情况" localSheetId="22">'[7]土地比较法-住宅、综合'!$A$73:$M$73</definedName>
    <definedName name="套工土地级别" localSheetId="22">'[7]土地比较法-工业'!$B$99:$M$99</definedName>
    <definedName name="套工用途" localSheetId="22">'[7]土地比较法-工业'!$B$70:$M$70</definedName>
    <definedName name="套工宗地开发程度" localSheetId="22">'[7]土地比较法-工业'!$B$112:$M$112</definedName>
    <definedName name="套工宗地形状" localSheetId="22">'[7]土地比较法-工业'!$B$110:$M$110</definedName>
    <definedName name="套综道路等级" localSheetId="22">'[7]土地比较法-住宅、综合'!$B$106:$M$106</definedName>
    <definedName name="套综工程地质条件" localSheetId="22">'[7]土地比较法-住宅、综合'!$B$125:$M$125</definedName>
    <definedName name="套综交易情况" localSheetId="22">'[7]土地比较法-住宅、综合'!$A$73:$M$73</definedName>
    <definedName name="套综临街宽度及深度" localSheetId="22">'[7]土地比较法-住宅、综合'!$B$121:$M$121</definedName>
    <definedName name="套综土地级别" localSheetId="22">'[7]土地比较法-住宅、综合'!$B$108:$M$108</definedName>
    <definedName name="套综用途" localSheetId="22">'[7]土地比较法-住宅、综合'!$B$75:$M$75</definedName>
    <definedName name="套综宗地内开发程度" localSheetId="22">'[7]土地比较法-住宅、综合'!$B$123:$M$123</definedName>
    <definedName name="套综宗地形状" localSheetId="22">'[7]土地比较法-住宅、综合'!$B$119:$M$119</definedName>
    <definedName name="土地估价师" localSheetId="22">[7]估价师及机构信息!$D$3:$D$24</definedName>
    <definedName name="土地级别" localSheetId="22">[7]定义!$C$1:$C$14</definedName>
    <definedName name="土地利用方向" localSheetId="22">[7]定义!$P$1:$P$6</definedName>
    <definedName name="土地年限区间" localSheetId="22">[7]定义!$I$1:$I$8</definedName>
    <definedName name="位置" localSheetId="22">[7]定义!$E$2:$E$4</definedName>
    <definedName name="五等判定" localSheetId="22">[7]定义!$W$1:$W$6</definedName>
    <definedName name="五级" localSheetId="22">[7]区片价!$L$1:$L$35</definedName>
    <definedName name="项目类型" localSheetId="22">'[7]数据-汇总表'!$C$17:$C$26</definedName>
    <definedName name="写字楼等级" localSheetId="22">'[7]比较法-办公'!$B$113:$M$113</definedName>
    <definedName name="一级" localSheetId="22">[7]区片价!$H$1:$H$6</definedName>
    <definedName name="一修多修正项2" localSheetId="22">[7]典型户型修正!$5:$5</definedName>
    <definedName name="一修多修正项3" localSheetId="22">[7]典型户型修正!$7:$7</definedName>
    <definedName name="一修多修正项4" localSheetId="22">[7]典型户型修正!$9:$9</definedName>
    <definedName name="一修多修正项5" localSheetId="22">[7]典型户型修正!$11:$11</definedName>
    <definedName name="一修多修正项6" localSheetId="22">[7]典型户型修正!$13:$13</definedName>
    <definedName name="一修多修正项7" localSheetId="22">[7]典型户型修正!$15:$15</definedName>
    <definedName name="一修多修正项8" localSheetId="22">[7]典型户型修正!$17:$17</definedName>
    <definedName name="用途明细" localSheetId="22">[7]定义!$A$1:$A$50</definedName>
    <definedName name="有无电梯" localSheetId="22">'[7]比较法-仓储'!$B$84:$M$84</definedName>
    <definedName name="主用途" localSheetId="22">[7]定义!$F$1:$F$10</definedName>
    <definedName name="住宅朝向" localSheetId="22">'[7]比较法-住宅'!$B$88:$M$88</definedName>
    <definedName name="住宅房型" localSheetId="22">'[7]比较法-住宅'!$B$118:$M$118</definedName>
    <definedName name="住宅公共部分装修" localSheetId="22">'[7]比较法-住宅'!$B$109:$M$109</definedName>
    <definedName name="住宅基础设施水平" localSheetId="22">'[7]比较法-住宅'!$B$116:$M$116</definedName>
    <definedName name="住宅建筑结构" localSheetId="22">'[7]比较法-住宅'!$B$105:$M$105</definedName>
    <definedName name="住宅建筑类型" localSheetId="22">'[7]比较法-住宅'!$B$100:$M$100</definedName>
    <definedName name="住宅建筑品质" localSheetId="22">'[7]比较法-住宅'!$B$107:$M$107</definedName>
    <definedName name="住宅交易情况" localSheetId="22">'[7]比较法-住宅'!$A$61:$M$61</definedName>
    <definedName name="住宅楼层" localSheetId="22">'[7]比较法-住宅'!$B$86:$M$86</definedName>
    <definedName name="住宅内部装修" localSheetId="22">'[7]比较法-住宅'!$B$122:$M$122</definedName>
    <definedName name="住宅物业管理" localSheetId="22">'[7]比较法-住宅'!$B$114:$M$114</definedName>
    <definedName name="住宅用途" localSheetId="22">'[7]比较法-住宅'!$B$63:$M$63</definedName>
    <definedName name="住宅主力户型面积" localSheetId="22">'[7]比较法-住宅'!$B$120:$M$120</definedName>
    <definedName name="注册房地产估价师" localSheetId="22">[7]估价师及机构信息!$A$3:$A$16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<sst xmlns="http://schemas.openxmlformats.org/spreadsheetml/2006/main" count="10139" uniqueCount="2910">
  <si>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</si>
  <si>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</si>
  <si>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</si>
  <si>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</si>
  <si>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</si>
  <si>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</si>
  <si>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</si>
  <si>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</si>
  <si>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</si>
  <si>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</si>
  <si>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</si>
  <si>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</si>
  <si>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</si>
  <si>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</si>
  <si>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</si>
  <si>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</si>
  <si>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</si>
  <si>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</si>
  <si>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</si>
  <si>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</si>
  <si>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</si>
  <si>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</si>
  <si>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</si>
  <si>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</si>
  <si>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</si>
  <si>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</si>
  <si>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</si>
  <si>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</si>
  <si>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</si>
  <si>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</si>
  <si>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</si>
  <si>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</si>
  <si>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</si>
  <si>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</si>
  <si>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</si>
  <si>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</si>
  <si>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</si>
  <si>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</si>
  <si>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</si>
  <si>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</si>
  <si>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</si>
  <si>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</si>
  <si>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</si>
  <si>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</si>
  <si>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</si>
  <si>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</si>
  <si>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</si>
  <si>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</si>
  <si>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</si>
  <si>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</si>
  <si>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</si>
  <si>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</si>
  <si>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</si>
  <si>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</si>
  <si>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</si>
  <si>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</si>
  <si>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</si>
  <si>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</si>
  <si>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</si>
  <si>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</si>
  <si>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</si>
  <si>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</si>
  <si>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</si>
  <si>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</si>
  <si>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</si>
  <si>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</si>
  <si>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</si>
  <si>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</si>
  <si>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</si>
  <si>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</si>
  <si>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</si>
  <si>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</si>
  <si>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</si>
  <si>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</si>
  <si>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</si>
  <si>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</si>
  <si>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</si>
  <si>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</si>
  <si>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</si>
  <si>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</si>
  <si>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</si>
  <si>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</si>
  <si>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</si>
  <si>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</si>
  <si>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</si>
  <si>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</si>
  <si>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</si>
  <si>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</si>
  <si>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</si>
  <si>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</si>
  <si>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</si>
  <si>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</si>
  <si>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</si>
  <si>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</si>
  <si>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</si>
  <si>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</si>
  <si>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</si>
  <si>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</si>
  <si>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</si>
  <si>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</si>
  <si>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</si>
  <si>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</si>
  <si>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</si>
  <si>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</si>
  <si>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</si>
  <si>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</si>
  <si>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</si>
  <si>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</si>
  <si>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</si>
  <si>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</si>
  <si>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</si>
  <si>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</si>
  <si>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</si>
  <si>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</si>
  <si>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</si>
  <si>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</si>
  <si>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</si>
  <si>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</si>
  <si>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</si>
  <si>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</si>
  <si>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</si>
  <si>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</si>
  <si>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</si>
  <si>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</si>
  <si>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</si>
  <si>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</si>
  <si>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</si>
  <si>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</si>
  <si>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</si>
  <si>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</si>
  <si>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</si>
  <si>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</si>
  <si>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</si>
  <si>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</si>
  <si>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</si>
  <si>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</si>
  <si>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</si>
  <si>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</si>
  <si>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</si>
  <si>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</si>
  <si>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</si>
  <si>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</si>
  <si>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</si>
  <si>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</si>
  <si>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</si>
  <si>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</si>
  <si>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</si>
  <si>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</si>
  <si>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</si>
  <si>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</si>
  <si>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</si>
  <si>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</si>
  <si>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</si>
  <si>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</si>
  <si>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</si>
  <si>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</si>
  <si>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</si>
  <si>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</si>
  <si>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</si>
  <si>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</si>
  <si>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</si>
  <si>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</si>
  <si>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</si>
  <si>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</si>
  <si>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</si>
  <si>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</si>
  <si>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</si>
  <si>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</si>
  <si>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</si>
  <si>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</si>
  <si>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</si>
  <si>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</si>
  <si>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</si>
  <si>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</si>
  <si>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</si>
  <si>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</si>
  <si>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</si>
  <si>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</si>
  <si>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</si>
  <si>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</si>
  <si>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</si>
  <si>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</si>
  <si>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</si>
  <si>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</si>
  <si>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</si>
  <si>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</si>
  <si>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</si>
  <si>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</si>
  <si>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</si>
  <si>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</si>
  <si>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</si>
  <si>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</si>
  <si>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</si>
  <si>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</si>
  <si>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</si>
  <si>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</si>
  <si>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</si>
  <si>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</si>
  <si>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</si>
  <si>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</si>
  <si>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</si>
  <si>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</si>
  <si>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</si>
  <si>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</si>
  <si>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</si>
  <si>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</si>
  <si>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</si>
  <si>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</si>
  <si>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</si>
  <si>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</si>
  <si>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</si>
  <si>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</si>
  <si>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</si>
  <si>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</si>
  <si>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</si>
  <si>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</si>
  <si>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</si>
  <si>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</si>
  <si>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</si>
  <si>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</si>
  <si>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</si>
  <si>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</si>
  <si>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</si>
  <si>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</si>
  <si>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</si>
  <si>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</si>
  <si>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</si>
  <si>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</si>
  <si>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</si>
  <si>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</si>
  <si>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</si>
  <si>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</si>
  <si>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</si>
  <si>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</si>
  <si>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</si>
  <si>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</si>
  <si>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</si>
  <si>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</si>
  <si>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</si>
  <si>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</si>
  <si>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</si>
  <si>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</si>
  <si>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</si>
  <si>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</si>
  <si>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</si>
  <si>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</si>
  <si>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</si>
  <si>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</si>
  <si>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</si>
  <si>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</si>
  <si>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</si>
  <si>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</si>
  <si>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</si>
  <si>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</si>
  <si>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</si>
  <si>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</si>
  <si>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</si>
  <si>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</si>
  <si>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</si>
  <si>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</si>
  <si>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</si>
  <si>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</si>
  <si>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</si>
  <si>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</si>
  <si>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</si>
  <si>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</si>
  <si>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</si>
  <si>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</si>
  <si>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</si>
  <si>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</si>
  <si>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</si>
  <si>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</si>
  <si>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</si>
  <si>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</si>
  <si>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</si>
  <si>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</si>
  <si>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</si>
  <si>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</si>
  <si>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</si>
  <si>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</si>
  <si>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</si>
  <si>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</si>
  <si>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</si>
  <si>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</si>
  <si>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</si>
  <si>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</si>
  <si>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</si>
  <si>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</si>
  <si>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</si>
  <si>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</si>
  <si>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</si>
  <si>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</si>
  <si>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</si>
  <si>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</si>
  <si>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</si>
  <si>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</si>
  <si>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</si>
  <si>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</si>
  <si>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</si>
  <si>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</si>
  <si>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</si>
  <si>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</si>
  <si>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</si>
  <si>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</si>
  <si>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</si>
  <si>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</si>
  <si>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</si>
  <si>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</si>
  <si>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</si>
  <si>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</si>
  <si>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</si>
  <si>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</si>
  <si>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</si>
  <si>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</si>
  <si>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</si>
  <si>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</si>
  <si>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</si>
  <si>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</si>
  <si>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</si>
  <si>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</si>
  <si>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</si>
  <si>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</si>
  <si>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</si>
  <si>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</si>
  <si>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</si>
  <si>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</si>
  <si>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</si>
  <si>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</si>
  <si>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</si>
  <si>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</si>
  <si>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</si>
  <si>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</si>
  <si>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</si>
  <si>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</si>
  <si>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</si>
  <si>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</si>
  <si>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</si>
  <si>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</si>
  <si>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</si>
  <si>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</si>
  <si>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</si>
  <si>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</si>
  <si>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</si>
  <si>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</si>
  <si>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</si>
  <si>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</si>
  <si>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</si>
  <si>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</si>
  <si>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</si>
  <si>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</si>
  <si>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</si>
  <si>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</si>
  <si>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</si>
  <si>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</si>
  <si>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</si>
  <si>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</si>
  <si>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</si>
  <si>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</si>
  <si>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</si>
  <si>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</si>
  <si>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</si>
  <si>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</si>
  <si>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</si>
  <si>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</si>
  <si>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</si>
  <si>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</si>
  <si>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</si>
  <si>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</si>
  <si>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</si>
  <si>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</si>
  <si>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</si>
  <si>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</si>
  <si>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</si>
  <si>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</si>
  <si>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</si>
  <si>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</si>
  <si>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</si>
  <si>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</si>
  <si>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</si>
  <si>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</si>
  <si>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</si>
  <si>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</si>
  <si>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</si>
  <si>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</si>
  <si>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</si>
  <si>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</si>
  <si>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</si>
  <si>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</si>
  <si>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</si>
  <si>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</si>
  <si>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</si>
  <si>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</si>
  <si>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</si>
  <si>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</si>
  <si>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</si>
  <si>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</si>
  <si>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</si>
  <si>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</si>
  <si>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</si>
  <si>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</si>
  <si>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</si>
  <si>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</si>
  <si>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</si>
  <si>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</si>
  <si>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</si>
  <si>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</si>
  <si>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</si>
  <si>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</si>
  <si>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</si>
  <si>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</si>
  <si>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</si>
  <si>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</si>
  <si>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</si>
  <si>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</si>
  <si>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</si>
  <si>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</si>
  <si>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</si>
  <si>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</si>
  <si>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</si>
  <si>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</si>
  <si>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</si>
  <si>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</si>
  <si>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</si>
  <si>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</si>
  <si>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</si>
  <si>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</si>
  <si>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</si>
  <si>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</si>
  <si>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</si>
  <si>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</si>
  <si>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</si>
  <si>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</si>
  <si>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</si>
  <si>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</si>
  <si>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</si>
  <si>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</si>
  <si>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</si>
  <si>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</si>
  <si>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</si>
  <si>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</si>
  <si>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</si>
  <si>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</si>
  <si>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</si>
  <si>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</si>
  <si>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</si>
  <si>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</si>
  <si>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</si>
  <si>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</si>
  <si>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</si>
  <si>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</si>
  <si>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</si>
  <si>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</si>
  <si>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</si>
  <si>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</si>
  <si>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</si>
  <si>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</si>
  <si>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</si>
  <si>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</si>
  <si>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</si>
  <si>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</si>
  <si>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</si>
  <si>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</si>
  <si>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</si>
  <si>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</si>
  <si>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</si>
  <si>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</si>
  <si>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</si>
  <si>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</si>
  <si>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</si>
  <si>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</si>
  <si>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</si>
  <si>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</si>
  <si>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</si>
  <si>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</si>
  <si>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</si>
  <si>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</si>
  <si>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</si>
  <si>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</si>
  <si>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</si>
  <si>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</si>
  <si>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</si>
  <si>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</si>
  <si>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</si>
  <si>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</si>
  <si>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</si>
  <si>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</si>
  <si>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</si>
  <si>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</si>
  <si>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</si>
  <si>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</si>
  <si>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</si>
  <si>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</si>
  <si>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</si>
  <si>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</si>
  <si>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</si>
  <si>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</si>
  <si>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</si>
  <si>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</si>
  <si>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</si>
  <si>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</si>
  <si>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</si>
  <si>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</si>
  <si>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</si>
  <si>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</si>
  <si>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</si>
  <si>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</si>
  <si>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</si>
  <si>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</si>
  <si>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</si>
  <si>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</si>
  <si>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</si>
  <si>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</si>
  <si>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</si>
  <si>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</si>
  <si>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</si>
  <si>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</si>
  <si>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</si>
  <si>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</si>
  <si>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</si>
  <si>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</si>
  <si>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</si>
  <si>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</si>
  <si>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</si>
  <si>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</si>
  <si>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</si>
  <si>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</si>
  <si>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</si>
  <si>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</si>
  <si>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</si>
  <si>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</si>
  <si>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</si>
  <si>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</si>
  <si>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</si>
  <si>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</si>
  <si>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</si>
  <si>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</si>
  <si>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</si>
  <si>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</si>
  <si>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</si>
  <si>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</si>
  <si>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</si>
  <si>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</si>
  <si>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</si>
  <si>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</si>
  <si>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</si>
  <si>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</si>
  <si>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</si>
  <si>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</si>
  <si>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</si>
  <si>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</si>
  <si>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</si>
  <si>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</si>
  <si>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</si>
  <si>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</si>
  <si>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</si>
  <si>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</si>
  <si>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</si>
  <si>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</si>
  <si>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</si>
  <si>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</si>
  <si>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</si>
  <si>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</si>
  <si>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</si>
  <si>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</si>
  <si>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</si>
  <si>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</si>
  <si>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</si>
  <si>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</si>
  <si>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</si>
  <si>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</si>
  <si>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</si>
  <si>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</si>
  <si>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</si>
  <si>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</si>
  <si>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</si>
  <si>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</si>
  <si>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</si>
  <si>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</si>
  <si>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</si>
  <si>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</si>
  <si>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</si>
  <si>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</si>
  <si>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</si>
  <si>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</si>
  <si>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</si>
  <si>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</si>
  <si>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</si>
  <si>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</si>
  <si>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</si>
  <si>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</si>
  <si>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</si>
  <si>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</si>
  <si>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</si>
  <si>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</si>
  <si>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</si>
  <si>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</si>
  <si>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</si>
  <si>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</si>
  <si>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</si>
  <si>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</si>
  <si>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</si>
  <si>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</si>
  <si>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</si>
  <si>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</si>
  <si>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</si>
  <si>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</si>
  <si>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</si>
  <si>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</si>
  <si>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</si>
  <si>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</si>
  <si>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</si>
  <si>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</si>
  <si>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</si>
  <si>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</si>
  <si>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</si>
  <si>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</si>
  <si>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</si>
  <si>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</si>
  <si>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</si>
  <si>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</si>
  <si>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</si>
  <si>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</si>
  <si>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</si>
  <si>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</si>
  <si>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</si>
  <si>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</si>
  <si>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</si>
  <si>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</si>
  <si>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</si>
  <si>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</si>
  <si>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</si>
  <si>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</si>
  <si>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</si>
  <si>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</si>
  <si>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</si>
  <si>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</si>
  <si>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</si>
  <si>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</si>
  <si>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</si>
  <si>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</si>
  <si>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</si>
  <si>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</si>
  <si>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</si>
  <si>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</si>
  <si>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</si>
  <si>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</si>
  <si>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</si>
  <si>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</si>
  <si>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</si>
  <si>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</si>
  <si>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</si>
  <si>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</si>
  <si>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</si>
  <si>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</si>
  <si>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</si>
  <si>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</si>
  <si>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</si>
  <si>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</si>
  <si>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</si>
  <si>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</si>
  <si>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</si>
  <si>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</si>
  <si>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</si>
  <si>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</si>
  <si>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</si>
  <si>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</si>
  <si>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</si>
  <si>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</si>
  <si>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</si>
  <si>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</si>
  <si>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</si>
  <si>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</si>
  <si>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</si>
  <si>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</si>
  <si>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</si>
  <si>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</si>
  <si>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</si>
  <si>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</si>
  <si>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</si>
  <si>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</si>
  <si>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</si>
  <si>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</si>
  <si>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</si>
  <si>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</si>
  <si>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</si>
  <si>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</si>
  <si>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</si>
  <si>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</si>
  <si>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</si>
  <si>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</si>
  <si>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</si>
  <si>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</si>
  <si>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</si>
  <si>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</si>
  <si>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</si>
  <si>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</si>
  <si>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</si>
  <si>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</si>
  <si>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</si>
  <si>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</si>
  <si>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</si>
  <si>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</si>
  <si>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</si>
  <si>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</si>
  <si>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</si>
  <si>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</si>
  <si>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</si>
  <si>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</si>
  <si>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</si>
  <si>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</si>
  <si>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</si>
  <si>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</si>
  <si>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</si>
  <si>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</si>
  <si>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</si>
  <si>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</si>
  <si>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</si>
  <si>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</si>
  <si>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</si>
  <si>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</si>
  <si>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</si>
  <si>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</si>
  <si>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</si>
  <si>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</si>
  <si>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</si>
  <si>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</si>
  <si>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</si>
  <si>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</si>
  <si>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</si>
  <si>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</si>
  <si>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</si>
  <si>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</si>
  <si>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</si>
  <si>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</si>
  <si>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</si>
  <si>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</si>
  <si>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</si>
  <si>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</si>
  <si>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</si>
  <si>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</si>
  <si>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</si>
  <si>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</si>
  <si>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</si>
  <si>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</si>
  <si>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</si>
  <si>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</si>
  <si>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</si>
  <si>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</si>
  <si>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</si>
  <si>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</si>
  <si>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</si>
  <si>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</si>
  <si>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</si>
  <si>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</si>
  <si>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</si>
  <si>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</si>
  <si>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</si>
  <si>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</si>
  <si>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</si>
  <si>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</si>
  <si>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</si>
  <si>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</si>
  <si>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</si>
  <si>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</si>
  <si>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</si>
  <si>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</si>
  <si>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</si>
  <si>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</si>
  <si>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</si>
  <si>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</si>
  <si>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</si>
  <si>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</si>
  <si>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</si>
  <si>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</si>
  <si>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</si>
  <si>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</si>
  <si>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</si>
  <si>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</si>
  <si>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</si>
  <si>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</si>
  <si>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</si>
  <si>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</si>
  <si>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</si>
  <si>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</si>
  <si>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</si>
  <si>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</si>
  <si>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</si>
  <si>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</si>
  <si>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</si>
  <si>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</si>
  <si>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</si>
  <si>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</si>
  <si>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</si>
  <si>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</si>
  <si>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</si>
  <si>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</si>
  <si>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</si>
  <si>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</si>
  <si>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</si>
  <si>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</si>
  <si>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</si>
  <si>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</si>
  <si>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</si>
  <si>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</si>
  <si>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</si>
  <si>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</si>
  <si>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</si>
  <si>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</si>
  <si>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</si>
  <si>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</si>
  <si>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</si>
  <si>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</si>
  <si>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</si>
  <si>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</si>
  <si>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</si>
  <si>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</si>
  <si>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</si>
  <si>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</si>
  <si>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</si>
  <si>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</si>
  <si>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</si>
  <si>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</si>
  <si>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</si>
  <si>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</si>
  <si>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</si>
  <si>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</si>
  <si>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</si>
  <si>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</si>
  <si>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</si>
  <si>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</si>
  <si>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</si>
  <si>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</si>
  <si>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</si>
  <si>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</si>
  <si>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t>1层毛坯</t>
  </si>
  <si>
    <t>1层精装</t>
  </si>
  <si>
    <t>2层毛坯</t>
  </si>
  <si>
    <t>2层精装</t>
  </si>
  <si>
    <t>3层</t>
  </si>
  <si>
    <t>4层</t>
  </si>
  <si>
    <t>5层</t>
  </si>
  <si>
    <t>负一层</t>
  </si>
  <si>
    <t>面积</t>
  </si>
  <si>
    <t>单价</t>
  </si>
  <si>
    <t>综合单价</t>
  </si>
  <si>
    <t>楼层</t>
  </si>
  <si>
    <t>系数</t>
  </si>
  <si>
    <t>装修</t>
  </si>
  <si>
    <t>25号楼101</t>
  </si>
  <si>
    <t>5号楼-101</t>
  </si>
  <si>
    <t>5号楼101</t>
  </si>
  <si>
    <t>5号楼201</t>
  </si>
  <si>
    <t>5号楼301</t>
  </si>
  <si>
    <t>6号楼1层</t>
  </si>
  <si>
    <t>精装修</t>
  </si>
  <si>
    <t>6号楼2层</t>
  </si>
  <si>
    <t>23号楼-101</t>
  </si>
  <si>
    <t>23号楼-102</t>
  </si>
  <si>
    <t>23号楼101</t>
  </si>
  <si>
    <t>23号楼201</t>
  </si>
  <si>
    <t>23号楼202</t>
  </si>
  <si>
    <t>23号楼301</t>
  </si>
  <si>
    <t>23号楼401</t>
  </si>
  <si>
    <t>23号楼501</t>
  </si>
  <si>
    <t>24号楼-101</t>
  </si>
  <si>
    <t>24号楼-102</t>
  </si>
  <si>
    <t>24号楼101</t>
  </si>
  <si>
    <t>24号楼201</t>
  </si>
  <si>
    <t>24号楼202</t>
  </si>
  <si>
    <t>24号楼301</t>
  </si>
  <si>
    <t>25号楼-101</t>
  </si>
  <si>
    <t>25号楼-102</t>
  </si>
  <si>
    <t>25号楼102</t>
  </si>
  <si>
    <t>25号楼201</t>
  </si>
  <si>
    <t>25号楼202</t>
  </si>
  <si>
    <t>25号楼301</t>
  </si>
  <si>
    <t>25号楼401</t>
  </si>
  <si>
    <t>商业类型</t>
  </si>
  <si>
    <t>楼号</t>
  </si>
  <si>
    <t>建筑面积（平方米）</t>
  </si>
  <si>
    <t>设定用途</t>
  </si>
  <si>
    <t>租金（元/平方米﹒天）</t>
  </si>
  <si>
    <r>
      <rPr>
        <sz val="10"/>
        <color theme="1"/>
        <rFont val="宋体"/>
        <charset val="134"/>
      </rPr>
      <t>总租金</t>
    </r>
    <r>
      <rPr>
        <sz val="10"/>
        <color theme="1"/>
        <rFont val="Arial"/>
        <charset val="134"/>
      </rPr>
      <t>(</t>
    </r>
    <r>
      <rPr>
        <sz val="10"/>
        <color theme="1"/>
        <rFont val="宋体"/>
        <charset val="134"/>
      </rPr>
      <t>元</t>
    </r>
    <r>
      <rPr>
        <sz val="10"/>
        <color theme="1"/>
        <rFont val="Arial"/>
        <charset val="134"/>
      </rPr>
      <t>/</t>
    </r>
    <r>
      <rPr>
        <sz val="10"/>
        <color theme="1"/>
        <rFont val="宋体"/>
        <charset val="134"/>
      </rPr>
      <t>天）</t>
    </r>
  </si>
  <si>
    <t>增配商业用房</t>
  </si>
  <si>
    <t>地下一层</t>
  </si>
  <si>
    <t>三层</t>
  </si>
  <si>
    <r>
      <rPr>
        <sz val="9"/>
        <color rgb="FF000000"/>
        <rFont val="Arial"/>
        <charset val="134"/>
      </rPr>
      <t>22</t>
    </r>
    <r>
      <rPr>
        <sz val="9"/>
        <color rgb="FF000000"/>
        <rFont val="Arial"/>
        <charset val="134"/>
      </rPr>
      <t>（现状16</t>
    </r>
    <r>
      <rPr>
        <sz val="9"/>
        <color rgb="FF000000"/>
        <rFont val="Arial"/>
        <charset val="134"/>
      </rPr>
      <t>）</t>
    </r>
  </si>
  <si>
    <t>一至十层</t>
  </si>
  <si>
    <t>宾馆（酒店）</t>
  </si>
  <si>
    <r>
      <rPr>
        <sz val="9"/>
        <color rgb="FF000000"/>
        <rFont val="Arial"/>
        <charset val="134"/>
      </rPr>
      <t>23</t>
    </r>
    <r>
      <rPr>
        <sz val="9"/>
        <color rgb="FF000000"/>
        <rFont val="华文细黑"/>
        <charset val="134"/>
      </rPr>
      <t>（现状</t>
    </r>
    <r>
      <rPr>
        <sz val="9"/>
        <color rgb="FF000000"/>
        <rFont val="Arial"/>
        <charset val="134"/>
      </rPr>
      <t>17</t>
    </r>
    <r>
      <rPr>
        <sz val="9"/>
        <color rgb="FF000000"/>
        <rFont val="华文细黑"/>
        <charset val="134"/>
      </rPr>
      <t>）</t>
    </r>
  </si>
  <si>
    <t>四层</t>
  </si>
  <si>
    <t>五层</t>
  </si>
  <si>
    <r>
      <rPr>
        <sz val="9"/>
        <color rgb="FF000000"/>
        <rFont val="Arial"/>
        <charset val="134"/>
      </rPr>
      <t>24</t>
    </r>
    <r>
      <rPr>
        <sz val="9"/>
        <color rgb="FF000000"/>
        <rFont val="华文细黑"/>
        <charset val="134"/>
      </rPr>
      <t>（现状</t>
    </r>
    <r>
      <rPr>
        <sz val="9"/>
        <color rgb="FF000000"/>
        <rFont val="Arial"/>
        <charset val="134"/>
      </rPr>
      <t>18</t>
    </r>
    <r>
      <rPr>
        <sz val="9"/>
        <color rgb="FF000000"/>
        <rFont val="华文细黑"/>
        <charset val="134"/>
      </rPr>
      <t>）</t>
    </r>
  </si>
  <si>
    <r>
      <rPr>
        <sz val="9"/>
        <color rgb="FF000000"/>
        <rFont val="Arial"/>
        <charset val="134"/>
      </rPr>
      <t>25</t>
    </r>
    <r>
      <rPr>
        <sz val="9"/>
        <color rgb="FF000000"/>
        <rFont val="华文细黑"/>
        <charset val="134"/>
      </rPr>
      <t>（现状</t>
    </r>
    <r>
      <rPr>
        <sz val="9"/>
        <color rgb="FF000000"/>
        <rFont val="Arial"/>
        <charset val="134"/>
      </rPr>
      <t>19</t>
    </r>
    <r>
      <rPr>
        <sz val="9"/>
        <color rgb="FF000000"/>
        <rFont val="华文细黑"/>
        <charset val="134"/>
      </rPr>
      <t>）</t>
    </r>
  </si>
  <si>
    <t>商业合计</t>
  </si>
  <si>
    <t>库房（仓储）</t>
  </si>
  <si>
    <t>戊类库房（仓储）</t>
  </si>
  <si>
    <t>仓储合计</t>
  </si>
  <si>
    <t>总计</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</si>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</sst>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4" formatCode="_ &quot;￥&quot;* #,##0.00_ ;_ &quot;￥&quot;* \-#,##0.00_ ;_ &quot;￥&quot;* &quot;-&quot;??_ ;_ @_ "/>
    <numFmt numFmtId="176" formatCode="[DBNum1][$-804]yyyy&quot;年&quot;m&quot;月&quot;d&quot;日&quot;;@"/>
    <numFmt numFmtId="41" formatCode="_ * #,##0_ ;_ * \-#,##0_ ;_ * &quot;-&quot;_ ;_ @_ "/>
    <numFmt numFmtId="43" formatCode="_ * #,##0.00_ ;_ * \-#,##0.00_ ;_ * &quot;-&quot;??_ ;_ @_ "/>
    <numFmt numFmtId="177" formatCode="yyyy/m/d;@"/>
    <numFmt numFmtId="178" formatCode="0_ "/>
    <numFmt numFmtId="179" formatCode="0.00_ "/>
    <numFmt numFmtId="180" formatCode="0.0_ "/>
    <numFmt numFmtId="181" formatCode="0.0%"/>
    <numFmt numFmtId="182" formatCode="0.0000%"/>
    <numFmt numFmtId="183" formatCode="0_);[Red]\(0\)"/>
    <numFmt numFmtId="184" formatCode="0.000_ "/>
    <numFmt numFmtId="185" formatCode="0.0000_ "/>
    <numFmt numFmtId="186" formatCode="0.000%"/>
    <numFmt numFmtId="187" formatCode="0.0_);[Red]\(0.0\)"/>
    <numFmt numFmtId="188" formatCode="yyyy&quot;年&quot;m&quot;月&quot;d&quot;日&quot;;@"/>
    <numFmt numFmtId="189" formatCode="0.00_);[Red]\(0.00\)"/>
    <numFmt numFmtId="190" formatCode="0.000_);[Red]\(0.000\)"/>
    <numFmt numFmtId="191" formatCode="yyyy&quot;年&quot;m&quot;月&quot;;@"/>
    <numFmt numFmtId="192" formatCode="0_ ;[Red]\-0\ "/>
    <numFmt numFmtId="193" formatCode="[$-F800]dddd\,\ mmmm\ dd\,\ yyyy"/>
    <numFmt numFmtId="194" formatCode="0;_쐀"/>
    <numFmt numFmtId="195" formatCode="[DBNum2][$-804]General"/>
    <numFmt numFmtId="196" formatCode="[DBNum1][$-804]General"/>
  </numFmts>
  <fonts count="25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9"/>
      <color rgb="FF000000"/>
      <name val="Arial"/>
      <charset val="134"/>
    </font>
    <font>
      <sz val="9"/>
      <color rgb="FF000000"/>
      <name val="宋体"/>
      <charset val="134"/>
    </font>
    <font>
      <b/>
      <sz val="9"/>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5"/>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3F3F76"/>
      <name val="宋体"/>
      <charset val="0"/>
      <scheme val="minor"/>
    </font>
    <font>
      <sz val="11"/>
      <color rgb="FF9C6500"/>
      <name val="宋体"/>
      <charset val="0"/>
      <scheme val="minor"/>
    </font>
    <font>
      <b/>
      <sz val="11"/>
      <color rgb="FFFA7D00"/>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9"/>
      <color rgb="FF000000"/>
      <name val="华文细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b/>
      <sz val="9"/>
      <name val="宋体"/>
      <charset val="134"/>
    </font>
    <font>
      <sz val="16"/>
      <name val="宋体"/>
      <charset val="134"/>
    </font>
    <font>
      <sz val="12"/>
      <name val="宋体"/>
      <charset val="134"/>
    </font>
    <font>
      <b/>
      <sz val="8"/>
      <name val="宋体"/>
      <charset val="134"/>
    </font>
    <font>
      <sz val="9"/>
      <name val="宋体"/>
      <charset val="134"/>
    </font>
    <font>
      <sz val="12"/>
      <name val="宋体"/>
      <charset val="0"/>
      <scheme val="minor"/>
    </font>
    <font>
      <sz val="12"/>
      <name val="仿宋_GB2312"/>
      <charset val="134"/>
    </font>
    <font>
      <sz val="14"/>
      <name val="楷体_GB2312"/>
      <charset val="134"/>
    </font>
    <font>
      <sz val="11"/>
      <name val="楷体_GB2312"/>
      <charset val="134"/>
    </font>
    <font>
      <sz val="12"/>
      <name val="楷体_GB2312"/>
      <charset val="134"/>
    </font>
    <font>
      <sz val="10"/>
      <name val="宋体"/>
      <charset val="134"/>
    </font>
    <font>
      <sz val="11"/>
      <name val="宋体"/>
      <charset val="134"/>
    </font>
    <font>
      <b/>
      <sz val="11"/>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00B0F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8"/>
        <bgColor indexed="64"/>
      </patternFill>
    </fill>
    <fill>
      <patternFill patternType="solid">
        <fgColor theme="5" tint="0.399975585192419"/>
        <bgColor indexed="64"/>
      </patternFill>
    </fill>
    <fill>
      <patternFill patternType="solid">
        <fgColor rgb="FFFFCC99"/>
        <bgColor indexed="64"/>
      </patternFill>
    </fill>
    <fill>
      <patternFill patternType="solid">
        <fgColor rgb="FFFFEB9C"/>
        <bgColor indexed="64"/>
      </patternFill>
    </fill>
    <fill>
      <patternFill patternType="solid">
        <fgColor rgb="FFF2F2F2"/>
        <bgColor indexed="64"/>
      </patternFill>
    </fill>
    <fill>
      <patternFill patternType="solid">
        <fgColor rgb="FFFFC7CE"/>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theme="5"/>
        <bgColor indexed="64"/>
      </patternFill>
    </fill>
    <fill>
      <patternFill patternType="solid">
        <fgColor theme="7" tint="0.799981688894314"/>
        <bgColor indexed="64"/>
      </patternFill>
    </fill>
    <fill>
      <patternFill patternType="solid">
        <fgColor theme="7"/>
        <bgColor indexed="64"/>
      </patternFill>
    </fill>
    <fill>
      <patternFill patternType="solid">
        <fgColor theme="9" tint="0.799981688894314"/>
        <bgColor indexed="64"/>
      </patternFill>
    </fill>
    <fill>
      <patternFill patternType="solid">
        <fgColor theme="4"/>
        <bgColor indexed="64"/>
      </patternFill>
    </fill>
    <fill>
      <patternFill patternType="solid">
        <fgColor rgb="FFA5A5A5"/>
        <bgColor indexed="64"/>
      </patternFill>
    </fill>
    <fill>
      <patternFill patternType="solid">
        <fgColor rgb="FFC6EFCE"/>
        <bgColor indexed="64"/>
      </patternFill>
    </fill>
    <fill>
      <patternFill patternType="solid">
        <fgColor theme="8" tint="0.799981688894314"/>
        <bgColor indexed="64"/>
      </patternFill>
    </fill>
    <fill>
      <patternFill patternType="solid">
        <fgColor theme="6"/>
        <bgColor indexed="64"/>
      </patternFill>
    </fill>
    <fill>
      <patternFill patternType="solid">
        <fgColor theme="7" tint="0.599993896298105"/>
        <bgColor indexed="64"/>
      </patternFill>
    </fill>
    <fill>
      <patternFill patternType="solid">
        <fgColor theme="9"/>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0" fillId="29" borderId="0" applyNumberFormat="0" applyBorder="0" applyAlignment="0" applyProtection="0">
      <alignment vertical="center"/>
    </xf>
    <xf numFmtId="0" fontId="162" fillId="3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9" borderId="0" applyNumberFormat="0" applyBorder="0" applyAlignment="0" applyProtection="0">
      <alignment vertical="center"/>
    </xf>
    <xf numFmtId="0" fontId="165" fillId="35" borderId="0" applyNumberFormat="0" applyBorder="0" applyAlignment="0" applyProtection="0">
      <alignment vertical="center"/>
    </xf>
    <xf numFmtId="43" fontId="0" fillId="0" borderId="0" applyFont="0" applyFill="0" applyBorder="0" applyAlignment="0" applyProtection="0">
      <alignment vertical="center"/>
    </xf>
    <xf numFmtId="0" fontId="161" fillId="5" borderId="0" applyNumberFormat="0" applyBorder="0" applyAlignment="0" applyProtection="0">
      <alignment vertical="center"/>
    </xf>
    <xf numFmtId="0" fontId="166" fillId="0" borderId="0" applyNumberFormat="0" applyFill="0" applyBorder="0" applyAlignment="0" applyProtection="0">
      <alignment vertical="center"/>
    </xf>
    <xf numFmtId="9" fontId="0" fillId="0" borderId="0" applyFont="0" applyFill="0" applyBorder="0" applyAlignment="0" applyProtection="0">
      <alignment vertical="center"/>
    </xf>
    <xf numFmtId="0" fontId="167" fillId="0" borderId="0" applyNumberFormat="0" applyFill="0" applyBorder="0" applyAlignment="0" applyProtection="0">
      <alignment vertical="center"/>
    </xf>
    <xf numFmtId="9" fontId="82" fillId="0" borderId="0" applyFont="0" applyFill="0" applyBorder="0" applyAlignment="0" applyProtection="0">
      <alignment vertical="center"/>
    </xf>
    <xf numFmtId="0" fontId="0" fillId="38" borderId="161" applyNumberFormat="0" applyFont="0" applyAlignment="0" applyProtection="0">
      <alignment vertical="center"/>
    </xf>
    <xf numFmtId="0" fontId="0" fillId="0" borderId="0"/>
    <xf numFmtId="0" fontId="161" fillId="31" borderId="0" applyNumberFormat="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27" fillId="0" borderId="0">
      <alignment vertical="center"/>
    </xf>
    <xf numFmtId="0" fontId="127" fillId="0" borderId="0">
      <alignment vertical="center"/>
    </xf>
    <xf numFmtId="0" fontId="172" fillId="0" borderId="162" applyNumberFormat="0" applyFill="0" applyAlignment="0" applyProtection="0">
      <alignment vertical="center"/>
    </xf>
    <xf numFmtId="0" fontId="173" fillId="0" borderId="162" applyNumberFormat="0" applyFill="0" applyAlignment="0" applyProtection="0">
      <alignment vertical="center"/>
    </xf>
    <xf numFmtId="0" fontId="161" fillId="28" borderId="0" applyNumberFormat="0" applyBorder="0" applyAlignment="0" applyProtection="0">
      <alignment vertical="center"/>
    </xf>
    <xf numFmtId="0" fontId="168" fillId="0" borderId="164" applyNumberFormat="0" applyFill="0" applyAlignment="0" applyProtection="0">
      <alignment vertical="center"/>
    </xf>
    <xf numFmtId="0" fontId="161" fillId="14" borderId="0" applyNumberFormat="0" applyBorder="0" applyAlignment="0" applyProtection="0">
      <alignment vertical="center"/>
    </xf>
    <xf numFmtId="0" fontId="174" fillId="34" borderId="163" applyNumberFormat="0" applyAlignment="0" applyProtection="0">
      <alignment vertical="center"/>
    </xf>
    <xf numFmtId="0" fontId="164" fillId="34" borderId="160" applyNumberFormat="0" applyAlignment="0" applyProtection="0">
      <alignment vertical="center"/>
    </xf>
    <xf numFmtId="0" fontId="175" fillId="45" borderId="165" applyNumberFormat="0" applyAlignment="0" applyProtection="0">
      <alignment vertical="center"/>
    </xf>
    <xf numFmtId="0" fontId="176" fillId="0" borderId="166" applyNumberFormat="0" applyFill="0" applyAlignment="0" applyProtection="0">
      <alignment vertical="center"/>
    </xf>
    <xf numFmtId="0" fontId="127" fillId="0" borderId="0">
      <alignment vertical="center"/>
    </xf>
    <xf numFmtId="0" fontId="160" fillId="43" borderId="0" applyNumberFormat="0" applyBorder="0" applyAlignment="0" applyProtection="0">
      <alignment vertical="center"/>
    </xf>
    <xf numFmtId="0" fontId="161" fillId="40" borderId="0" applyNumberFormat="0" applyBorder="0" applyAlignment="0" applyProtection="0">
      <alignment vertical="center"/>
    </xf>
    <xf numFmtId="0" fontId="177" fillId="0" borderId="167" applyNumberFormat="0" applyFill="0" applyAlignment="0" applyProtection="0">
      <alignment vertical="center"/>
    </xf>
    <xf numFmtId="0" fontId="178" fillId="46" borderId="0" applyNumberFormat="0" applyBorder="0" applyAlignment="0" applyProtection="0">
      <alignment vertical="center"/>
    </xf>
    <xf numFmtId="0" fontId="0" fillId="0" borderId="0">
      <alignment vertical="center"/>
    </xf>
    <xf numFmtId="0" fontId="0" fillId="0" borderId="0">
      <alignment vertical="center"/>
    </xf>
    <xf numFmtId="0" fontId="163" fillId="33" borderId="0" applyNumberFormat="0" applyBorder="0" applyAlignment="0" applyProtection="0">
      <alignment vertical="center"/>
    </xf>
    <xf numFmtId="0" fontId="127" fillId="0" borderId="0">
      <alignment vertical="center"/>
    </xf>
    <xf numFmtId="0" fontId="160" fillId="47" borderId="0" applyNumberFormat="0" applyBorder="0" applyAlignment="0" applyProtection="0">
      <alignment vertical="center"/>
    </xf>
    <xf numFmtId="0" fontId="161" fillId="44" borderId="0" applyNumberFormat="0" applyBorder="0" applyAlignment="0" applyProtection="0">
      <alignment vertical="center"/>
    </xf>
    <xf numFmtId="0" fontId="160" fillId="37" borderId="0" applyNumberFormat="0" applyBorder="0" applyAlignment="0" applyProtection="0">
      <alignment vertical="center"/>
    </xf>
    <xf numFmtId="0" fontId="160" fillId="22" borderId="0" applyNumberFormat="0" applyBorder="0" applyAlignment="0" applyProtection="0">
      <alignment vertical="center"/>
    </xf>
    <xf numFmtId="0" fontId="160" fillId="36" borderId="0" applyNumberFormat="0" applyBorder="0" applyAlignment="0" applyProtection="0">
      <alignment vertical="center"/>
    </xf>
    <xf numFmtId="0" fontId="160" fillId="21" borderId="0" applyNumberFormat="0" applyBorder="0" applyAlignment="0" applyProtection="0">
      <alignment vertical="center"/>
    </xf>
    <xf numFmtId="0" fontId="161" fillId="48" borderId="0" applyNumberFormat="0" applyBorder="0" applyAlignment="0" applyProtection="0">
      <alignment vertical="center"/>
    </xf>
    <xf numFmtId="0" fontId="0" fillId="0" borderId="0">
      <alignment vertical="center"/>
    </xf>
    <xf numFmtId="0" fontId="161" fillId="42" borderId="0" applyNumberFormat="0" applyBorder="0" applyAlignment="0" applyProtection="0">
      <alignment vertical="center"/>
    </xf>
    <xf numFmtId="0" fontId="160" fillId="41" borderId="0" applyNumberFormat="0" applyBorder="0" applyAlignment="0" applyProtection="0">
      <alignment vertical="center"/>
    </xf>
    <xf numFmtId="0" fontId="160" fillId="49" borderId="0" applyNumberFormat="0" applyBorder="0" applyAlignment="0" applyProtection="0">
      <alignment vertical="center"/>
    </xf>
    <xf numFmtId="0" fontId="161" fillId="30" borderId="0" applyNumberFormat="0" applyBorder="0" applyAlignment="0" applyProtection="0">
      <alignment vertical="center"/>
    </xf>
    <xf numFmtId="0" fontId="0" fillId="0" borderId="0">
      <alignment vertical="center"/>
    </xf>
    <xf numFmtId="0" fontId="160" fillId="17" borderId="0" applyNumberFormat="0" applyBorder="0" applyAlignment="0" applyProtection="0">
      <alignment vertical="center"/>
    </xf>
    <xf numFmtId="0" fontId="161" fillId="13" borderId="0" applyNumberFormat="0" applyBorder="0" applyAlignment="0" applyProtection="0">
      <alignment vertical="center"/>
    </xf>
    <xf numFmtId="0" fontId="161" fillId="50" borderId="0" applyNumberFormat="0" applyBorder="0" applyAlignment="0" applyProtection="0">
      <alignment vertical="center"/>
    </xf>
    <xf numFmtId="0" fontId="160" fillId="39" borderId="0" applyNumberFormat="0" applyBorder="0" applyAlignment="0" applyProtection="0">
      <alignment vertical="center"/>
    </xf>
    <xf numFmtId="0" fontId="161" fillId="51"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0" fillId="0" borderId="0"/>
    <xf numFmtId="0" fontId="0" fillId="0" borderId="0">
      <alignment vertical="center"/>
    </xf>
  </cellStyleXfs>
  <cellXfs count="366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8"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9"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8"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8"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79"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8"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8"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8"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8"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8"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9"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7" applyFont="1" applyFill="1" applyBorder="1" applyAlignment="1" applyProtection="1">
      <alignment horizontal="left" vertical="center"/>
    </xf>
    <xf numFmtId="0" fontId="42" fillId="2" borderId="47" xfId="37"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7" applyFont="1" applyFill="1" applyAlignment="1" applyProtection="1">
      <alignment horizontal="left" vertical="center"/>
    </xf>
    <xf numFmtId="0" fontId="42" fillId="5" borderId="0" xfId="37"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7" applyFont="1" applyFill="1" applyAlignment="1" applyProtection="1">
      <alignment horizontal="left" vertical="center"/>
    </xf>
    <xf numFmtId="0" fontId="42" fillId="0" borderId="0" xfId="37"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3"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3"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3" fontId="37" fillId="7" borderId="52" xfId="21" applyNumberFormat="1" applyFont="1" applyFill="1" applyBorder="1" applyAlignment="1" applyProtection="1">
      <alignment horizontal="left" vertical="center" wrapText="1"/>
    </xf>
    <xf numFmtId="183"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3" fontId="37" fillId="7" borderId="52" xfId="21" applyNumberFormat="1" applyFont="1" applyFill="1" applyBorder="1" applyAlignment="1">
      <alignment horizontal="left" vertical="center" wrapText="1"/>
    </xf>
    <xf numFmtId="183"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3" fontId="37" fillId="7" borderId="51" xfId="21" applyNumberFormat="1" applyFont="1" applyFill="1" applyBorder="1" applyAlignment="1">
      <alignment horizontal="left" vertical="center" wrapText="1"/>
    </xf>
    <xf numFmtId="183"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3"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3" fontId="37" fillId="7" borderId="58" xfId="21" applyNumberFormat="1" applyFont="1" applyFill="1" applyBorder="1" applyAlignment="1">
      <alignment horizontal="left" vertical="center" wrapText="1"/>
    </xf>
    <xf numFmtId="183" fontId="37" fillId="7" borderId="60" xfId="21" applyNumberFormat="1" applyFont="1" applyFill="1" applyBorder="1" applyAlignment="1">
      <alignment horizontal="left" vertical="center" wrapText="1"/>
    </xf>
    <xf numFmtId="183" fontId="6" fillId="6" borderId="0" xfId="21" applyNumberFormat="1" applyFont="1" applyFill="1" applyAlignment="1">
      <alignment horizontal="left" vertical="center"/>
    </xf>
    <xf numFmtId="183"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1" fontId="6" fillId="0" borderId="48" xfId="21" applyNumberFormat="1" applyFont="1" applyBorder="1" applyAlignment="1">
      <alignment horizontal="left" vertical="center"/>
    </xf>
    <xf numFmtId="181"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0"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78"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4" fontId="6" fillId="0" borderId="0" xfId="21" applyNumberFormat="1" applyFont="1" applyAlignment="1">
      <alignment horizontal="left" vertical="center"/>
    </xf>
    <xf numFmtId="184" fontId="6" fillId="0" borderId="48" xfId="21" applyNumberFormat="1" applyFont="1" applyBorder="1" applyAlignment="1">
      <alignment horizontal="left" vertical="center"/>
    </xf>
    <xf numFmtId="184"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4" fontId="39" fillId="0" borderId="0" xfId="21" applyNumberFormat="1" applyFont="1" applyAlignment="1">
      <alignment horizontal="left" vertical="center"/>
    </xf>
    <xf numFmtId="184" fontId="39" fillId="0" borderId="48" xfId="21" applyNumberFormat="1" applyFont="1" applyBorder="1" applyAlignment="1">
      <alignment horizontal="left" vertical="center"/>
    </xf>
    <xf numFmtId="180" fontId="6" fillId="0" borderId="21" xfId="21" applyNumberFormat="1" applyFont="1" applyBorder="1" applyAlignment="1">
      <alignment horizontal="left" vertical="center"/>
    </xf>
    <xf numFmtId="180"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79"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79"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5"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5"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5" fontId="30" fillId="2" borderId="81" xfId="0" applyNumberFormat="1" applyFont="1" applyFill="1" applyBorder="1" applyAlignment="1" applyProtection="1">
      <alignment horizontal="center" vertical="center" wrapText="1"/>
    </xf>
    <xf numFmtId="185"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5"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5"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8"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8"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3"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79"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39" fillId="0" borderId="1" xfId="53" applyNumberFormat="1" applyFont="1" applyFill="1" applyBorder="1" applyAlignment="1" applyProtection="1">
      <alignment horizontal="center" vertical="center"/>
      <protection locked="0"/>
    </xf>
    <xf numFmtId="178" fontId="39" fillId="2" borderId="1" xfId="53" applyNumberFormat="1" applyFont="1" applyFill="1" applyBorder="1" applyAlignment="1" applyProtection="1">
      <alignment horizontal="center" vertical="center"/>
    </xf>
    <xf numFmtId="185"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8"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9"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9"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7"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8"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8"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8"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3"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1" fontId="52" fillId="11" borderId="46" xfId="0" applyNumberFormat="1" applyFont="1" applyFill="1" applyBorder="1" applyAlignment="1" applyProtection="1">
      <alignment horizontal="left" vertical="center" wrapText="1"/>
      <protection locked="0"/>
    </xf>
    <xf numFmtId="183"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3"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1" fontId="51" fillId="2" borderId="2" xfId="0" applyNumberFormat="1" applyFont="1" applyFill="1" applyBorder="1" applyAlignment="1" applyProtection="1">
      <alignment horizontal="center" vertical="center"/>
    </xf>
    <xf numFmtId="181"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9"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7" fontId="61" fillId="2" borderId="68" xfId="0" applyNumberFormat="1" applyFont="1" applyFill="1" applyBorder="1" applyAlignment="1" applyProtection="1">
      <alignment horizontal="center" vertical="center"/>
    </xf>
    <xf numFmtId="181"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2" borderId="0" xfId="0" applyNumberFormat="1" applyFont="1" applyFill="1" applyBorder="1" applyAlignment="1" applyProtection="1">
      <alignment horizontal="center" vertical="center"/>
      <protection locked="0"/>
    </xf>
    <xf numFmtId="181"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87"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1"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7" fontId="51" fillId="2" borderId="4" xfId="0" applyNumberFormat="1" applyFont="1" applyFill="1" applyBorder="1" applyAlignment="1" applyProtection="1">
      <alignment horizontal="center" vertical="center"/>
    </xf>
    <xf numFmtId="181" fontId="51" fillId="8" borderId="0" xfId="0" applyNumberFormat="1" applyFont="1" applyFill="1" applyBorder="1" applyAlignment="1" applyProtection="1">
      <alignment vertical="center" wrapText="1"/>
      <protection locked="0"/>
    </xf>
    <xf numFmtId="189" fontId="51" fillId="2" borderId="42" xfId="0" applyNumberFormat="1" applyFont="1" applyFill="1" applyBorder="1" applyAlignment="1" applyProtection="1">
      <alignment horizontal="left" vertical="center" wrapText="1"/>
    </xf>
    <xf numFmtId="187"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7" fontId="51" fillId="8" borderId="0" xfId="0" applyNumberFormat="1" applyFont="1" applyFill="1" applyAlignment="1" applyProtection="1">
      <alignment horizontal="center" vertical="center"/>
      <protection locked="0"/>
    </xf>
    <xf numFmtId="181" fontId="51" fillId="8" borderId="0" xfId="0" applyNumberFormat="1" applyFont="1" applyFill="1" applyAlignment="1" applyProtection="1">
      <alignment horizontal="center" vertical="center"/>
      <protection locked="0"/>
    </xf>
    <xf numFmtId="187" fontId="66" fillId="8" borderId="0" xfId="0" applyNumberFormat="1" applyFont="1" applyFill="1" applyAlignment="1" applyProtection="1">
      <alignment horizontal="center" vertical="center"/>
      <protection locked="0"/>
    </xf>
    <xf numFmtId="181"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81" fontId="51" fillId="2" borderId="0" xfId="0" applyNumberFormat="1" applyFont="1" applyFill="1" applyAlignment="1" applyProtection="1">
      <alignment horizontal="center" vertical="center"/>
      <protection locked="0"/>
    </xf>
    <xf numFmtId="187" fontId="51" fillId="2" borderId="0" xfId="0" applyNumberFormat="1" applyFont="1" applyFill="1" applyBorder="1" applyAlignment="1" applyProtection="1">
      <alignment horizontal="center"/>
    </xf>
    <xf numFmtId="181"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0"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0"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3"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3"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87" fontId="51" fillId="2" borderId="0" xfId="0" applyNumberFormat="1" applyFont="1" applyFill="1" applyBorder="1" applyAlignment="1" applyProtection="1">
      <alignment horizontal="center"/>
      <protection locked="0"/>
    </xf>
    <xf numFmtId="181"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9"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1" fontId="59" fillId="2" borderId="92" xfId="0" applyNumberFormat="1" applyFont="1" applyFill="1" applyBorder="1" applyAlignment="1" applyProtection="1">
      <alignment horizontal="center" vertical="center" wrapText="1"/>
    </xf>
    <xf numFmtId="191"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xf>
    <xf numFmtId="181"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7"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protection locked="0"/>
    </xf>
    <xf numFmtId="181"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87" fontId="51" fillId="4" borderId="4" xfId="0" applyNumberFormat="1" applyFont="1" applyFill="1" applyBorder="1" applyAlignment="1" applyProtection="1">
      <alignment horizontal="center" vertical="center"/>
      <protection locked="0"/>
    </xf>
    <xf numFmtId="187"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1" fontId="51"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1"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86"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9"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9"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1"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1"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1"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78"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78"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8" fontId="70" fillId="2" borderId="0" xfId="0" applyNumberFormat="1" applyFont="1" applyFill="1" applyBorder="1" applyAlignment="1" applyProtection="1">
      <alignment horizontal="center" vertical="center"/>
    </xf>
    <xf numFmtId="178"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8"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78"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78"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8"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8" fontId="70" fillId="2" borderId="33" xfId="0" applyNumberFormat="1" applyFont="1" applyFill="1" applyBorder="1" applyAlignment="1" applyProtection="1">
      <alignment vertical="center"/>
    </xf>
    <xf numFmtId="178"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3"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8"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79"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1"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3"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5" fontId="59" fillId="2" borderId="2" xfId="0" applyNumberFormat="1" applyFont="1" applyFill="1" applyBorder="1" applyAlignment="1" applyProtection="1">
      <alignment horizontal="left" vertical="center" wrapText="1"/>
    </xf>
    <xf numFmtId="195"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5" fontId="59"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89"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65" applyFont="1" applyFill="1" applyBorder="1" applyAlignment="1" applyProtection="1">
      <alignment vertical="center"/>
    </xf>
    <xf numFmtId="183"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65"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65"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3"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3" fontId="29" fillId="2" borderId="96" xfId="61" applyNumberFormat="1" applyFont="1" applyFill="1" applyBorder="1" applyAlignment="1">
      <alignment horizontal="left" vertical="center"/>
    </xf>
    <xf numFmtId="189"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3"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1"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3" fontId="30" fillId="2" borderId="1" xfId="61" applyNumberFormat="1" applyFont="1" applyFill="1" applyBorder="1" applyAlignment="1">
      <alignment horizontal="left" vertical="center"/>
    </xf>
    <xf numFmtId="181"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lignment horizontal="left" vertical="center"/>
    </xf>
    <xf numFmtId="181"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80" fontId="30" fillId="0" borderId="1" xfId="61" applyNumberFormat="1" applyFont="1" applyFill="1" applyBorder="1" applyAlignment="1">
      <alignment horizontal="left" vertical="center"/>
    </xf>
    <xf numFmtId="183" fontId="30" fillId="0" borderId="1" xfId="61" applyNumberFormat="1" applyFont="1" applyFill="1" applyBorder="1" applyAlignment="1">
      <alignment horizontal="left" vertical="center"/>
    </xf>
    <xf numFmtId="181"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3" fontId="29" fillId="2" borderId="13" xfId="61" applyNumberFormat="1" applyFont="1" applyFill="1" applyBorder="1" applyAlignment="1">
      <alignment horizontal="left" vertical="center"/>
    </xf>
    <xf numFmtId="181"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3" fontId="29" fillId="2" borderId="69" xfId="61" applyNumberFormat="1" applyFont="1" applyFill="1" applyBorder="1" applyAlignment="1">
      <alignment horizontal="left" vertical="center"/>
    </xf>
    <xf numFmtId="181"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3" fontId="30" fillId="2" borderId="2" xfId="61" applyNumberFormat="1" applyFont="1" applyFill="1" applyBorder="1" applyAlignment="1">
      <alignment horizontal="left" vertical="center"/>
    </xf>
    <xf numFmtId="183" fontId="30" fillId="2" borderId="128" xfId="61" applyNumberFormat="1" applyFont="1" applyFill="1" applyBorder="1" applyAlignment="1">
      <alignment horizontal="left" vertical="center"/>
    </xf>
    <xf numFmtId="183"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3" fontId="30" fillId="2" borderId="2" xfId="61" applyNumberFormat="1" applyFont="1" applyFill="1" applyBorder="1" applyAlignment="1">
      <alignment horizontal="right" vertical="center"/>
    </xf>
    <xf numFmtId="181" fontId="30" fillId="0" borderId="128" xfId="61" applyNumberFormat="1" applyFont="1" applyFill="1" applyBorder="1" applyAlignment="1">
      <alignment horizontal="right" vertical="center"/>
    </xf>
    <xf numFmtId="181"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1" fontId="30" fillId="2" borderId="2" xfId="61" applyNumberFormat="1" applyFont="1" applyFill="1" applyBorder="1" applyAlignment="1">
      <alignment horizontal="right" vertical="center"/>
    </xf>
    <xf numFmtId="181" fontId="30" fillId="2" borderId="128" xfId="61" applyNumberFormat="1" applyFont="1" applyFill="1" applyBorder="1" applyAlignment="1">
      <alignment horizontal="right" vertical="center"/>
    </xf>
    <xf numFmtId="181"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1" fontId="30" fillId="0" borderId="2" xfId="61" applyNumberFormat="1" applyFont="1" applyFill="1" applyBorder="1" applyAlignment="1">
      <alignment horizontal="left" vertical="center"/>
    </xf>
    <xf numFmtId="181" fontId="30" fillId="0" borderId="128" xfId="61" applyNumberFormat="1" applyFont="1" applyFill="1" applyBorder="1" applyAlignment="1">
      <alignment horizontal="left" vertical="center"/>
    </xf>
    <xf numFmtId="181" fontId="30" fillId="0" borderId="4" xfId="61" applyNumberFormat="1" applyFont="1" applyFill="1" applyBorder="1" applyAlignment="1">
      <alignment horizontal="left" vertical="center"/>
    </xf>
    <xf numFmtId="189"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89" fontId="30" fillId="0" borderId="33" xfId="61" applyNumberFormat="1" applyFont="1" applyFill="1" applyBorder="1" applyAlignment="1">
      <alignment horizontal="left" vertical="center"/>
    </xf>
    <xf numFmtId="189" fontId="30" fillId="0" borderId="129" xfId="61" applyNumberFormat="1" applyFont="1" applyFill="1" applyBorder="1" applyAlignment="1">
      <alignment horizontal="left" vertical="center"/>
    </xf>
    <xf numFmtId="189" fontId="30" fillId="0" borderId="88" xfId="61" applyNumberFormat="1" applyFont="1" applyFill="1" applyBorder="1" applyAlignment="1">
      <alignment horizontal="left" vertical="center"/>
    </xf>
    <xf numFmtId="189"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3"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3"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3"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78" fontId="6" fillId="0" borderId="1" xfId="65"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78" fontId="30" fillId="0" borderId="1" xfId="61" applyNumberFormat="1" applyFont="1" applyFill="1" applyBorder="1" applyAlignment="1">
      <alignment horizontal="left" vertical="center"/>
    </xf>
    <xf numFmtId="178"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78" fontId="6" fillId="0" borderId="11" xfId="65" applyNumberFormat="1" applyFont="1" applyBorder="1" applyAlignment="1" applyProtection="1">
      <alignment horizontal="left" vertical="center"/>
      <protection hidden="1"/>
    </xf>
    <xf numFmtId="178"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78" fontId="29" fillId="2" borderId="1" xfId="61" applyNumberFormat="1" applyFont="1" applyFill="1" applyBorder="1" applyAlignment="1">
      <alignment horizontal="left" vertical="center"/>
    </xf>
    <xf numFmtId="178"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1"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78"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1"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1"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59" fillId="2" borderId="39" xfId="0" applyNumberFormat="1" applyFont="1" applyFill="1" applyBorder="1" applyAlignment="1" applyProtection="1">
      <alignment horizontal="center" vertical="center" wrapText="1"/>
    </xf>
    <xf numFmtId="187"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7" fontId="51" fillId="2" borderId="42" xfId="0" applyNumberFormat="1" applyFont="1" applyFill="1" applyBorder="1" applyAlignment="1" applyProtection="1">
      <alignment horizontal="center" vertical="center"/>
    </xf>
    <xf numFmtId="189" fontId="51" fillId="11" borderId="42" xfId="0" applyNumberFormat="1" applyFont="1" applyFill="1" applyBorder="1" applyAlignment="1" applyProtection="1">
      <alignment horizontal="left" vertical="center" wrapText="1"/>
    </xf>
    <xf numFmtId="187"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0"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179" fontId="0" fillId="0" borderId="0" xfId="0" applyNumberFormat="1">
      <alignment vertical="center"/>
    </xf>
    <xf numFmtId="0" fontId="110" fillId="0" borderId="1" xfId="0" applyFont="1" applyBorder="1" applyAlignment="1">
      <alignment horizontal="justify" vertical="center" wrapText="1"/>
    </xf>
    <xf numFmtId="0" fontId="111" fillId="0" borderId="15" xfId="0" applyFont="1" applyBorder="1" applyAlignment="1">
      <alignment horizontal="center" vertical="center" wrapText="1"/>
    </xf>
    <xf numFmtId="0" fontId="110" fillId="8" borderId="1" xfId="0" applyFont="1" applyFill="1" applyBorder="1" applyAlignment="1">
      <alignment horizontal="justify" vertical="center" wrapText="1"/>
    </xf>
    <xf numFmtId="0" fontId="111" fillId="0" borderId="1" xfId="0" applyFont="1" applyBorder="1" applyAlignment="1">
      <alignment horizontal="justify" vertical="center" wrapText="1"/>
    </xf>
    <xf numFmtId="0" fontId="110" fillId="0" borderId="81" xfId="0" applyFont="1" applyBorder="1" applyAlignment="1">
      <alignment horizontal="center" vertical="center" wrapText="1"/>
    </xf>
    <xf numFmtId="0" fontId="110" fillId="0" borderId="16" xfId="0" applyFont="1" applyBorder="1" applyAlignment="1">
      <alignment horizontal="center" vertical="center" wrapText="1"/>
    </xf>
    <xf numFmtId="0" fontId="112" fillId="0" borderId="1" xfId="0" applyFont="1" applyBorder="1" applyAlignment="1">
      <alignment horizontal="justify" vertical="center" wrapText="1"/>
    </xf>
    <xf numFmtId="179"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179" fontId="0" fillId="0" borderId="1" xfId="0" applyNumberFormat="1" applyBorder="1">
      <alignment vertical="center"/>
    </xf>
    <xf numFmtId="0" fontId="6" fillId="0" borderId="1" xfId="0" applyFont="1" applyBorder="1" applyAlignment="1">
      <alignment horizontal="center" vertical="center" wrapText="1"/>
    </xf>
    <xf numFmtId="179" fontId="0" fillId="0" borderId="15" xfId="0" applyNumberFormat="1" applyBorder="1" applyAlignment="1">
      <alignment horizontal="center" vertical="center"/>
    </xf>
    <xf numFmtId="0" fontId="0" fillId="0" borderId="1" xfId="0" applyBorder="1">
      <alignmen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1" fontId="25" fillId="0" borderId="1" xfId="0" applyNumberFormat="1" applyFont="1" applyFill="1" applyBorder="1" applyAlignment="1">
      <alignment horizontal="center" vertical="center" wrapText="1" shrinkToFit="1"/>
    </xf>
    <xf numFmtId="181" fontId="11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4" fontId="25" fillId="0" borderId="3" xfId="0" applyNumberFormat="1" applyFont="1" applyFill="1" applyBorder="1" applyAlignment="1">
      <alignment horizontal="center" vertical="center" wrapText="1" shrinkToFit="1"/>
    </xf>
    <xf numFmtId="184" fontId="25" fillId="0" borderId="2" xfId="0" applyNumberFormat="1" applyFont="1" applyFill="1" applyBorder="1" applyAlignment="1">
      <alignment horizontal="right" vertical="center" wrapText="1" shrinkToFit="1"/>
    </xf>
    <xf numFmtId="184"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2"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13" fillId="0" borderId="1" xfId="0" applyNumberFormat="1" applyFont="1" applyFill="1" applyBorder="1" applyAlignment="1">
      <alignment horizontal="center" vertical="center" wrapText="1" shrinkToFit="1"/>
    </xf>
    <xf numFmtId="186" fontId="113" fillId="0" borderId="1" xfId="0" applyNumberFormat="1" applyFont="1" applyFill="1" applyBorder="1" applyAlignment="1">
      <alignment horizontal="center" vertical="center" wrapText="1" shrinkToFit="1"/>
    </xf>
    <xf numFmtId="179" fontId="25" fillId="19" borderId="85" xfId="0" applyNumberFormat="1" applyFont="1" applyFill="1" applyBorder="1" applyAlignment="1">
      <alignment horizontal="center" vertical="center" wrapText="1" shrinkToFit="1"/>
    </xf>
    <xf numFmtId="179" fontId="25" fillId="19" borderId="68" xfId="0" applyNumberFormat="1" applyFont="1" applyFill="1" applyBorder="1" applyAlignment="1">
      <alignment horizontal="center" vertical="center" wrapText="1" shrinkToFit="1"/>
    </xf>
    <xf numFmtId="179" fontId="25" fillId="19" borderId="91" xfId="0" applyNumberFormat="1" applyFont="1" applyFill="1" applyBorder="1" applyAlignment="1">
      <alignment horizontal="center" vertical="center" wrapText="1" shrinkToFit="1"/>
    </xf>
    <xf numFmtId="179" fontId="25" fillId="19" borderId="34" xfId="0" applyNumberFormat="1" applyFont="1" applyFill="1" applyBorder="1" applyAlignment="1">
      <alignment horizontal="center" vertical="center" wrapText="1" shrinkToFit="1"/>
    </xf>
    <xf numFmtId="179" fontId="25" fillId="19" borderId="69" xfId="0" applyNumberFormat="1" applyFont="1" applyFill="1" applyBorder="1" applyAlignment="1">
      <alignment horizontal="center" vertical="center" wrapText="1" shrinkToFit="1"/>
    </xf>
    <xf numFmtId="179"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14" fillId="20" borderId="0" xfId="0" applyFont="1" applyFill="1" applyBorder="1" applyAlignment="1">
      <alignment horizontal="center" vertical="center" wrapText="1"/>
    </xf>
    <xf numFmtId="0" fontId="115" fillId="0" borderId="0" xfId="0" applyFont="1" applyAlignment="1">
      <alignment horizontal="center" vertical="center" wrapText="1"/>
    </xf>
    <xf numFmtId="0" fontId="115" fillId="0" borderId="0" xfId="0" applyFont="1" applyAlignment="1">
      <alignment vertical="center" wrapText="1"/>
    </xf>
    <xf numFmtId="0" fontId="116" fillId="0" borderId="1" xfId="0" applyFont="1" applyBorder="1" applyAlignment="1">
      <alignment horizontal="center" vertical="center" wrapText="1"/>
    </xf>
    <xf numFmtId="0" fontId="116" fillId="0" borderId="1" xfId="0" applyFont="1" applyFill="1" applyBorder="1" applyAlignment="1">
      <alignment horizontal="center" vertical="center" wrapText="1"/>
    </xf>
    <xf numFmtId="0" fontId="115" fillId="3" borderId="0" xfId="0" applyFont="1" applyFill="1" applyAlignment="1">
      <alignment vertical="center" wrapText="1"/>
    </xf>
    <xf numFmtId="9" fontId="116" fillId="0" borderId="1" xfId="0" applyNumberFormat="1" applyFont="1" applyFill="1" applyBorder="1" applyAlignment="1">
      <alignment horizontal="center" vertical="center" wrapText="1"/>
    </xf>
    <xf numFmtId="179" fontId="116" fillId="0" borderId="1" xfId="0" applyNumberFormat="1" applyFont="1" applyFill="1" applyBorder="1" applyAlignment="1">
      <alignment horizontal="center" vertical="center" wrapText="1"/>
    </xf>
    <xf numFmtId="180" fontId="116" fillId="0" borderId="1" xfId="0" applyNumberFormat="1" applyFont="1" applyFill="1" applyBorder="1" applyAlignment="1">
      <alignment horizontal="center" vertical="center" wrapText="1"/>
    </xf>
    <xf numFmtId="0" fontId="117" fillId="0" borderId="0" xfId="0" applyFont="1" applyFill="1" applyAlignment="1">
      <alignment horizontal="center" vertical="center" wrapText="1"/>
    </xf>
    <xf numFmtId="0" fontId="115" fillId="0" borderId="1" xfId="0" applyFont="1" applyBorder="1" applyAlignment="1">
      <alignment horizontal="center" vertical="center" wrapText="1"/>
    </xf>
    <xf numFmtId="0" fontId="115" fillId="0" borderId="0" xfId="0" applyFont="1" applyAlignment="1">
      <alignment horizontal="left" vertical="center" wrapText="1"/>
    </xf>
    <xf numFmtId="179" fontId="115" fillId="0" borderId="0" xfId="0" applyNumberFormat="1" applyFont="1" applyFill="1" applyAlignment="1">
      <alignment vertical="center" wrapText="1"/>
    </xf>
    <xf numFmtId="0" fontId="115"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8" fillId="0" borderId="1" xfId="0" applyNumberFormat="1" applyFont="1" applyBorder="1" applyAlignment="1">
      <alignment horizontal="left" vertical="center" wrapText="1" shrinkToFit="1"/>
    </xf>
    <xf numFmtId="9" fontId="119" fillId="0" borderId="1" xfId="0" applyNumberFormat="1" applyFont="1" applyBorder="1" applyAlignment="1">
      <alignment horizontal="center" vertical="center" wrapText="1" shrinkToFit="1"/>
    </xf>
    <xf numFmtId="49" fontId="118" fillId="0" borderId="1" xfId="0" applyNumberFormat="1" applyFont="1" applyBorder="1" applyAlignment="1">
      <alignment horizontal="center" vertical="center" wrapText="1" shrinkToFit="1"/>
    </xf>
    <xf numFmtId="0" fontId="49" fillId="0" borderId="0" xfId="0" applyFont="1" applyAlignment="1">
      <alignment wrapText="1"/>
    </xf>
    <xf numFmtId="179"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20" fillId="0" borderId="1" xfId="0" applyNumberFormat="1" applyFont="1" applyFill="1" applyBorder="1" applyAlignment="1">
      <alignment horizontal="center" vertical="center" wrapText="1"/>
    </xf>
    <xf numFmtId="179" fontId="11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21" fillId="23" borderId="1" xfId="0" applyNumberFormat="1" applyFont="1" applyFill="1" applyBorder="1" applyAlignment="1">
      <alignment horizontal="center" vertical="center" wrapText="1"/>
    </xf>
    <xf numFmtId="179"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18"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79" fontId="115"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79" fontId="115" fillId="0" borderId="0" xfId="0" applyNumberFormat="1" applyFont="1" applyAlignment="1">
      <alignment vertical="center" wrapText="1" shrinkToFit="1"/>
    </xf>
    <xf numFmtId="181" fontId="25"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113"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22" fillId="0" borderId="0" xfId="0" applyFont="1" applyFill="1" applyAlignment="1">
      <alignment vertical="center"/>
    </xf>
    <xf numFmtId="186"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3" fillId="0" borderId="0" xfId="0" applyFont="1" applyAlignment="1">
      <alignment vertical="center" wrapText="1"/>
    </xf>
    <xf numFmtId="180"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93" fillId="10" borderId="151"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3"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9"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79"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4"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79" fontId="59" fillId="2" borderId="8" xfId="0" applyNumberFormat="1"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left" vertical="center"/>
    </xf>
    <xf numFmtId="178" fontId="59" fillId="2" borderId="1" xfId="59" applyNumberFormat="1" applyFont="1" applyFill="1" applyBorder="1" applyAlignment="1" applyProtection="1">
      <alignment vertical="center"/>
    </xf>
    <xf numFmtId="178" fontId="59" fillId="12" borderId="2" xfId="59" applyNumberFormat="1" applyFont="1" applyFill="1" applyBorder="1" applyAlignment="1" applyProtection="1">
      <alignment vertical="center"/>
      <protection locked="0"/>
    </xf>
    <xf numFmtId="178"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9" fontId="51" fillId="2" borderId="1" xfId="59" applyNumberFormat="1" applyFont="1" applyFill="1" applyBorder="1" applyAlignment="1" applyProtection="1">
      <alignment horizontal="center" vertical="center"/>
    </xf>
    <xf numFmtId="184" fontId="51"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59" fillId="0" borderId="1" xfId="0" applyNumberFormat="1" applyFont="1" applyFill="1" applyBorder="1" applyAlignment="1" applyProtection="1">
      <alignment horizontal="center" vertical="center"/>
      <protection locked="0"/>
    </xf>
    <xf numFmtId="178" fontId="59" fillId="2" borderId="10" xfId="59" applyNumberFormat="1" applyFont="1" applyFill="1" applyBorder="1" applyAlignment="1" applyProtection="1">
      <alignment horizontal="left" vertical="center" wrapText="1"/>
      <protection locked="0"/>
    </xf>
    <xf numFmtId="178" fontId="59" fillId="2" borderId="2" xfId="59"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1"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79"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9" fontId="59" fillId="8" borderId="0" xfId="0" applyNumberFormat="1" applyFont="1" applyFill="1" applyAlignment="1" applyProtection="1">
      <alignment vertical="center"/>
      <protection locked="0"/>
    </xf>
    <xf numFmtId="189" fontId="51" fillId="2" borderId="7" xfId="59" applyNumberFormat="1" applyFont="1" applyFill="1" applyBorder="1" applyAlignment="1" applyProtection="1">
      <alignment vertical="center" wrapText="1"/>
    </xf>
    <xf numFmtId="189"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89" fontId="51" fillId="2" borderId="10" xfId="59" applyNumberFormat="1" applyFont="1" applyFill="1" applyBorder="1" applyAlignment="1" applyProtection="1">
      <alignment vertical="center" wrapText="1"/>
    </xf>
    <xf numFmtId="189"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89" fontId="59" fillId="2" borderId="10" xfId="59" applyNumberFormat="1" applyFont="1" applyFill="1" applyBorder="1" applyAlignment="1" applyProtection="1">
      <alignment vertical="center" wrapText="1"/>
    </xf>
    <xf numFmtId="189" fontId="51" fillId="2" borderId="11" xfId="59" applyNumberFormat="1" applyFont="1" applyFill="1" applyBorder="1" applyAlignment="1" applyProtection="1">
      <alignment horizontal="center" vertical="center"/>
    </xf>
    <xf numFmtId="189" fontId="51" fillId="2" borderId="12" xfId="59" applyNumberFormat="1" applyFont="1" applyFill="1" applyBorder="1" applyAlignment="1" applyProtection="1">
      <alignment vertical="center" wrapText="1"/>
    </xf>
    <xf numFmtId="189"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4" fillId="8" borderId="0" xfId="0" applyFont="1" applyFill="1" applyAlignment="1" applyProtection="1">
      <alignment horizontal="left" vertical="center"/>
    </xf>
    <xf numFmtId="179"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9" fontId="77" fillId="8"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1" fontId="43" fillId="8" borderId="0" xfId="0" applyNumberFormat="1" applyFont="1" applyFill="1" applyAlignment="1" applyProtection="1">
      <alignment horizontal="center" vertical="center"/>
    </xf>
    <xf numFmtId="186"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0"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25"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8"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79"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8"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78"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89"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59" fillId="2" borderId="10" xfId="59" applyNumberFormat="1" applyFont="1" applyFill="1" applyBorder="1" applyAlignment="1" applyProtection="1">
      <alignment horizontal="center" vertical="center"/>
    </xf>
    <xf numFmtId="179"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1" fontId="59" fillId="0" borderId="1" xfId="0" applyNumberFormat="1" applyFont="1" applyBorder="1" applyAlignment="1" applyProtection="1">
      <alignment vertical="center"/>
      <protection locked="0"/>
    </xf>
    <xf numFmtId="181"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1" fontId="59" fillId="2" borderId="1" xfId="0" applyNumberFormat="1" applyFont="1" applyFill="1" applyBorder="1" applyAlignment="1" applyProtection="1">
      <alignment vertical="center"/>
    </xf>
    <xf numFmtId="181"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79" fontId="59" fillId="2" borderId="12" xfId="59" applyNumberFormat="1" applyFont="1" applyFill="1" applyBorder="1" applyAlignment="1" applyProtection="1">
      <alignment horizontal="center" vertical="center"/>
    </xf>
    <xf numFmtId="179"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1"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1"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1"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1"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86" fontId="59" fillId="0" borderId="1" xfId="0" applyNumberFormat="1" applyFont="1" applyBorder="1" applyAlignment="1" applyProtection="1">
      <alignment horizontal="center" vertical="center"/>
      <protection locked="0"/>
    </xf>
    <xf numFmtId="181"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6"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86" fontId="59" fillId="0" borderId="1" xfId="0" applyNumberFormat="1" applyFont="1" applyFill="1" applyBorder="1" applyAlignment="1" applyProtection="1">
      <alignment horizontal="center" vertical="center"/>
      <protection locked="0"/>
    </xf>
    <xf numFmtId="181"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86" fontId="59" fillId="2" borderId="1" xfId="0" applyNumberFormat="1"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79"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9"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9"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9"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9"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89" fontId="52" fillId="2" borderId="17" xfId="59" applyNumberFormat="1" applyFont="1" applyFill="1" applyBorder="1" applyAlignment="1" applyProtection="1">
      <alignment horizontal="center" vertical="center"/>
    </xf>
    <xf numFmtId="189" fontId="52" fillId="2" borderId="38" xfId="59" applyNumberFormat="1" applyFont="1" applyFill="1" applyBorder="1" applyAlignment="1" applyProtection="1">
      <alignment horizontal="center" vertical="center"/>
    </xf>
    <xf numFmtId="189"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9"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8" fontId="107" fillId="0" borderId="1" xfId="59" applyNumberFormat="1" applyFont="1" applyFill="1" applyBorder="1" applyAlignment="1" applyProtection="1">
      <alignment vertical="center"/>
      <protection locked="0" hidden="1"/>
    </xf>
    <xf numFmtId="189"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8"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78" fontId="59" fillId="0" borderId="4" xfId="59" applyNumberFormat="1" applyFont="1" applyFill="1" applyBorder="1" applyAlignment="1" applyProtection="1">
      <alignment vertical="center"/>
      <protection locked="0"/>
    </xf>
    <xf numFmtId="189" fontId="70" fillId="2" borderId="1" xfId="0" applyNumberFormat="1"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189" fontId="70" fillId="2" borderId="11" xfId="0" applyNumberFormat="1" applyFont="1" applyFill="1" applyBorder="1" applyAlignment="1" applyProtection="1">
      <alignment vertical="center"/>
    </xf>
    <xf numFmtId="189"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79" fontId="70" fillId="2" borderId="88" xfId="0" applyNumberFormat="1" applyFont="1" applyFill="1" applyBorder="1" applyAlignment="1" applyProtection="1">
      <alignment vertical="center"/>
    </xf>
    <xf numFmtId="179" fontId="70" fillId="2" borderId="13" xfId="0" applyNumberFormat="1" applyFont="1" applyFill="1" applyBorder="1" applyAlignment="1" applyProtection="1">
      <alignment vertical="center"/>
    </xf>
    <xf numFmtId="179"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79" fontId="59" fillId="2" borderId="16" xfId="0" applyNumberFormat="1" applyFont="1" applyFill="1" applyBorder="1" applyProtection="1">
      <alignment vertical="center"/>
    </xf>
    <xf numFmtId="189"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9"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79"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9"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9" fontId="59" fillId="2" borderId="1" xfId="0" applyNumberFormat="1" applyFont="1" applyFill="1" applyBorder="1" applyProtection="1">
      <alignment vertical="center"/>
    </xf>
    <xf numFmtId="0" fontId="126" fillId="0" borderId="1" xfId="0" applyFont="1" applyFill="1" applyBorder="1" applyAlignment="1" applyProtection="1">
      <alignment horizontal="center" vertical="center" wrapText="1"/>
    </xf>
    <xf numFmtId="0" fontId="127" fillId="0" borderId="1" xfId="0" applyFont="1" applyBorder="1" applyAlignment="1">
      <alignment horizontal="center" vertical="center" wrapText="1"/>
    </xf>
    <xf numFmtId="0" fontId="12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79"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9" fontId="59" fillId="2" borderId="1" xfId="0" applyNumberFormat="1" applyFont="1" applyFill="1" applyBorder="1" applyAlignment="1" applyProtection="1">
      <alignment horizontal="center" vertical="center" wrapText="1"/>
    </xf>
    <xf numFmtId="189" fontId="59" fillId="0" borderId="16" xfId="0" applyNumberFormat="1" applyFont="1" applyFill="1" applyBorder="1" applyAlignment="1" applyProtection="1">
      <alignment horizontal="center" vertical="center" wrapText="1"/>
      <protection locked="0"/>
    </xf>
    <xf numFmtId="189" fontId="59" fillId="2" borderId="16" xfId="0" applyNumberFormat="1" applyFont="1" applyFill="1" applyBorder="1" applyAlignment="1" applyProtection="1">
      <alignment horizontal="center" vertical="center" wrapText="1"/>
    </xf>
    <xf numFmtId="189" fontId="59" fillId="2" borderId="15" xfId="0" applyNumberFormat="1" applyFont="1" applyFill="1" applyBorder="1" applyAlignment="1" applyProtection="1">
      <alignment horizontal="center" vertical="center" wrapText="1"/>
    </xf>
    <xf numFmtId="0" fontId="128"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59"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59" fillId="0" borderId="1" xfId="0" applyNumberFormat="1" applyFont="1" applyBorder="1" applyAlignment="1" applyProtection="1">
      <alignment horizontal="center" vertical="center" wrapText="1"/>
      <protection locked="0"/>
    </xf>
    <xf numFmtId="0" fontId="12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79" fontId="36" fillId="2" borderId="83"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59" fillId="2" borderId="11" xfId="0" applyNumberFormat="1" applyFont="1" applyFill="1" applyBorder="1" applyAlignment="1" applyProtection="1">
      <alignment horizontal="center" vertical="center" wrapText="1"/>
    </xf>
    <xf numFmtId="189"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9"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86" fillId="0" borderId="154"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8"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8"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6" fillId="2" borderId="154"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78" fontId="36" fillId="2" borderId="90" xfId="0" applyNumberFormat="1" applyFont="1" applyFill="1" applyBorder="1" applyAlignment="1" applyProtection="1">
      <alignment horizontal="center" vertical="center" wrapText="1"/>
      <protection locked="0"/>
    </xf>
    <xf numFmtId="179"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79"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4" xfId="0" applyFont="1" applyFill="1" applyBorder="1" applyAlignment="1" applyProtection="1">
      <alignment vertical="center" wrapText="1"/>
      <protection locked="0"/>
    </xf>
    <xf numFmtId="0" fontId="86" fillId="2" borderId="156" xfId="0" applyFont="1" applyFill="1" applyBorder="1" applyAlignment="1" applyProtection="1">
      <alignment vertical="center" wrapText="1"/>
      <protection locked="0"/>
    </xf>
    <xf numFmtId="0" fontId="86"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86"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Font="1" applyFill="1" applyAlignment="1" applyProtection="1">
      <alignment horizontal="center" vertical="center" wrapText="1"/>
    </xf>
    <xf numFmtId="0" fontId="130" fillId="2" borderId="0" xfId="0" applyNumberFormat="1" applyFont="1" applyFill="1" applyBorder="1" applyAlignment="1" applyProtection="1">
      <alignment horizontal="center" vertical="center" wrapText="1"/>
    </xf>
    <xf numFmtId="0" fontId="131" fillId="0" borderId="0" xfId="62" applyFont="1" applyFill="1" applyAlignment="1">
      <alignment horizontal="left" vertical="center"/>
    </xf>
    <xf numFmtId="0" fontId="132" fillId="0" borderId="0" xfId="62" applyFont="1" applyAlignment="1">
      <alignment horizontal="left" vertical="center"/>
    </xf>
    <xf numFmtId="0" fontId="131" fillId="0" borderId="0" xfId="62" applyFont="1" applyAlignment="1">
      <alignment horizontal="left" vertical="center"/>
    </xf>
    <xf numFmtId="0" fontId="133" fillId="0" borderId="0" xfId="62" applyFont="1" applyAlignment="1">
      <alignment horizontal="left" vertical="center"/>
    </xf>
    <xf numFmtId="0" fontId="134" fillId="0" borderId="0" xfId="62" applyFont="1" applyAlignment="1">
      <alignment horizontal="left" vertical="center"/>
    </xf>
    <xf numFmtId="14" fontId="134" fillId="0" borderId="0" xfId="62" applyNumberFormat="1" applyFont="1" applyAlignment="1">
      <alignment horizontal="left" vertical="center"/>
    </xf>
    <xf numFmtId="0" fontId="135" fillId="0" borderId="0" xfId="62" applyFont="1" applyAlignment="1">
      <alignment horizontal="left" vertical="center"/>
    </xf>
    <xf numFmtId="0" fontId="136" fillId="3" borderId="15" xfId="62" applyFont="1" applyFill="1" applyBorder="1" applyAlignment="1">
      <alignment horizontal="left" vertical="center"/>
    </xf>
    <xf numFmtId="0" fontId="137" fillId="0" borderId="1" xfId="62" applyFont="1" applyBorder="1" applyAlignment="1">
      <alignment horizontal="left" vertical="center"/>
    </xf>
    <xf numFmtId="0" fontId="137" fillId="0" borderId="2" xfId="62" applyFont="1" applyBorder="1" applyAlignment="1">
      <alignment horizontal="left" vertical="center"/>
    </xf>
    <xf numFmtId="0" fontId="136" fillId="3" borderId="157" xfId="62" applyFont="1" applyFill="1" applyBorder="1" applyAlignment="1">
      <alignment horizontal="left" vertical="center"/>
    </xf>
    <xf numFmtId="0" fontId="137" fillId="0" borderId="1" xfId="62" applyFont="1" applyFill="1" applyBorder="1" applyAlignment="1">
      <alignment horizontal="left" vertical="center"/>
    </xf>
    <xf numFmtId="193" fontId="137" fillId="0" borderId="1" xfId="62" applyNumberFormat="1" applyFont="1" applyFill="1" applyBorder="1" applyAlignment="1">
      <alignment horizontal="left" vertical="center"/>
    </xf>
    <xf numFmtId="193" fontId="138" fillId="0" borderId="2" xfId="62" applyNumberFormat="1" applyFont="1" applyFill="1" applyBorder="1" applyAlignment="1">
      <alignment horizontal="left" vertical="center"/>
    </xf>
    <xf numFmtId="0" fontId="137" fillId="0" borderId="158" xfId="62" applyFont="1" applyFill="1" applyBorder="1" applyAlignment="1">
      <alignment horizontal="left" vertical="center"/>
    </xf>
    <xf numFmtId="188" fontId="137" fillId="0" borderId="1" xfId="62" applyNumberFormat="1" applyFont="1" applyFill="1" applyBorder="1" applyAlignment="1">
      <alignment horizontal="left" vertical="center"/>
    </xf>
    <xf numFmtId="0" fontId="138" fillId="0" borderId="1" xfId="62" applyFont="1" applyFill="1" applyBorder="1" applyAlignment="1">
      <alignment horizontal="left" vertical="center"/>
    </xf>
    <xf numFmtId="193" fontId="137" fillId="0" borderId="2" xfId="62" applyNumberFormat="1" applyFont="1" applyFill="1" applyBorder="1" applyAlignment="1">
      <alignment horizontal="left" vertical="center"/>
    </xf>
    <xf numFmtId="0" fontId="138" fillId="0" borderId="0" xfId="62" applyFont="1" applyFill="1" applyAlignment="1">
      <alignment horizontal="left" vertical="center"/>
    </xf>
    <xf numFmtId="0" fontId="136" fillId="3" borderId="1" xfId="62" applyFont="1" applyFill="1" applyBorder="1" applyAlignment="1">
      <alignment horizontal="left" vertical="center"/>
    </xf>
    <xf numFmtId="0" fontId="137" fillId="0" borderId="158" xfId="62" applyFont="1" applyBorder="1" applyAlignment="1">
      <alignment horizontal="left" vertical="center"/>
    </xf>
    <xf numFmtId="0" fontId="136" fillId="0" borderId="1" xfId="62" applyFont="1" applyFill="1" applyBorder="1" applyAlignment="1">
      <alignment horizontal="left" vertical="center"/>
    </xf>
    <xf numFmtId="0" fontId="134" fillId="0" borderId="1" xfId="62" applyFont="1" applyBorder="1" applyAlignment="1">
      <alignment horizontal="left" vertical="center"/>
    </xf>
    <xf numFmtId="188" fontId="137" fillId="0" borderId="2" xfId="62" applyNumberFormat="1" applyFont="1" applyFill="1" applyBorder="1" applyAlignment="1">
      <alignment horizontal="left" vertical="center"/>
    </xf>
    <xf numFmtId="0" fontId="134" fillId="0" borderId="158" xfId="62" applyFont="1" applyBorder="1" applyAlignment="1">
      <alignment horizontal="left" vertical="center"/>
    </xf>
    <xf numFmtId="188" fontId="137" fillId="0" borderId="1" xfId="0" applyNumberFormat="1" applyFont="1" applyFill="1" applyBorder="1" applyAlignment="1">
      <alignment horizontal="left" vertical="center"/>
    </xf>
    <xf numFmtId="14" fontId="134" fillId="0" borderId="1" xfId="62" applyNumberFormat="1" applyFont="1" applyBorder="1" applyAlignment="1">
      <alignment horizontal="left" vertical="center"/>
    </xf>
    <xf numFmtId="14" fontId="134" fillId="0" borderId="2" xfId="62" applyNumberFormat="1" applyFont="1" applyBorder="1" applyAlignment="1">
      <alignment horizontal="left" vertical="center"/>
    </xf>
    <xf numFmtId="0" fontId="139" fillId="0" borderId="1" xfId="62" applyFont="1" applyBorder="1" applyAlignment="1">
      <alignment horizontal="left" vertical="center"/>
    </xf>
    <xf numFmtId="188" fontId="139" fillId="0" borderId="1" xfId="0" applyNumberFormat="1" applyFont="1" applyFill="1" applyBorder="1" applyAlignment="1">
      <alignment horizontal="left" vertical="center"/>
    </xf>
    <xf numFmtId="14" fontId="131" fillId="0" borderId="0" xfId="62" applyNumberFormat="1" applyFont="1" applyAlignment="1">
      <alignment horizontal="left" vertical="center"/>
    </xf>
    <xf numFmtId="14" fontId="131" fillId="0" borderId="159" xfId="62" applyNumberFormat="1" applyFont="1" applyBorder="1" applyAlignment="1">
      <alignment horizontal="left" vertical="center"/>
    </xf>
    <xf numFmtId="0" fontId="131" fillId="0" borderId="0" xfId="62" applyFont="1" applyBorder="1" applyAlignment="1">
      <alignment horizontal="left" vertical="center"/>
    </xf>
    <xf numFmtId="0" fontId="140" fillId="0" borderId="0" xfId="6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2" borderId="1" xfId="0" applyFont="1" applyFill="1" applyBorder="1" applyAlignment="1" applyProtection="1">
      <alignment horizontal="center" vertical="center" wrapText="1"/>
    </xf>
    <xf numFmtId="0" fontId="142" fillId="2" borderId="1" xfId="0" applyFont="1" applyFill="1" applyBorder="1" applyAlignment="1" applyProtection="1">
      <alignment horizontal="center" vertical="center" wrapText="1"/>
    </xf>
    <xf numFmtId="0" fontId="143" fillId="26" borderId="1" xfId="0" applyFont="1" applyFill="1" applyBorder="1" applyAlignment="1" applyProtection="1">
      <alignment horizontal="center" vertical="center"/>
    </xf>
    <xf numFmtId="0" fontId="144" fillId="0" borderId="1" xfId="0" applyFont="1" applyFill="1" applyBorder="1" applyAlignment="1" applyProtection="1">
      <alignment horizontal="center" vertical="center"/>
    </xf>
    <xf numFmtId="0" fontId="130" fillId="0" borderId="0" xfId="0" applyFont="1" applyProtection="1">
      <alignment vertical="center"/>
    </xf>
    <xf numFmtId="0" fontId="13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3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45" fillId="0" borderId="0" xfId="0" applyFont="1" applyProtection="1">
      <alignment vertical="center"/>
    </xf>
    <xf numFmtId="0" fontId="130" fillId="0" borderId="0" xfId="0" applyFont="1" applyAlignment="1" applyProtection="1">
      <alignment horizontal="left" vertical="center"/>
    </xf>
    <xf numFmtId="189"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6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3"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5"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5" fontId="75" fillId="0" borderId="2" xfId="0" applyNumberFormat="1" applyFont="1" applyFill="1" applyBorder="1" applyAlignment="1" applyProtection="1">
      <alignment horizontal="center" vertical="center" wrapText="1"/>
    </xf>
    <xf numFmtId="195"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5"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9" fillId="0" borderId="0" xfId="0" applyFont="1" applyProtection="1">
      <alignment vertical="center"/>
      <protection locked="0"/>
    </xf>
    <xf numFmtId="195"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47" fillId="0" borderId="0" xfId="63" applyFont="1" applyProtection="1">
      <alignment vertical="center"/>
    </xf>
    <xf numFmtId="0" fontId="43"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53"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43"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8"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2" applyFont="1">
      <alignment vertical="center"/>
    </xf>
    <xf numFmtId="0" fontId="0" fillId="0" borderId="0" xfId="62">
      <alignment vertical="center"/>
    </xf>
    <xf numFmtId="0" fontId="159" fillId="0" borderId="0" xfId="62" applyFont="1" applyAlignment="1" applyProtection="1">
      <alignment horizontal="left" vertical="top" wrapText="1"/>
    </xf>
    <xf numFmtId="0" fontId="158" fillId="0" borderId="0" xfId="62" applyFont="1" applyAlignment="1">
      <alignment vertical="top" wrapText="1"/>
    </xf>
    <xf numFmtId="0" fontId="159" fillId="0" borderId="0" xfId="62" applyFont="1">
      <alignment vertical="center"/>
    </xf>
    <xf numFmtId="0" fontId="131" fillId="0" borderId="5" xfId="0" applyFont="1" applyBorder="1" applyProtection="1">
      <alignment vertical="center"/>
    </xf>
    <xf numFmtId="0" fontId="131" fillId="0" borderId="120" xfId="0" applyFont="1" applyBorder="1" applyProtection="1">
      <alignment vertical="center"/>
    </xf>
    <xf numFmtId="0" fontId="131" fillId="0" borderId="0" xfId="0" applyFont="1" applyBorder="1" applyProtection="1">
      <alignment vertical="center"/>
    </xf>
    <xf numFmtId="0" fontId="131" fillId="0" borderId="0" xfId="22"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6" xfId="22" applyFont="1" applyBorder="1" applyAlignment="1" applyProtection="1">
      <alignment horizontal="left" vertical="center" wrapText="1"/>
    </xf>
    <xf numFmtId="0" fontId="45" fillId="0" borderId="6" xfId="0" applyFont="1" applyBorder="1" applyAlignment="1" applyProtection="1">
      <alignment horizontal="left" vertical="center"/>
    </xf>
    <xf numFmtId="0" fontId="131" fillId="0" borderId="108" xfId="22" applyFont="1" applyBorder="1" applyAlignment="1" applyProtection="1">
      <alignment vertical="center" wrapText="1"/>
    </xf>
    <xf numFmtId="0" fontId="131" fillId="0" borderId="108" xfId="0" applyFont="1" applyBorder="1" applyAlignment="1" applyProtection="1">
      <alignment horizontal="left" vertical="center"/>
    </xf>
    <xf numFmtId="0" fontId="131" fillId="0" borderId="1" xfId="22" applyFont="1" applyBorder="1" applyAlignment="1" applyProtection="1">
      <alignment vertical="center" wrapText="1"/>
    </xf>
    <xf numFmtId="0" fontId="131" fillId="0" borderId="1" xfId="0" applyFont="1" applyBorder="1" applyAlignment="1" applyProtection="1">
      <alignment horizontal="left" vertical="center"/>
    </xf>
    <xf numFmtId="0" fontId="131" fillId="0" borderId="6" xfId="22" applyFont="1" applyBorder="1" applyAlignment="1" applyProtection="1">
      <alignment vertical="center" wrapText="1"/>
    </xf>
    <xf numFmtId="0" fontId="131" fillId="0" borderId="6" xfId="0" applyFont="1" applyBorder="1" applyAlignment="1" applyProtection="1">
      <alignment horizontal="left" vertical="center"/>
    </xf>
    <xf numFmtId="176" fontId="131" fillId="0" borderId="6" xfId="0" applyNumberFormat="1" applyFont="1" applyBorder="1" applyAlignment="1" applyProtection="1">
      <alignment horizontal="left" vertical="center"/>
    </xf>
    <xf numFmtId="0" fontId="131" fillId="0" borderId="16" xfId="22"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0" Type="http://schemas.openxmlformats.org/officeDocument/2006/relationships/sharedStrings" Target="sharedStrings.xml"/><Relationship Id="rId7" Type="http://schemas.openxmlformats.org/officeDocument/2006/relationships/worksheet" Target="worksheets/sheet7.xml"/><Relationship Id="rId69" Type="http://schemas.openxmlformats.org/officeDocument/2006/relationships/styles" Target="styles.xml"/><Relationship Id="rId68" Type="http://schemas.openxmlformats.org/officeDocument/2006/relationships/theme" Target="theme/theme1.xml"/><Relationship Id="rId67" Type="http://schemas.openxmlformats.org/officeDocument/2006/relationships/externalLink" Target="externalLinks/externalLink7.xml"/><Relationship Id="rId66" Type="http://schemas.openxmlformats.org/officeDocument/2006/relationships/externalLink" Target="externalLinks/externalLink6.xml"/><Relationship Id="rId65" Type="http://schemas.openxmlformats.org/officeDocument/2006/relationships/externalLink" Target="externalLinks/externalLink5.xml"/><Relationship Id="rId64" Type="http://schemas.openxmlformats.org/officeDocument/2006/relationships/externalLink" Target="externalLinks/externalLink4.xml"/><Relationship Id="rId63" Type="http://schemas.openxmlformats.org/officeDocument/2006/relationships/externalLink" Target="externalLinks/externalLink3.xml"/><Relationship Id="rId62" Type="http://schemas.openxmlformats.org/officeDocument/2006/relationships/externalLink" Target="externalLinks/externalLink2.xml"/><Relationship Id="rId61" Type="http://schemas.openxmlformats.org/officeDocument/2006/relationships/externalLink" Target="externalLinks/externalLink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wnloads\&#28966;&#21270;&#21378;&#31199;&#37329;-&#36793;&#36828;20210916-140123-&#36793;&#36828;20210916-1534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6793;&#36828;\2021\2021.9\&#25253;&#21578;\&#25151;&#23665;&#29141;&#20445;&#38428;&#30427;&#23478;&#22253;\&#36807;&#31243;\&#21021;&#31295;\&#25151;&#23665;&#29141;&#2044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收益法倒推租金-商业"/>
      <sheetName val="收益法倒推租金-商业单租"/>
      <sheetName val="收益法倒推租金-酒店"/>
      <sheetName val="各层租金"/>
      <sheetName val="收益法倒推租金-仓储"/>
      <sheetName val="商业总体租金"/>
      <sheetName val="Sheet1"/>
      <sheetName val="系统读取表"/>
      <sheetName val="结果表--商业"/>
      <sheetName val="比较法-住宅"/>
      <sheetName val="比较法-商业"/>
      <sheetName val="比较法案例"/>
      <sheetName val="典型户型修正"/>
      <sheetName val="成本法"/>
      <sheetName val="基准地价修正--商业"/>
      <sheetName val="结果表--酒店"/>
      <sheetName val="收益法-经营"/>
      <sheetName val="成本法--酒店"/>
      <sheetName val="基准地价修正--酒店"/>
      <sheetName val="结果表--仓储"/>
      <sheetName val="假设开发法"/>
      <sheetName val="收益法"/>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成本法--仓储"/>
      <sheetName val="成本法 (元)"/>
      <sheetName val="基准地价修正--仓储"/>
      <sheetName val="仓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row r="29">
          <cell r="K29">
            <v>790.44</v>
          </cell>
        </row>
        <row r="30">
          <cell r="K30">
            <v>825.68</v>
          </cell>
        </row>
        <row r="32">
          <cell r="I32">
            <v>439.7</v>
          </cell>
        </row>
        <row r="33">
          <cell r="I33">
            <v>528.95</v>
          </cell>
        </row>
        <row r="37">
          <cell r="K37">
            <v>378.85</v>
          </cell>
        </row>
        <row r="38">
          <cell r="K38">
            <v>899.91</v>
          </cell>
        </row>
        <row r="40">
          <cell r="I40">
            <v>451.64</v>
          </cell>
        </row>
        <row r="41">
          <cell r="I41">
            <v>358.18</v>
          </cell>
        </row>
        <row r="43">
          <cell r="K43">
            <v>975.67</v>
          </cell>
        </row>
        <row r="44">
          <cell r="K44">
            <v>656.81</v>
          </cell>
        </row>
        <row r="45">
          <cell r="I45">
            <v>156.24</v>
          </cell>
        </row>
        <row r="46">
          <cell r="I46">
            <v>1459.31</v>
          </cell>
        </row>
        <row r="47">
          <cell r="I47">
            <v>525.22</v>
          </cell>
        </row>
        <row r="48">
          <cell r="I48">
            <v>553.41</v>
          </cell>
        </row>
      </sheetData>
      <sheetData sheetId="12"/>
      <sheetData sheetId="13">
        <row r="17">
          <cell r="C17" t="str">
            <v>项目类型</v>
          </cell>
        </row>
        <row r="19">
          <cell r="C19" t="str">
            <v>商业</v>
          </cell>
        </row>
        <row r="20">
          <cell r="C20" t="str">
            <v>仓储</v>
          </cell>
        </row>
        <row r="21">
          <cell r="C21" t="str">
            <v>酒店</v>
          </cell>
        </row>
        <row r="21">
          <cell r="F21">
            <v>7767.62</v>
          </cell>
        </row>
      </sheetData>
      <sheetData sheetId="14"/>
      <sheetData sheetId="15"/>
      <sheetData sheetId="16"/>
      <sheetData sheetId="17"/>
      <sheetData sheetId="18"/>
      <sheetData sheetId="19"/>
      <sheetData sheetId="20">
        <row r="31">
          <cell r="C31">
            <v>0.36</v>
          </cell>
        </row>
      </sheetData>
      <sheetData sheetId="21">
        <row r="5">
          <cell r="J5">
            <v>1.21</v>
          </cell>
        </row>
        <row r="6">
          <cell r="J6">
            <v>0.605</v>
          </cell>
        </row>
        <row r="7">
          <cell r="J7">
            <v>1.21</v>
          </cell>
        </row>
        <row r="8">
          <cell r="J8">
            <v>0.847</v>
          </cell>
        </row>
        <row r="9">
          <cell r="J9">
            <v>0.7865</v>
          </cell>
        </row>
        <row r="10">
          <cell r="J10">
            <v>1.2826</v>
          </cell>
        </row>
        <row r="11">
          <cell r="J11">
            <v>0.89782</v>
          </cell>
        </row>
        <row r="12">
          <cell r="J12">
            <v>0.605</v>
          </cell>
        </row>
        <row r="14">
          <cell r="J14">
            <v>1.21</v>
          </cell>
        </row>
        <row r="15">
          <cell r="J15">
            <v>0.847</v>
          </cell>
        </row>
        <row r="17">
          <cell r="J17">
            <v>0.7865</v>
          </cell>
        </row>
        <row r="18">
          <cell r="J18">
            <v>0.726</v>
          </cell>
        </row>
        <row r="19">
          <cell r="J19">
            <v>0.605</v>
          </cell>
        </row>
        <row r="20">
          <cell r="J20">
            <v>0.605</v>
          </cell>
        </row>
        <row r="22">
          <cell r="J22">
            <v>1.21</v>
          </cell>
        </row>
        <row r="23">
          <cell r="J23">
            <v>0.847</v>
          </cell>
        </row>
        <row r="25">
          <cell r="J25">
            <v>0.7865</v>
          </cell>
        </row>
        <row r="26">
          <cell r="J26">
            <v>0.605</v>
          </cell>
        </row>
        <row r="29">
          <cell r="J29">
            <v>0.847</v>
          </cell>
        </row>
        <row r="31">
          <cell r="J31">
            <v>0.7865</v>
          </cell>
        </row>
        <row r="32">
          <cell r="J32">
            <v>0.726</v>
          </cell>
        </row>
        <row r="33">
          <cell r="J33">
            <v>0.38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646" customWidth="1"/>
    <col min="2" max="2" width="81" style="3647" customWidth="1"/>
    <col min="3" max="16384" width="9" style="3648"/>
  </cols>
  <sheetData>
    <row r="1" s="3643" customFormat="1" ht="16.5" spans="1:2">
      <c r="A1" s="3649" t="s">
        <v>0</v>
      </c>
      <c r="B1" s="3650" t="s">
        <v>1</v>
      </c>
    </row>
    <row r="2" s="3644" customFormat="1" ht="15" spans="1:2">
      <c r="A2" s="3651" t="s">
        <v>2</v>
      </c>
      <c r="B2" s="3652" t="str">
        <f>'预评函-封皮'!B37:I37</f>
        <v>北京市房地产市场价值预评估</v>
      </c>
    </row>
    <row r="3" s="3645" customFormat="1" spans="1:2">
      <c r="A3" s="3653" t="s">
        <v>3</v>
      </c>
      <c r="B3" s="3654">
        <f>'预评函-封皮'!B40</f>
        <v>0</v>
      </c>
    </row>
    <row r="4" s="3645" customFormat="1" spans="1:2">
      <c r="A4" s="3653" t="s">
        <v>4</v>
      </c>
      <c r="B4" s="3654" t="str">
        <f ca="1">'预评函-封皮'!B46</f>
        <v>陈颖（注册号：1120060040)、（注册号：0)</v>
      </c>
    </row>
    <row r="5" s="3643" customFormat="1" ht="15" spans="1:2">
      <c r="A5" s="3655" t="s">
        <v>5</v>
      </c>
      <c r="B5" s="3656" t="str">
        <f>'预评函-封皮'!B49</f>
        <v>康正预评字号</v>
      </c>
    </row>
    <row r="6" s="3644" customFormat="1" ht="15" spans="1:2">
      <c r="A6" s="3651" t="s">
        <v>6</v>
      </c>
      <c r="B6" s="3652" t="str">
        <f>'预评函-1'!A4</f>
        <v>受贵公司委托，我公司对北京市房地产市场价值进行了预评估。</v>
      </c>
    </row>
    <row r="7" s="3645" customFormat="1" spans="1:2">
      <c r="A7" s="3653" t="s">
        <v>7</v>
      </c>
      <c r="B7" s="3654" t="str">
        <f>'预评函-1'!A7</f>
        <v>估价对象为北京市房地产，为所有。根据《国有土地使用证》[]，估价对象（分摊）出让国有建设用地使用权面积为0平方米，建筑面积为33735.37平方米。</v>
      </c>
    </row>
    <row r="8" s="3645" customFormat="1" spans="1:2">
      <c r="A8" s="3653" t="s">
        <v>8</v>
      </c>
      <c r="B8" s="3654" t="str">
        <f>'预评函-1'!A8</f>
        <v>估价对象简述。项目推广名，项目类型（用途），估价对象分布，各用途面积明细情况：XX用途建筑面积XX平方米，XX用途建筑面积XX平方米，……。复杂面积清单需设‘附表’列示：抵押物清单详见附表</v>
      </c>
    </row>
    <row r="9" s="3645" customFormat="1" spans="1:2">
      <c r="A9" s="3653" t="s">
        <v>9</v>
      </c>
      <c r="B9" s="3654" t="str">
        <f>'预评函-1'!A10</f>
        <v>估价对象为北京市房地产,属开发建设的，该项目尚在开发建设中。根据《国有土地使用证》[]，估价对象（分摊）出让国有建设用地使用权面积为0平方米，规划建筑面积为33735.37平方米。</v>
      </c>
    </row>
    <row r="10" s="3645" customFormat="1" spans="1:2">
      <c r="A10" s="3653" t="s">
        <v>10</v>
      </c>
      <c r="B10" s="36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45" customFormat="1" spans="1:2">
      <c r="A11" s="3653" t="s">
        <v>11</v>
      </c>
      <c r="B11" s="3654" t="str">
        <f>'预评函-1'!A13</f>
        <v>为估价委托人了解估价对象房地产市场价值提供参考依据。</v>
      </c>
    </row>
    <row r="12" s="3645" customFormat="1" spans="1:2">
      <c r="A12" s="3653" t="s">
        <v>12</v>
      </c>
      <c r="B12" s="3654" t="str">
        <f>'预评函-1'!A15</f>
        <v>2021年9月22日（评估专业人员实地查勘之日）</v>
      </c>
    </row>
    <row r="13" s="3645" customFormat="1" spans="1:2">
      <c r="A13" s="3653" t="s">
        <v>13</v>
      </c>
      <c r="B13" s="3654" t="str">
        <f>'预评函-1'!A18</f>
        <v>本次估价的“房地产价值”是指在正常市场情况下，在价值时点2021年9月22日，估价对象规划用途为，土地取得方式为划拨，假定未设立法定优先受偿款下的房地产市场价值。</v>
      </c>
    </row>
    <row r="14" s="3645" customFormat="1" spans="1:2">
      <c r="A14" s="3653" t="s">
        <v>14</v>
      </c>
      <c r="B14" s="365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45" customFormat="1" spans="1:2">
      <c r="A15" s="3653" t="s">
        <v>15</v>
      </c>
      <c r="B15" s="3654" t="str">
        <f>'预评函-1'!A20</f>
        <v>——</v>
      </c>
    </row>
    <row r="16" s="3645" customFormat="1" spans="1:2">
      <c r="A16" s="3653" t="s">
        <v>16</v>
      </c>
      <c r="B16" s="3654" t="str">
        <f>'预评函-1'!A21</f>
        <v>——</v>
      </c>
    </row>
    <row r="17" s="3645" customFormat="1" spans="1:2">
      <c r="A17" s="3653" t="s">
        <v>17</v>
      </c>
      <c r="B17" s="3654" t="str">
        <f>'预评函-1'!A22</f>
        <v>——</v>
      </c>
    </row>
    <row r="18" s="3643" customFormat="1" ht="15" spans="1:2">
      <c r="A18" s="3655" t="s">
        <v>18</v>
      </c>
      <c r="B18" s="3656" t="str">
        <f>'预评函-1'!A24</f>
        <v>本次评估采用的主估价方法为成本法和比较法。</v>
      </c>
    </row>
    <row r="19" s="3644" customFormat="1" ht="15" spans="1:2">
      <c r="A19" s="3651" t="s">
        <v>19</v>
      </c>
      <c r="B19" s="365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45" customFormat="1" spans="1:2">
      <c r="A20" s="3653" t="s">
        <v>20</v>
      </c>
      <c r="B20" s="3654">
        <f ca="1">'预评函-2'!D5</f>
        <v>88617</v>
      </c>
    </row>
    <row r="21" s="3645" customFormat="1" spans="1:2">
      <c r="A21" s="3653" t="s">
        <v>21</v>
      </c>
      <c r="B21" s="3654">
        <f ca="1">'预评函-2'!D7</f>
        <v>35693</v>
      </c>
    </row>
    <row r="22" s="3645" customFormat="1" spans="1:2">
      <c r="A22" s="3653" t="s">
        <v>22</v>
      </c>
      <c r="B22" s="3654" t="str">
        <f ca="1">'预评函-2'!D6</f>
        <v>捌亿捌仟陆佰壹拾柒万元整</v>
      </c>
    </row>
    <row r="23" s="3645" customFormat="1" spans="1:2">
      <c r="A23" s="3653" t="s">
        <v>23</v>
      </c>
      <c r="B23" s="3654" t="str">
        <f>'预评函-2'!B8</f>
        <v>2.估价师知悉的法定优先受偿款</v>
      </c>
    </row>
    <row r="24" s="3645" customFormat="1" spans="1:2">
      <c r="A24" s="3653" t="s">
        <v>24</v>
      </c>
      <c r="B24" s="3654">
        <f>'预评函-2'!D8</f>
        <v>0</v>
      </c>
    </row>
    <row r="25" s="3645" customFormat="1" spans="1:2">
      <c r="A25" s="3653" t="s">
        <v>25</v>
      </c>
      <c r="B25" s="3654" t="str">
        <f>'预评函-2'!D9</f>
        <v>零元整</v>
      </c>
    </row>
    <row r="26" s="3645" customFormat="1" spans="1:2">
      <c r="A26" s="3653" t="s">
        <v>26</v>
      </c>
      <c r="B26" s="3654">
        <f>'预评函-2'!D10</f>
        <v>0</v>
      </c>
    </row>
    <row r="27" s="3645" customFormat="1" spans="1:2">
      <c r="A27" s="3653" t="s">
        <v>27</v>
      </c>
      <c r="B27" s="3654">
        <f>'预评函-2'!D11</f>
        <v>0</v>
      </c>
    </row>
    <row r="28" s="3645" customFormat="1" spans="1:2">
      <c r="A28" s="3653" t="s">
        <v>28</v>
      </c>
      <c r="B28" s="3654">
        <f>'预评函-2'!D12</f>
        <v>0</v>
      </c>
    </row>
    <row r="29" s="3645" customFormat="1" spans="1:2">
      <c r="A29" s="3653" t="s">
        <v>29</v>
      </c>
      <c r="B29" s="3654" t="str">
        <f>'预评函-2'!B13</f>
        <v>3.房地产抵押价值</v>
      </c>
    </row>
    <row r="30" s="3645" customFormat="1" spans="1:2">
      <c r="A30" s="3653" t="s">
        <v>30</v>
      </c>
      <c r="B30" s="3654">
        <f ca="1">'预评函-2'!D13</f>
        <v>88617</v>
      </c>
    </row>
    <row r="31" s="3645" customFormat="1" spans="1:2">
      <c r="A31" s="3653" t="s">
        <v>31</v>
      </c>
      <c r="B31" s="3654">
        <f ca="1">'预评函-2'!D15</f>
        <v>26268</v>
      </c>
    </row>
    <row r="32" s="3645" customFormat="1" spans="1:2">
      <c r="A32" s="3653" t="s">
        <v>32</v>
      </c>
      <c r="B32" s="3654" t="str">
        <f ca="1">'预评函-2'!D14</f>
        <v>捌亿捌仟陆佰壹拾柒万元整</v>
      </c>
    </row>
    <row r="33" s="3645" customFormat="1" spans="1:2">
      <c r="A33" s="3653" t="s">
        <v>33</v>
      </c>
      <c r="B33" s="3654" t="str">
        <f>'预评函-2'!B16</f>
        <v>——</v>
      </c>
    </row>
    <row r="34" s="3645" customFormat="1" spans="1:2">
      <c r="A34" s="3653" t="s">
        <v>34</v>
      </c>
      <c r="B34" s="3654" t="str">
        <f ca="1">'预评函-2'!D16</f>
        <v>——</v>
      </c>
    </row>
    <row r="35" s="3645" customFormat="1" spans="1:2">
      <c r="A35" s="3653" t="s">
        <v>35</v>
      </c>
      <c r="B35" s="3654" t="str">
        <f ca="1">'预评函-2'!D18</f>
        <v>——</v>
      </c>
    </row>
    <row r="36" s="3645" customFormat="1" spans="1:2">
      <c r="A36" s="3653" t="s">
        <v>36</v>
      </c>
      <c r="B36" s="3654" t="e">
        <f ca="1">'预评函-2'!D17</f>
        <v>#VALUE!</v>
      </c>
    </row>
    <row r="37" s="3645" customFormat="1" spans="1:2">
      <c r="A37" s="3653" t="s">
        <v>37</v>
      </c>
      <c r="B37" s="3654" t="str">
        <f>'预评函-2'!B19</f>
        <v>——</v>
      </c>
    </row>
    <row r="38" s="3645" customFormat="1" spans="1:2">
      <c r="A38" s="3653" t="s">
        <v>38</v>
      </c>
      <c r="B38" s="3654" t="str">
        <f ca="1">'预评函-2'!D19</f>
        <v>——</v>
      </c>
    </row>
    <row r="39" s="3645" customFormat="1" spans="1:2">
      <c r="A39" s="3653" t="s">
        <v>39</v>
      </c>
      <c r="B39" s="3654" t="str">
        <f ca="1">'预评函-2'!D21</f>
        <v>——</v>
      </c>
    </row>
    <row r="40" s="3645" customFormat="1" spans="1:2">
      <c r="A40" s="3653" t="s">
        <v>40</v>
      </c>
      <c r="B40" s="3654" t="e">
        <f ca="1">'预评函-2'!D20</f>
        <v>#VALUE!</v>
      </c>
    </row>
    <row r="41" s="3645" customFormat="1" spans="1:2">
      <c r="A41" s="3653" t="s">
        <v>41</v>
      </c>
      <c r="B41" s="3654" t="str">
        <f>'预评函-3'!A4</f>
        <v>北京市房地产</v>
      </c>
    </row>
    <row r="42" s="3645" customFormat="1" spans="1:2">
      <c r="A42" s="3653" t="s">
        <v>42</v>
      </c>
      <c r="B42" s="3654" t="str">
        <f>'预评函-3'!B2</f>
        <v>建筑面积</v>
      </c>
    </row>
    <row r="43" s="3645" customFormat="1" spans="1:2">
      <c r="A43" s="3653" t="s">
        <v>43</v>
      </c>
      <c r="B43" s="3654">
        <f>'预评函-3'!B4</f>
        <v>33735.37</v>
      </c>
    </row>
    <row r="44" s="3645" customFormat="1" spans="1:2">
      <c r="A44" s="3653" t="s">
        <v>44</v>
      </c>
      <c r="B44" s="3654" t="str">
        <f>'预评函-3'!C2</f>
        <v>(分摊)土地面积</v>
      </c>
    </row>
    <row r="45" s="3645" customFormat="1" spans="1:2">
      <c r="A45" s="3653" t="s">
        <v>45</v>
      </c>
      <c r="B45" s="3654">
        <f>'预评函-3'!C4</f>
        <v>0</v>
      </c>
    </row>
    <row r="46" s="3645" customFormat="1" spans="1:2">
      <c r="A46" s="3653" t="s">
        <v>46</v>
      </c>
      <c r="B46" s="3654" t="str">
        <f>'预评函-3'!D2</f>
        <v>出让国有建设用地使用权价值</v>
      </c>
    </row>
    <row r="47" s="3645" customFormat="1" spans="1:2">
      <c r="A47" s="3653" t="s">
        <v>47</v>
      </c>
      <c r="B47" s="3654" t="e">
        <f ca="1">'预评函-3'!D4</f>
        <v>#REF!</v>
      </c>
    </row>
    <row r="48" s="3645" customFormat="1" spans="1:2">
      <c r="A48" s="3653" t="s">
        <v>48</v>
      </c>
      <c r="B48" s="3654" t="e">
        <f ca="1">'预评函-3'!E4</f>
        <v>#REF!</v>
      </c>
    </row>
    <row r="49" s="3645" customFormat="1" spans="1:2">
      <c r="A49" s="3653" t="s">
        <v>49</v>
      </c>
      <c r="B49" s="3654" t="e">
        <f ca="1">'预评函-3'!D5</f>
        <v>#REF!</v>
      </c>
    </row>
    <row r="50" s="3645" customFormat="1" spans="1:2">
      <c r="A50" s="3653" t="s">
        <v>50</v>
      </c>
      <c r="B50" s="3654" t="str">
        <f>'预评函-3'!F2</f>
        <v>在建建筑物价值</v>
      </c>
    </row>
    <row r="51" s="3645" customFormat="1" spans="1:2">
      <c r="A51" s="3653" t="s">
        <v>51</v>
      </c>
      <c r="B51" s="3654" t="e">
        <f ca="1">'预评函-3'!F4</f>
        <v>#REF!</v>
      </c>
    </row>
    <row r="52" s="3645" customFormat="1" spans="1:2">
      <c r="A52" s="3653" t="s">
        <v>52</v>
      </c>
      <c r="B52" s="3654" t="e">
        <f ca="1">'预评函-3'!G4</f>
        <v>#REF!</v>
      </c>
    </row>
    <row r="53" s="3645" customFormat="1" spans="1:2">
      <c r="A53" s="3653" t="s">
        <v>53</v>
      </c>
      <c r="B53" s="3654" t="e">
        <f ca="1">'预评函-3'!F5</f>
        <v>#REF!</v>
      </c>
    </row>
    <row r="54" s="3645" customFormat="1" spans="1:2">
      <c r="A54" s="3653" t="s">
        <v>54</v>
      </c>
      <c r="B54" s="3654" t="str">
        <f>'预评函-3'!A8</f>
        <v/>
      </c>
    </row>
    <row r="55" s="3645" customFormat="1" spans="1:2">
      <c r="A55" s="3653" t="s">
        <v>55</v>
      </c>
      <c r="B55" s="3654" t="str">
        <f>'预评函-3'!A10</f>
        <v/>
      </c>
    </row>
    <row r="56" s="3645" customFormat="1" spans="1:2">
      <c r="A56" s="3653" t="s">
        <v>56</v>
      </c>
      <c r="B56" s="3654" t="str">
        <f>'预评函-3'!A12</f>
        <v/>
      </c>
    </row>
    <row r="57" s="3643" customFormat="1" ht="15" spans="1:2">
      <c r="A57" s="3655" t="s">
        <v>57</v>
      </c>
      <c r="B57" s="3656" t="str">
        <f>'预评函-3'!A6</f>
        <v/>
      </c>
    </row>
    <row r="58" s="3644" customFormat="1" ht="15" spans="1:2">
      <c r="A58" s="3651" t="s">
        <v>58</v>
      </c>
      <c r="B58" s="3652" t="str">
        <f>'预评函-4'!A12</f>
        <v>2.本次评估设定估价对象房地产权属无争议，未被查封或者以其他形式限制其房地产权利，未设定抵押权等他项权利，不涉及第三方权利义务。</v>
      </c>
    </row>
    <row r="59" s="3645" customFormat="1" spans="1:2">
      <c r="A59" s="3653" t="s">
        <v>59</v>
      </c>
      <c r="B59" s="3654" t="str">
        <f>'预评函-4'!A13</f>
        <v>——</v>
      </c>
    </row>
    <row r="60" s="3645" customFormat="1" spans="1:2">
      <c r="A60" s="3653" t="s">
        <v>60</v>
      </c>
      <c r="B60" s="3654" t="str">
        <f>'预评函-4'!A14</f>
        <v>——</v>
      </c>
    </row>
    <row r="61" s="3645" customFormat="1" spans="1:2">
      <c r="A61" s="3653" t="s">
        <v>61</v>
      </c>
      <c r="B61" s="3654" t="str">
        <f>'预评函-4'!A15</f>
        <v>——</v>
      </c>
    </row>
    <row r="62" s="3645" customFormat="1" spans="1:2">
      <c r="A62" s="3653" t="s">
        <v>62</v>
      </c>
      <c r="B62" s="3654" t="str">
        <f>'预评函-4'!A16</f>
        <v>（2）根据《工程款支付情况说明》，截至价值时点，估价对象不存在应付未付工程款项。（只要没有施工方盖章的，均“设定”进行表述）</v>
      </c>
    </row>
    <row r="63" s="3645" customFormat="1" spans="1:2">
      <c r="A63" s="3653" t="s">
        <v>63</v>
      </c>
      <c r="B63" s="36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45" customFormat="1" spans="1:2">
      <c r="A64" s="3653" t="s">
        <v>64</v>
      </c>
      <c r="B64" s="3654" t="str">
        <f>'预评函-4'!A18</f>
        <v>——</v>
      </c>
    </row>
    <row r="65" s="3645" customFormat="1" spans="1:2">
      <c r="A65" s="3653" t="s">
        <v>65</v>
      </c>
      <c r="B65" s="36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45" customFormat="1" spans="1:2">
      <c r="A66" s="3653" t="s">
        <v>66</v>
      </c>
      <c r="B66" s="3654" t="str">
        <f>'预评函-4'!A20</f>
        <v>——</v>
      </c>
    </row>
    <row r="67" s="3645" customFormat="1" spans="1:2">
      <c r="A67" s="3653" t="s">
        <v>67</v>
      </c>
      <c r="B67" s="3654" t="str">
        <f>'预评函-4'!A21</f>
        <v>——</v>
      </c>
    </row>
    <row r="68" s="3645" customFormat="1" spans="1:2">
      <c r="A68" s="3653" t="s">
        <v>68</v>
      </c>
      <c r="B68" s="3654" t="str">
        <f>'预评函-4'!A22</f>
        <v>8.其他需特殊说明事项：无（注意调整序号）</v>
      </c>
    </row>
    <row r="69" s="3643" customFormat="1" ht="15" spans="1:2">
      <c r="A69" s="3655" t="s">
        <v>69</v>
      </c>
      <c r="B69" s="3657">
        <f>'预评函-4'!C31</f>
        <v>42551</v>
      </c>
    </row>
    <row r="70" ht="15" spans="1:2">
      <c r="A70" s="3658" t="s">
        <v>70</v>
      </c>
      <c r="B70" s="3659" t="str">
        <f>'预评函-4'!A4</f>
        <v>陈颖</v>
      </c>
    </row>
    <row r="71" spans="1:2">
      <c r="A71" s="3653" t="s">
        <v>71</v>
      </c>
      <c r="B71" s="3654">
        <f ca="1">'预评函-4'!B4</f>
        <v>1120060040</v>
      </c>
    </row>
    <row r="72" spans="1:2">
      <c r="A72" s="3653" t="s">
        <v>72</v>
      </c>
      <c r="B72" s="3660">
        <f>'预评函-4'!A5</f>
        <v>0</v>
      </c>
    </row>
    <row r="73" s="3643" customFormat="1" ht="15" spans="1:2">
      <c r="A73" s="3655" t="s">
        <v>73</v>
      </c>
      <c r="B73" s="3656">
        <f ca="1">'预评函-4'!B5</f>
        <v>0</v>
      </c>
    </row>
    <row r="74" ht="15" spans="1:2">
      <c r="A74" s="3646" t="s">
        <v>74</v>
      </c>
      <c r="B74" s="36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483" customWidth="1"/>
    <col min="2" max="2" width="23.2166666666667" style="3484" customWidth="1"/>
    <col min="3" max="3" width="13" style="3485" customWidth="1"/>
    <col min="4" max="4" width="5.775" style="3486" customWidth="1"/>
    <col min="5" max="5" width="7.10833333333333" style="3486" customWidth="1"/>
    <col min="6" max="6" width="10.6666666666667" style="3486" customWidth="1"/>
    <col min="7" max="7" width="7.44166666666667" style="3486" customWidth="1"/>
    <col min="8" max="8" width="9" style="3485" customWidth="1"/>
    <col min="9" max="9" width="11.6666666666667" style="3485" customWidth="1"/>
    <col min="10" max="10" width="9" style="3485" customWidth="1"/>
    <col min="11" max="19" width="9" style="3486" customWidth="1"/>
    <col min="20" max="23" width="9" style="3485" customWidth="1"/>
    <col min="24" max="24" width="21.1083333333333" style="3484" customWidth="1"/>
    <col min="25" max="16384" width="9" style="3484"/>
  </cols>
  <sheetData>
    <row r="1" s="3482" customFormat="1" ht="27" spans="1:23">
      <c r="A1" s="3487" t="s">
        <v>208</v>
      </c>
      <c r="B1" s="3488" t="s">
        <v>209</v>
      </c>
      <c r="C1" s="3489" t="s">
        <v>210</v>
      </c>
      <c r="D1" s="3490" t="s">
        <v>211</v>
      </c>
      <c r="E1" s="3490" t="s">
        <v>212</v>
      </c>
      <c r="F1" s="3490" t="s">
        <v>213</v>
      </c>
      <c r="G1" s="3490" t="s">
        <v>214</v>
      </c>
      <c r="H1" s="3490" t="s">
        <v>215</v>
      </c>
      <c r="I1" s="3490" t="s">
        <v>216</v>
      </c>
      <c r="J1" s="3490" t="s">
        <v>217</v>
      </c>
      <c r="K1" s="3490" t="s">
        <v>218</v>
      </c>
      <c r="L1" s="3490" t="s">
        <v>219</v>
      </c>
      <c r="M1" s="3490" t="s">
        <v>220</v>
      </c>
      <c r="N1" s="3490" t="s">
        <v>221</v>
      </c>
      <c r="O1" s="3490" t="s">
        <v>222</v>
      </c>
      <c r="P1" s="3499" t="s">
        <v>223</v>
      </c>
      <c r="Q1" s="3499" t="s">
        <v>224</v>
      </c>
      <c r="R1" s="3490" t="s">
        <v>225</v>
      </c>
      <c r="S1" s="3490" t="s">
        <v>226</v>
      </c>
      <c r="T1" s="3500" t="s">
        <v>227</v>
      </c>
      <c r="U1" s="3490" t="s">
        <v>228</v>
      </c>
      <c r="V1" s="3490" t="s">
        <v>229</v>
      </c>
      <c r="W1" s="3490" t="s">
        <v>230</v>
      </c>
    </row>
    <row r="2" spans="1:23">
      <c r="A2" s="3491" t="s">
        <v>124</v>
      </c>
      <c r="B2" s="3491" t="s">
        <v>231</v>
      </c>
      <c r="C2" s="3492" t="s">
        <v>232</v>
      </c>
      <c r="D2" s="3486" t="s">
        <v>233</v>
      </c>
      <c r="E2" s="3486" t="s">
        <v>234</v>
      </c>
      <c r="F2" s="3486" t="s">
        <v>159</v>
      </c>
      <c r="G2" s="3486">
        <v>40</v>
      </c>
      <c r="H2" s="3486" t="s">
        <v>159</v>
      </c>
      <c r="I2" s="3486" t="s">
        <v>235</v>
      </c>
      <c r="J2" s="3486" t="s">
        <v>236</v>
      </c>
      <c r="K2" s="3486" t="s">
        <v>237</v>
      </c>
      <c r="L2" s="3486" t="s">
        <v>237</v>
      </c>
      <c r="M2" s="3486" t="s">
        <v>237</v>
      </c>
      <c r="N2" s="3486" t="s">
        <v>237</v>
      </c>
      <c r="O2" s="3486" t="s">
        <v>237</v>
      </c>
      <c r="P2" s="3486" t="s">
        <v>237</v>
      </c>
      <c r="Q2" s="3486" t="s">
        <v>237</v>
      </c>
      <c r="R2" s="3486" t="s">
        <v>238</v>
      </c>
      <c r="S2" s="3486" t="s">
        <v>237</v>
      </c>
      <c r="T2" s="3486" t="s">
        <v>239</v>
      </c>
      <c r="U2" s="3486" t="s">
        <v>237</v>
      </c>
      <c r="V2" s="3486" t="s">
        <v>240</v>
      </c>
      <c r="W2" s="3486" t="s">
        <v>237</v>
      </c>
    </row>
    <row r="3" spans="1:23">
      <c r="A3" s="3491" t="s">
        <v>241</v>
      </c>
      <c r="B3" s="3493" t="s">
        <v>242</v>
      </c>
      <c r="C3" s="3494" t="s">
        <v>243</v>
      </c>
      <c r="D3" s="3486" t="s">
        <v>244</v>
      </c>
      <c r="E3" s="3486" t="s">
        <v>124</v>
      </c>
      <c r="F3" s="3486" t="s">
        <v>160</v>
      </c>
      <c r="G3" s="3486">
        <v>50</v>
      </c>
      <c r="H3" s="3486" t="s">
        <v>160</v>
      </c>
      <c r="I3" s="3486" t="s">
        <v>245</v>
      </c>
      <c r="J3" s="3486" t="s">
        <v>246</v>
      </c>
      <c r="K3" s="3486" t="s">
        <v>247</v>
      </c>
      <c r="L3" s="3486" t="s">
        <v>247</v>
      </c>
      <c r="M3" s="3486" t="s">
        <v>247</v>
      </c>
      <c r="N3" s="3486" t="s">
        <v>247</v>
      </c>
      <c r="O3" s="3486" t="s">
        <v>247</v>
      </c>
      <c r="P3" s="3486" t="s">
        <v>247</v>
      </c>
      <c r="Q3" s="3486" t="s">
        <v>247</v>
      </c>
      <c r="R3" s="3486" t="s">
        <v>248</v>
      </c>
      <c r="S3" s="3486" t="s">
        <v>247</v>
      </c>
      <c r="T3" s="3486" t="s">
        <v>249</v>
      </c>
      <c r="U3" s="3486" t="s">
        <v>247</v>
      </c>
      <c r="V3" s="3486" t="s">
        <v>250</v>
      </c>
      <c r="W3" s="3486" t="s">
        <v>247</v>
      </c>
    </row>
    <row r="4" spans="1:23">
      <c r="A4" s="3491" t="s">
        <v>251</v>
      </c>
      <c r="B4" s="3491" t="s">
        <v>252</v>
      </c>
      <c r="C4" s="3492" t="s">
        <v>253</v>
      </c>
      <c r="D4" s="3486" t="s">
        <v>124</v>
      </c>
      <c r="E4" s="3486" t="s">
        <v>254</v>
      </c>
      <c r="F4" s="3486" t="s">
        <v>161</v>
      </c>
      <c r="G4" s="3486">
        <v>70</v>
      </c>
      <c r="H4" s="3486" t="s">
        <v>161</v>
      </c>
      <c r="I4" s="3486" t="s">
        <v>255</v>
      </c>
      <c r="K4" s="3486" t="s">
        <v>256</v>
      </c>
      <c r="L4" s="3486" t="s">
        <v>256</v>
      </c>
      <c r="M4" s="3486" t="s">
        <v>256</v>
      </c>
      <c r="N4" s="3486" t="s">
        <v>256</v>
      </c>
      <c r="O4" s="3486" t="s">
        <v>256</v>
      </c>
      <c r="P4" s="3486" t="s">
        <v>256</v>
      </c>
      <c r="Q4" s="3486" t="s">
        <v>256</v>
      </c>
      <c r="R4" s="3486" t="s">
        <v>257</v>
      </c>
      <c r="S4" s="3486" t="s">
        <v>256</v>
      </c>
      <c r="T4" s="3486" t="s">
        <v>258</v>
      </c>
      <c r="U4" s="3486" t="s">
        <v>256</v>
      </c>
      <c r="W4" s="3486" t="s">
        <v>256</v>
      </c>
    </row>
    <row r="5" spans="1:23">
      <c r="A5" s="3491" t="s">
        <v>259</v>
      </c>
      <c r="B5" s="3491" t="s">
        <v>260</v>
      </c>
      <c r="C5" s="3492" t="s">
        <v>261</v>
      </c>
      <c r="F5" s="3486" t="s">
        <v>162</v>
      </c>
      <c r="H5" s="3486" t="s">
        <v>262</v>
      </c>
      <c r="I5" s="3486" t="s">
        <v>263</v>
      </c>
      <c r="K5" s="3486" t="s">
        <v>264</v>
      </c>
      <c r="L5" s="3486" t="s">
        <v>264</v>
      </c>
      <c r="M5" s="3486" t="s">
        <v>264</v>
      </c>
      <c r="N5" s="3486" t="s">
        <v>264</v>
      </c>
      <c r="O5" s="3486" t="s">
        <v>264</v>
      </c>
      <c r="P5" s="3486" t="s">
        <v>264</v>
      </c>
      <c r="Q5" s="3486" t="s">
        <v>264</v>
      </c>
      <c r="R5" s="3486" t="s">
        <v>265</v>
      </c>
      <c r="S5" s="3486" t="s">
        <v>264</v>
      </c>
      <c r="T5" s="3486" t="s">
        <v>266</v>
      </c>
      <c r="U5" s="3486" t="s">
        <v>264</v>
      </c>
      <c r="W5" s="3486" t="s">
        <v>264</v>
      </c>
    </row>
    <row r="6" spans="1:23">
      <c r="A6" s="3491" t="s">
        <v>267</v>
      </c>
      <c r="B6" s="3493" t="s">
        <v>268</v>
      </c>
      <c r="C6" s="3495" t="s">
        <v>269</v>
      </c>
      <c r="F6" s="3486" t="s">
        <v>262</v>
      </c>
      <c r="H6" s="3486" t="s">
        <v>164</v>
      </c>
      <c r="I6" s="3486" t="s">
        <v>270</v>
      </c>
      <c r="K6" s="3486" t="s">
        <v>271</v>
      </c>
      <c r="L6" s="3486" t="s">
        <v>271</v>
      </c>
      <c r="M6" s="3486" t="s">
        <v>271</v>
      </c>
      <c r="N6" s="3486" t="s">
        <v>271</v>
      </c>
      <c r="O6" s="3486" t="s">
        <v>271</v>
      </c>
      <c r="P6" s="3486" t="s">
        <v>271</v>
      </c>
      <c r="Q6" s="3486" t="s">
        <v>271</v>
      </c>
      <c r="R6" s="3486" t="s">
        <v>272</v>
      </c>
      <c r="S6" s="3486" t="s">
        <v>271</v>
      </c>
      <c r="T6" s="3486"/>
      <c r="U6" s="3486" t="s">
        <v>271</v>
      </c>
      <c r="W6" s="3486" t="s">
        <v>271</v>
      </c>
    </row>
    <row r="7" spans="1:9">
      <c r="A7" s="3491" t="s">
        <v>273</v>
      </c>
      <c r="B7" s="3493" t="s">
        <v>274</v>
      </c>
      <c r="C7" s="3492" t="s">
        <v>275</v>
      </c>
      <c r="F7" s="3486" t="s">
        <v>276</v>
      </c>
      <c r="H7" s="3486" t="s">
        <v>162</v>
      </c>
      <c r="I7" s="3486" t="s">
        <v>277</v>
      </c>
    </row>
    <row r="8" spans="1:9">
      <c r="A8" s="3491" t="s">
        <v>278</v>
      </c>
      <c r="B8" s="3491" t="s">
        <v>279</v>
      </c>
      <c r="C8" s="3492" t="s">
        <v>280</v>
      </c>
      <c r="F8" s="3486" t="s">
        <v>281</v>
      </c>
      <c r="H8" s="3486"/>
      <c r="I8" s="3486" t="s">
        <v>282</v>
      </c>
    </row>
    <row r="9" spans="1:8">
      <c r="A9" s="3491" t="s">
        <v>283</v>
      </c>
      <c r="B9" s="3491" t="s">
        <v>284</v>
      </c>
      <c r="C9" s="3492" t="s">
        <v>285</v>
      </c>
      <c r="F9" s="3486" t="s">
        <v>164</v>
      </c>
      <c r="H9" s="3486"/>
    </row>
    <row r="10" spans="1:6">
      <c r="A10" s="3491" t="s">
        <v>286</v>
      </c>
      <c r="B10" s="3491" t="s">
        <v>287</v>
      </c>
      <c r="C10" s="3492" t="s">
        <v>288</v>
      </c>
      <c r="F10" s="3486" t="s">
        <v>124</v>
      </c>
    </row>
    <row r="11" spans="1:3">
      <c r="A11" s="3491" t="s">
        <v>289</v>
      </c>
      <c r="B11" s="3491" t="s">
        <v>290</v>
      </c>
      <c r="C11" s="3492" t="s">
        <v>291</v>
      </c>
    </row>
    <row r="12" spans="1:3">
      <c r="A12" s="3491" t="s">
        <v>292</v>
      </c>
      <c r="B12" s="3491" t="s">
        <v>293</v>
      </c>
      <c r="C12" s="3492" t="s">
        <v>294</v>
      </c>
    </row>
    <row r="13" spans="1:3">
      <c r="A13" s="3491" t="s">
        <v>295</v>
      </c>
      <c r="B13" s="3491" t="s">
        <v>296</v>
      </c>
      <c r="C13" s="3492" t="s">
        <v>297</v>
      </c>
    </row>
    <row r="14" spans="1:3">
      <c r="A14" s="3491" t="s">
        <v>298</v>
      </c>
      <c r="B14" s="3491" t="s">
        <v>299</v>
      </c>
      <c r="C14" s="3486" t="s">
        <v>124</v>
      </c>
    </row>
    <row r="15" spans="1:3">
      <c r="A15" s="3491" t="s">
        <v>300</v>
      </c>
      <c r="B15" s="3491" t="s">
        <v>301</v>
      </c>
      <c r="C15" s="3492"/>
    </row>
    <row r="16" spans="1:3">
      <c r="A16" s="3491" t="s">
        <v>302</v>
      </c>
      <c r="B16" s="3491" t="s">
        <v>303</v>
      </c>
      <c r="C16" s="3492"/>
    </row>
    <row r="17" spans="1:3">
      <c r="A17" s="3491" t="s">
        <v>304</v>
      </c>
      <c r="B17" s="3491" t="s">
        <v>305</v>
      </c>
      <c r="C17" s="3492"/>
    </row>
    <row r="18" spans="1:3">
      <c r="A18" s="3491" t="s">
        <v>306</v>
      </c>
      <c r="B18" s="3491" t="s">
        <v>307</v>
      </c>
      <c r="C18" s="3492"/>
    </row>
    <row r="19" spans="1:3">
      <c r="A19" s="3491" t="s">
        <v>308</v>
      </c>
      <c r="B19" s="3491" t="s">
        <v>309</v>
      </c>
      <c r="C19" s="3492"/>
    </row>
    <row r="20" spans="1:3">
      <c r="A20" s="3491" t="s">
        <v>310</v>
      </c>
      <c r="B20" s="3491" t="s">
        <v>311</v>
      </c>
      <c r="C20" s="3492"/>
    </row>
    <row r="21" spans="1:3">
      <c r="A21" s="3491" t="s">
        <v>262</v>
      </c>
      <c r="B21" s="3491" t="s">
        <v>312</v>
      </c>
      <c r="C21" s="3492"/>
    </row>
    <row r="22" spans="1:3">
      <c r="A22" s="3491" t="s">
        <v>313</v>
      </c>
      <c r="B22" s="3491" t="s">
        <v>312</v>
      </c>
      <c r="C22" s="3492"/>
    </row>
    <row r="23" spans="1:3">
      <c r="A23" s="3491" t="s">
        <v>314</v>
      </c>
      <c r="B23" s="3491" t="s">
        <v>312</v>
      </c>
      <c r="C23" s="3492"/>
    </row>
    <row r="24" spans="1:3">
      <c r="A24" s="3491" t="s">
        <v>315</v>
      </c>
      <c r="B24" s="3491" t="s">
        <v>312</v>
      </c>
      <c r="C24" s="3492"/>
    </row>
    <row r="25" spans="1:3">
      <c r="A25" s="3491" t="s">
        <v>316</v>
      </c>
      <c r="B25" s="3491" t="s">
        <v>312</v>
      </c>
      <c r="C25" s="3492"/>
    </row>
    <row r="26" spans="1:3">
      <c r="A26" s="3491" t="s">
        <v>317</v>
      </c>
      <c r="B26" s="3491" t="s">
        <v>312</v>
      </c>
      <c r="C26" s="3492"/>
    </row>
    <row r="27" spans="1:3">
      <c r="A27" s="3491" t="s">
        <v>312</v>
      </c>
      <c r="B27" s="3491" t="s">
        <v>312</v>
      </c>
      <c r="C27" s="3492"/>
    </row>
    <row r="28" spans="1:3">
      <c r="A28" s="3491" t="s">
        <v>312</v>
      </c>
      <c r="B28" s="3491" t="s">
        <v>312</v>
      </c>
      <c r="C28" s="3492"/>
    </row>
    <row r="29" spans="1:3">
      <c r="A29" s="3491" t="s">
        <v>312</v>
      </c>
      <c r="B29" s="3491" t="s">
        <v>312</v>
      </c>
      <c r="C29" s="3492"/>
    </row>
    <row r="30" spans="1:3">
      <c r="A30" s="3491" t="s">
        <v>312</v>
      </c>
      <c r="B30" s="3491" t="s">
        <v>312</v>
      </c>
      <c r="C30" s="3492"/>
    </row>
    <row r="31" spans="1:3">
      <c r="A31" s="3491" t="s">
        <v>312</v>
      </c>
      <c r="B31" s="3491" t="s">
        <v>312</v>
      </c>
      <c r="C31" s="3492"/>
    </row>
    <row r="32" spans="1:3">
      <c r="A32" s="3491" t="s">
        <v>312</v>
      </c>
      <c r="B32" s="3491" t="s">
        <v>312</v>
      </c>
      <c r="C32" s="3492"/>
    </row>
    <row r="33" spans="1:3">
      <c r="A33" s="3491" t="s">
        <v>312</v>
      </c>
      <c r="B33" s="3491" t="s">
        <v>312</v>
      </c>
      <c r="C33" s="3492"/>
    </row>
    <row r="34" spans="1:3">
      <c r="A34" s="3491" t="s">
        <v>312</v>
      </c>
      <c r="B34" s="3491" t="s">
        <v>312</v>
      </c>
      <c r="C34" s="3492"/>
    </row>
    <row r="35" spans="1:3">
      <c r="A35" s="3491" t="s">
        <v>312</v>
      </c>
      <c r="B35" s="3491" t="s">
        <v>312</v>
      </c>
      <c r="C35" s="3492"/>
    </row>
    <row r="36" spans="1:3">
      <c r="A36" s="3491" t="s">
        <v>312</v>
      </c>
      <c r="B36" s="3491" t="s">
        <v>312</v>
      </c>
      <c r="C36" s="3492"/>
    </row>
    <row r="37" spans="1:3">
      <c r="A37" s="3491" t="s">
        <v>312</v>
      </c>
      <c r="B37" s="3491" t="s">
        <v>312</v>
      </c>
      <c r="C37" s="3492"/>
    </row>
    <row r="38" spans="1:3">
      <c r="A38" s="3491" t="s">
        <v>312</v>
      </c>
      <c r="B38" s="3491" t="s">
        <v>312</v>
      </c>
      <c r="C38" s="3492"/>
    </row>
    <row r="39" spans="1:3">
      <c r="A39" s="3491" t="s">
        <v>312</v>
      </c>
      <c r="B39" s="3491" t="s">
        <v>312</v>
      </c>
      <c r="C39" s="3492"/>
    </row>
    <row r="40" spans="1:3">
      <c r="A40" s="3491" t="s">
        <v>312</v>
      </c>
      <c r="B40" s="3491" t="s">
        <v>312</v>
      </c>
      <c r="C40" s="3492"/>
    </row>
    <row r="41" spans="1:3">
      <c r="A41" s="3491" t="s">
        <v>312</v>
      </c>
      <c r="B41" s="3491" t="s">
        <v>312</v>
      </c>
      <c r="C41" s="3492"/>
    </row>
    <row r="42" spans="1:3">
      <c r="A42" s="3491" t="s">
        <v>312</v>
      </c>
      <c r="B42" s="3491" t="s">
        <v>312</v>
      </c>
      <c r="C42" s="3492"/>
    </row>
    <row r="43" spans="1:3">
      <c r="A43" s="3491" t="s">
        <v>312</v>
      </c>
      <c r="B43" s="3491" t="s">
        <v>312</v>
      </c>
      <c r="C43" s="3492"/>
    </row>
    <row r="44" spans="1:3">
      <c r="A44" s="3491" t="s">
        <v>312</v>
      </c>
      <c r="B44" s="3491" t="s">
        <v>312</v>
      </c>
      <c r="C44" s="3492"/>
    </row>
    <row r="45" spans="1:3">
      <c r="A45" s="3491" t="s">
        <v>312</v>
      </c>
      <c r="B45" s="3491" t="s">
        <v>312</v>
      </c>
      <c r="C45" s="3492"/>
    </row>
    <row r="46" spans="1:3">
      <c r="A46" s="3491" t="s">
        <v>312</v>
      </c>
      <c r="B46" s="3491" t="s">
        <v>312</v>
      </c>
      <c r="C46" s="3492"/>
    </row>
    <row r="47" spans="1:3">
      <c r="A47" s="3491" t="s">
        <v>312</v>
      </c>
      <c r="B47" s="3491" t="s">
        <v>312</v>
      </c>
      <c r="C47" s="3492"/>
    </row>
    <row r="48" spans="1:3">
      <c r="A48" s="3491" t="s">
        <v>312</v>
      </c>
      <c r="B48" s="3491" t="s">
        <v>312</v>
      </c>
      <c r="C48" s="3492"/>
    </row>
    <row r="49" spans="1:3">
      <c r="A49" s="3491" t="s">
        <v>312</v>
      </c>
      <c r="B49" s="3491" t="s">
        <v>312</v>
      </c>
      <c r="C49" s="3492"/>
    </row>
    <row r="50" spans="1:3">
      <c r="A50" s="3491" t="s">
        <v>312</v>
      </c>
      <c r="B50" s="3491" t="s">
        <v>312</v>
      </c>
      <c r="C50" s="3492"/>
    </row>
    <row r="51" spans="1:4">
      <c r="A51" s="3496" t="s">
        <v>318</v>
      </c>
      <c r="B51" s="34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97" t="s">
        <v>319</v>
      </c>
    </row>
    <row r="52" spans="1:4">
      <c r="A52" s="3496" t="s">
        <v>320</v>
      </c>
      <c r="B52" s="3496" t="s">
        <v>321</v>
      </c>
      <c r="C52" s="3485" t="s">
        <v>322</v>
      </c>
      <c r="D52" s="3485" t="s">
        <v>323</v>
      </c>
    </row>
    <row r="53" spans="1:3">
      <c r="A53" s="3489" t="s">
        <v>324</v>
      </c>
      <c r="B53" s="3497" t="s">
        <v>325</v>
      </c>
      <c r="C53" s="34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89"/>
      <c r="B54" s="3497" t="s">
        <v>326</v>
      </c>
      <c r="C54" s="3485" t="s">
        <v>327</v>
      </c>
    </row>
    <row r="55" spans="1:3">
      <c r="A55" s="3489"/>
      <c r="B55" s="3497" t="s">
        <v>328</v>
      </c>
      <c r="C55" s="3485" t="s">
        <v>329</v>
      </c>
    </row>
    <row r="56" spans="1:3">
      <c r="A56" s="3489"/>
      <c r="B56" s="3497" t="s">
        <v>330</v>
      </c>
      <c r="C56" s="3485" t="s">
        <v>331</v>
      </c>
    </row>
    <row r="57" spans="1:3">
      <c r="A57" s="3489"/>
      <c r="B57" s="3497" t="s">
        <v>332</v>
      </c>
      <c r="C57" s="3485" t="s">
        <v>333</v>
      </c>
    </row>
    <row r="58" spans="1:2">
      <c r="A58" s="3498"/>
      <c r="B58" s="3485"/>
    </row>
    <row r="59" spans="1:2">
      <c r="A59" s="3498"/>
      <c r="B59" s="3485"/>
    </row>
    <row r="60" spans="1:2">
      <c r="A60" s="3498"/>
      <c r="B60" s="3485"/>
    </row>
    <row r="61" spans="1:2">
      <c r="A61" s="3498"/>
      <c r="B61" s="3485"/>
    </row>
    <row r="62" spans="1:2">
      <c r="A62" s="3498"/>
      <c r="B62" s="3485"/>
    </row>
    <row r="63" spans="1:2">
      <c r="A63" s="3498"/>
      <c r="B63" s="3485"/>
    </row>
    <row r="64" spans="1:2">
      <c r="A64" s="3498"/>
      <c r="B64" s="3485"/>
    </row>
    <row r="65" spans="1:2">
      <c r="A65" s="3498"/>
      <c r="B65" s="3485"/>
    </row>
    <row r="66" spans="1:2">
      <c r="A66" s="3498"/>
      <c r="B66" s="3485"/>
    </row>
    <row r="67" spans="1:2">
      <c r="A67" s="3498"/>
      <c r="B67" s="3485"/>
    </row>
    <row r="68" spans="1:2">
      <c r="A68" s="3498"/>
      <c r="B68" s="3485"/>
    </row>
    <row r="69" spans="1:2">
      <c r="A69" s="3498"/>
      <c r="B69" s="3485"/>
    </row>
    <row r="70" spans="1:2">
      <c r="A70" s="3498"/>
      <c r="B70" s="3485"/>
    </row>
    <row r="71" spans="1:2">
      <c r="A71" s="3498"/>
      <c r="B71" s="3485"/>
    </row>
    <row r="72" spans="1:2">
      <c r="A72" s="3498"/>
      <c r="B72" s="3485"/>
    </row>
    <row r="73" spans="1:2">
      <c r="A73" s="3498"/>
      <c r="B73" s="3485"/>
    </row>
    <row r="74" spans="1:2">
      <c r="A74" s="3498"/>
      <c r="B74" s="3485"/>
    </row>
    <row r="75" spans="1:2">
      <c r="A75" s="3498"/>
      <c r="B75" s="3485"/>
    </row>
    <row r="76" spans="1:2">
      <c r="A76" s="3498"/>
      <c r="B76" s="3485"/>
    </row>
    <row r="77" spans="1:2">
      <c r="A77" s="3498"/>
      <c r="B77" s="3485"/>
    </row>
    <row r="78" spans="1:2">
      <c r="A78" s="3498"/>
      <c r="B78" s="3485"/>
    </row>
    <row r="79" spans="1:2">
      <c r="A79" s="3498"/>
      <c r="B79" s="3485"/>
    </row>
    <row r="80" spans="1:2">
      <c r="A80" s="3498"/>
      <c r="B80" s="3485"/>
    </row>
    <row r="81" spans="1:2">
      <c r="A81" s="3498"/>
      <c r="B81" s="3485"/>
    </row>
    <row r="82" spans="1:2">
      <c r="A82" s="3498"/>
      <c r="B82" s="3485"/>
    </row>
    <row r="83" spans="1:2">
      <c r="A83" s="3498"/>
      <c r="B83" s="3485"/>
    </row>
    <row r="84" spans="1:2">
      <c r="A84" s="3498"/>
      <c r="B84" s="3485"/>
    </row>
    <row r="85" spans="1:2">
      <c r="A85" s="3498"/>
      <c r="B85" s="3485"/>
    </row>
    <row r="86" spans="1:2">
      <c r="A86" s="3498"/>
      <c r="B86" s="3485"/>
    </row>
    <row r="87" spans="1:2">
      <c r="A87" s="3498"/>
      <c r="B87" s="3485"/>
    </row>
    <row r="88" spans="1:2">
      <c r="A88" s="3498"/>
      <c r="B88" s="3485"/>
    </row>
    <row r="89" spans="1:2">
      <c r="A89" s="3498"/>
      <c r="B89" s="3485"/>
    </row>
    <row r="90" spans="1:2">
      <c r="A90" s="3498"/>
      <c r="B90" s="3485"/>
    </row>
    <row r="91" spans="1:2">
      <c r="A91" s="3498"/>
      <c r="B91" s="3485"/>
    </row>
    <row r="92" spans="1:2">
      <c r="A92" s="3498"/>
      <c r="B92" s="3485"/>
    </row>
    <row r="93" spans="1:2">
      <c r="A93" s="3498"/>
      <c r="B93" s="3485"/>
    </row>
    <row r="94" spans="1:2">
      <c r="A94" s="3498"/>
      <c r="B94" s="3485"/>
    </row>
    <row r="95" spans="1:2">
      <c r="A95" s="3498"/>
      <c r="B95" s="3485"/>
    </row>
    <row r="96" spans="1:2">
      <c r="A96" s="3498"/>
      <c r="B96" s="3485"/>
    </row>
    <row r="97" spans="1:2">
      <c r="A97" s="3498"/>
      <c r="B97" s="3485"/>
    </row>
    <row r="98" spans="1:2">
      <c r="A98" s="3498"/>
      <c r="B98" s="3485"/>
    </row>
    <row r="99" spans="1:2">
      <c r="A99" s="3498"/>
      <c r="B99" s="3485"/>
    </row>
    <row r="100" spans="1:2">
      <c r="A100" s="3498"/>
      <c r="B100" s="3485"/>
    </row>
    <row r="101" spans="1:2">
      <c r="A101" s="3498"/>
      <c r="B101" s="3485"/>
    </row>
    <row r="102" spans="1:2">
      <c r="A102" s="3498"/>
      <c r="B102" s="3485"/>
    </row>
    <row r="103" spans="1:2">
      <c r="A103" s="3498"/>
      <c r="B103" s="3485"/>
    </row>
    <row r="104" spans="1:2">
      <c r="A104" s="3498"/>
      <c r="B104" s="3485"/>
    </row>
    <row r="105" spans="1:2">
      <c r="A105" s="3498"/>
      <c r="B105" s="3485"/>
    </row>
    <row r="106" spans="1:2">
      <c r="A106" s="3498"/>
      <c r="B106" s="3485"/>
    </row>
    <row r="107" spans="1:2">
      <c r="A107" s="3498"/>
      <c r="B107" s="3485"/>
    </row>
    <row r="108" spans="1:2">
      <c r="A108" s="3498"/>
      <c r="B108" s="3485"/>
    </row>
    <row r="109" spans="1:2">
      <c r="A109" s="3498"/>
      <c r="B109" s="3485"/>
    </row>
    <row r="110" spans="1:2">
      <c r="A110" s="3498"/>
      <c r="B110" s="3485"/>
    </row>
    <row r="111" spans="1:2">
      <c r="A111" s="3498"/>
      <c r="B111" s="3485"/>
    </row>
    <row r="112" spans="1:2">
      <c r="A112" s="3498"/>
      <c r="B112" s="3485"/>
    </row>
    <row r="113" spans="1:2">
      <c r="A113" s="3498"/>
      <c r="B113" s="3485"/>
    </row>
    <row r="114" spans="1:2">
      <c r="A114" s="3498"/>
      <c r="B114" s="3485"/>
    </row>
    <row r="115" spans="1:2">
      <c r="A115" s="3498"/>
      <c r="B115" s="3485"/>
    </row>
    <row r="116" spans="1:2">
      <c r="A116" s="3498"/>
      <c r="B116" s="3485"/>
    </row>
    <row r="117" spans="1:2">
      <c r="A117" s="3498"/>
      <c r="B117" s="3485"/>
    </row>
    <row r="118" spans="1:2">
      <c r="A118" s="3498"/>
      <c r="B118" s="3485"/>
    </row>
    <row r="119" spans="1:2">
      <c r="A119" s="3498"/>
      <c r="B119" s="3485"/>
    </row>
    <row r="120" spans="1:2">
      <c r="A120" s="3498"/>
      <c r="B120" s="3485"/>
    </row>
    <row r="121" spans="1:2">
      <c r="A121" s="3498"/>
      <c r="B121" s="3485"/>
    </row>
    <row r="122" spans="1:2">
      <c r="A122" s="3498"/>
      <c r="B122" s="3485"/>
    </row>
    <row r="123" spans="1:2">
      <c r="A123" s="3498"/>
      <c r="B123" s="3485"/>
    </row>
    <row r="124" spans="1:2">
      <c r="A124" s="3498"/>
      <c r="B124" s="3485"/>
    </row>
    <row r="125" spans="1:2">
      <c r="A125" s="3498"/>
      <c r="B125" s="3485"/>
    </row>
    <row r="126" spans="1:2">
      <c r="A126" s="3498"/>
      <c r="B126" s="3485"/>
    </row>
    <row r="127" spans="1:2">
      <c r="A127" s="3498"/>
      <c r="B127" s="34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833333333333" style="2933" customWidth="1"/>
    <col min="2" max="2" width="10" style="2933" customWidth="1"/>
    <col min="3" max="3" width="11.4416666666667" style="2933" customWidth="1"/>
    <col min="4" max="4" width="10" style="2933" customWidth="1"/>
    <col min="5" max="5" width="12.6666666666667" style="2933" customWidth="1"/>
    <col min="6" max="6" width="10" style="2933" customWidth="1"/>
    <col min="7" max="7" width="10.775" style="2933" customWidth="1"/>
    <col min="8" max="8" width="10" style="2933" customWidth="1"/>
    <col min="9" max="9" width="11.1083333333333" style="3230" customWidth="1"/>
    <col min="10" max="10" width="10" style="3130" customWidth="1"/>
    <col min="11" max="11" width="10" style="3328" customWidth="1"/>
    <col min="12" max="13" width="10" style="3329" customWidth="1"/>
    <col min="14" max="14" width="10" style="3130" customWidth="1"/>
    <col min="15" max="15" width="10" style="2477" customWidth="1"/>
    <col min="16" max="17" width="10" style="3130"/>
    <col min="18" max="18" width="10" style="3130" customWidth="1"/>
    <col min="19" max="30" width="10" style="3130"/>
    <col min="31" max="16384" width="10" style="2933"/>
  </cols>
  <sheetData>
    <row r="1" ht="13.5" spans="1:28">
      <c r="A1" s="3330" t="s">
        <v>334</v>
      </c>
      <c r="B1" s="3331" t="str">
        <f>IF(B10="北京市","北京市",C10)&amp;F10&amp;IF('结果表--商业'!G1="在建","出让国有建设用地使用权及在建建筑物",IF('结果表--商业'!G1="土地","出让国有建设用地使用权",))&amp;B9&amp;"预评估"</f>
        <v>北京市房地产市场价值预评估</v>
      </c>
      <c r="C1" s="3332"/>
      <c r="D1" s="3332"/>
      <c r="E1" s="3332"/>
      <c r="F1" s="3332"/>
      <c r="G1" s="3332"/>
      <c r="H1" s="3332"/>
      <c r="I1" s="3450"/>
      <c r="J1" s="2883"/>
      <c r="K1" s="3451"/>
      <c r="L1" s="3452"/>
      <c r="M1" s="3452"/>
      <c r="N1" s="3376"/>
      <c r="O1" s="3238"/>
      <c r="P1" s="3376"/>
      <c r="Q1" s="3376"/>
      <c r="R1" s="3376"/>
      <c r="S1" s="2934" t="str">
        <f>IF(B10="北京市","北京市",C10)&amp;F10&amp;IF('结果表--商业'!G1="在建","出让国有建设用地使用权及在建建筑物房地产抵押价值",IF('结果表--商业'!G1="土地","出让国有建设用地使用权抵押价值",B9))</f>
        <v>北京市房地产市场价值</v>
      </c>
      <c r="T1" s="2933"/>
      <c r="U1" s="2933"/>
      <c r="V1" s="2933"/>
      <c r="W1" s="2933"/>
      <c r="X1" s="2933"/>
      <c r="Y1" s="2933"/>
      <c r="Z1" s="2933"/>
      <c r="AA1" s="2933"/>
      <c r="AB1" s="2933"/>
    </row>
    <row r="2" spans="1:28">
      <c r="A2" s="3333" t="s">
        <v>335</v>
      </c>
      <c r="B2" s="3334"/>
      <c r="C2" s="3335"/>
      <c r="D2" s="3336"/>
      <c r="E2" s="3337"/>
      <c r="F2" s="3337"/>
      <c r="G2" s="3338"/>
      <c r="H2" s="3338"/>
      <c r="I2" s="3338"/>
      <c r="J2" s="2883"/>
      <c r="K2" s="3451"/>
      <c r="L2" s="3452"/>
      <c r="M2" s="3452"/>
      <c r="N2" s="3376"/>
      <c r="O2" s="3238"/>
      <c r="P2" s="3376"/>
      <c r="Q2" s="3376"/>
      <c r="R2" s="3376"/>
      <c r="S2" s="2934" t="str">
        <f>IF(B10="北京市","北京市",C10)&amp;F10&amp;IF('结果表--商业'!G1="在建","出让国有建设用地使用权及在建建筑物房地产",IF('结果表--商业'!G1="土地","出让国有建设用地使用权","房地产"))</f>
        <v>北京市房地产</v>
      </c>
      <c r="T2" s="2933"/>
      <c r="U2" s="2933"/>
      <c r="V2" s="2933"/>
      <c r="W2" s="2933"/>
      <c r="X2" s="2933"/>
      <c r="Y2" s="2933"/>
      <c r="Z2" s="2933"/>
      <c r="AA2" s="2933"/>
      <c r="AB2" s="2933"/>
    </row>
    <row r="3" spans="1:28">
      <c r="A3" s="1558" t="s">
        <v>336</v>
      </c>
      <c r="B3" s="3339">
        <v>44461</v>
      </c>
      <c r="C3" s="3340" t="s">
        <v>337</v>
      </c>
      <c r="D3" s="3339">
        <f>B3</f>
        <v>44461</v>
      </c>
      <c r="E3" s="3338"/>
      <c r="F3" s="3338"/>
      <c r="G3" s="3338"/>
      <c r="H3" s="3338"/>
      <c r="I3" s="3338"/>
      <c r="J3" s="2883"/>
      <c r="K3" s="3451"/>
      <c r="L3" s="3452"/>
      <c r="M3" s="3452"/>
      <c r="N3" s="3376"/>
      <c r="O3" s="3238"/>
      <c r="P3" s="3376"/>
      <c r="Q3" s="3376"/>
      <c r="R3" s="3376"/>
      <c r="S3" s="2934"/>
      <c r="T3" s="2933"/>
      <c r="U3" s="2933"/>
      <c r="V3" s="2933"/>
      <c r="W3" s="2933"/>
      <c r="X3" s="2933"/>
      <c r="Y3" s="2933"/>
      <c r="Z3" s="2933"/>
      <c r="AA3" s="2933"/>
      <c r="AB3" s="2933"/>
    </row>
    <row r="4" ht="13.5" spans="1:28">
      <c r="A4" s="1583" t="s">
        <v>338</v>
      </c>
      <c r="B4" s="3341" t="s">
        <v>189</v>
      </c>
      <c r="C4" s="3342">
        <f ca="1">SUMIF(注册房地产估价师,B4,估价师及机构信息!B3:B24)</f>
        <v>1120060040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17"/>
      <c r="K4" s="3453" t="str">
        <f ca="1">CONCATENATE(B4,"（注册号：",C4,")、",D4,"（注册号：",E4,")")</f>
        <v>陈颖（注册号：1120060040)、（注册号：0)</v>
      </c>
      <c r="L4" s="3452"/>
      <c r="M4" s="3452"/>
      <c r="N4" s="3376"/>
      <c r="O4" s="3238"/>
      <c r="P4" s="3376"/>
      <c r="Q4" s="3376"/>
      <c r="R4" s="3376"/>
      <c r="S4" s="2934"/>
      <c r="T4" s="2933"/>
      <c r="U4" s="2933"/>
      <c r="V4" s="2933"/>
      <c r="W4" s="2933"/>
      <c r="X4" s="2933"/>
      <c r="Y4" s="2933"/>
      <c r="Z4" s="2933"/>
      <c r="AA4" s="2933"/>
      <c r="AB4" s="2933"/>
    </row>
    <row r="5" ht="13.5" spans="1:28">
      <c r="A5" s="3344" t="s">
        <v>339</v>
      </c>
      <c r="B5" s="3345"/>
      <c r="C5" s="3346"/>
      <c r="D5" s="3347"/>
      <c r="E5" s="3038"/>
      <c r="F5" s="3038"/>
      <c r="G5" s="3038"/>
      <c r="H5" s="3038"/>
      <c r="I5" s="3038"/>
      <c r="J5" s="2917"/>
      <c r="K5" s="3453" t="str">
        <f ca="1">IF(F4="——","",IF(H4="——",F4&amp;"（注册号："&amp;G4&amp;")",CONCATENATE(F4,"（注册号：",G4,")、",H4,"（注册号：",I4,")")))</f>
        <v>（注册号：0)、（注册号：0)</v>
      </c>
      <c r="L5" s="3452"/>
      <c r="M5" s="3452"/>
      <c r="N5" s="3376"/>
      <c r="O5" s="3238"/>
      <c r="P5" s="3376"/>
      <c r="Q5" s="3376"/>
      <c r="R5" s="3376"/>
      <c r="S5" s="2933"/>
      <c r="T5" s="2933"/>
      <c r="U5" s="2933"/>
      <c r="V5" s="2933"/>
      <c r="W5" s="2933"/>
      <c r="X5" s="2933"/>
      <c r="Y5" s="2933"/>
      <c r="Z5" s="2933"/>
      <c r="AA5" s="2933"/>
      <c r="AB5" s="2933"/>
    </row>
    <row r="6" spans="1:18">
      <c r="A6" s="3348" t="s">
        <v>340</v>
      </c>
      <c r="B6" s="3349"/>
      <c r="C6" s="3350"/>
      <c r="D6" s="3351"/>
      <c r="E6" s="3337"/>
      <c r="F6" s="3038"/>
      <c r="G6" s="3038"/>
      <c r="H6" s="3038"/>
      <c r="I6" s="3038"/>
      <c r="J6" s="2917"/>
      <c r="K6" s="3454" t="str">
        <f>IF(COUNTIF(B6,"*上海银行*"),"上海银行","")</f>
        <v/>
      </c>
      <c r="L6" s="3455"/>
      <c r="M6" s="3455"/>
      <c r="N6" s="2917"/>
      <c r="O6" s="3456"/>
      <c r="P6" s="2917"/>
      <c r="Q6" s="2917"/>
      <c r="R6" s="2917"/>
    </row>
    <row r="7" spans="1:18">
      <c r="A7" s="3348" t="s">
        <v>341</v>
      </c>
      <c r="B7" s="3352"/>
      <c r="C7" s="3350"/>
      <c r="D7" s="3351"/>
      <c r="E7" s="3337"/>
      <c r="F7" s="3038"/>
      <c r="G7" s="3038"/>
      <c r="H7" s="3038"/>
      <c r="I7" s="3038"/>
      <c r="J7" s="2917"/>
      <c r="K7" s="3457"/>
      <c r="L7" s="3455"/>
      <c r="M7" s="3455"/>
      <c r="N7" s="2917"/>
      <c r="O7" s="3456"/>
      <c r="P7" s="2917"/>
      <c r="Q7" s="2917"/>
      <c r="R7" s="2917"/>
    </row>
    <row r="8" spans="1:18">
      <c r="A8" s="3353" t="s">
        <v>342</v>
      </c>
      <c r="B8" s="3354" t="s">
        <v>343</v>
      </c>
      <c r="C8" s="3355"/>
      <c r="D8" s="3356" t="s">
        <v>344</v>
      </c>
      <c r="E8" s="3357"/>
      <c r="F8" s="3358"/>
      <c r="G8" s="3338"/>
      <c r="H8" s="3338"/>
      <c r="I8" s="3338"/>
      <c r="J8" s="2917"/>
      <c r="K8" s="3458"/>
      <c r="L8" s="3455"/>
      <c r="M8" s="3455"/>
      <c r="N8" s="2917"/>
      <c r="O8" s="3456"/>
      <c r="P8" s="2917"/>
      <c r="Q8" s="2917"/>
      <c r="R8" s="2917"/>
    </row>
    <row r="9" ht="13.5" spans="1:18">
      <c r="A9" s="3359" t="s">
        <v>345</v>
      </c>
      <c r="B9" s="3360" t="s">
        <v>346</v>
      </c>
      <c r="C9" s="3361"/>
      <c r="D9" s="3362"/>
      <c r="E9" s="3360"/>
      <c r="F9" s="3363"/>
      <c r="G9" s="3364"/>
      <c r="H9" s="3364"/>
      <c r="I9" s="3364"/>
      <c r="J9" s="2917"/>
      <c r="K9" s="3457"/>
      <c r="L9" s="3455"/>
      <c r="M9" s="3455"/>
      <c r="N9" s="2917"/>
      <c r="O9" s="3456"/>
      <c r="P9" s="2917"/>
      <c r="Q9" s="2917"/>
      <c r="R9" s="2917"/>
    </row>
    <row r="10" ht="13.5" spans="1:18">
      <c r="A10" s="3365" t="s">
        <v>347</v>
      </c>
      <c r="B10" s="3366" t="s">
        <v>348</v>
      </c>
      <c r="C10" s="3367"/>
      <c r="D10" s="3347"/>
      <c r="E10" s="3368" t="s">
        <v>349</v>
      </c>
      <c r="F10" s="3369"/>
      <c r="G10" s="3370"/>
      <c r="H10" s="3371"/>
      <c r="I10" s="3459"/>
      <c r="J10" s="2917"/>
      <c r="K10" s="3457"/>
      <c r="L10" s="3455"/>
      <c r="M10" s="3455"/>
      <c r="N10" s="2917"/>
      <c r="O10" s="3456"/>
      <c r="P10" s="2917"/>
      <c r="Q10" s="2917"/>
      <c r="R10" s="2917"/>
    </row>
    <row r="11" spans="1:18">
      <c r="A11" s="3372" t="s">
        <v>350</v>
      </c>
      <c r="B11" s="3373" t="s">
        <v>351</v>
      </c>
      <c r="C11" s="3374"/>
      <c r="D11" s="3375"/>
      <c r="E11" s="3376"/>
      <c r="F11" s="3376"/>
      <c r="G11" s="3376"/>
      <c r="H11" s="3376"/>
      <c r="I11" s="3376"/>
      <c r="J11" s="2917"/>
      <c r="K11" s="3457"/>
      <c r="L11" s="3455"/>
      <c r="M11" s="3455"/>
      <c r="N11" s="2917"/>
      <c r="O11" s="3456"/>
      <c r="P11" s="2917"/>
      <c r="Q11" s="2917"/>
      <c r="R11" s="2917"/>
    </row>
    <row r="12" spans="1:18">
      <c r="A12" s="3377" t="s">
        <v>352</v>
      </c>
      <c r="B12" s="3373" t="s">
        <v>353</v>
      </c>
      <c r="C12" s="1604" t="s">
        <v>354</v>
      </c>
      <c r="D12" s="3378" t="s">
        <v>355</v>
      </c>
      <c r="E12" s="3378" t="s">
        <v>356</v>
      </c>
      <c r="F12" s="3378" t="s">
        <v>357</v>
      </c>
      <c r="G12" s="3378" t="s">
        <v>358</v>
      </c>
      <c r="H12" s="3378" t="s">
        <v>359</v>
      </c>
      <c r="I12" s="3378" t="s">
        <v>360</v>
      </c>
      <c r="J12" s="2917"/>
      <c r="K12" s="3457"/>
      <c r="L12" s="3455"/>
      <c r="M12" s="3455"/>
      <c r="N12" s="2917"/>
      <c r="O12" s="3456"/>
      <c r="P12" s="2917"/>
      <c r="Q12" s="2917"/>
      <c r="R12" s="2917"/>
    </row>
    <row r="13" spans="1:18">
      <c r="A13" s="1588"/>
      <c r="B13" s="3379"/>
      <c r="C13" s="3380" t="s">
        <v>361</v>
      </c>
      <c r="D13" s="3381"/>
      <c r="E13" s="3381"/>
      <c r="F13" s="3381"/>
      <c r="G13" s="3381"/>
      <c r="H13" s="3381"/>
      <c r="I13" s="3381"/>
      <c r="J13" s="2917"/>
      <c r="K13" s="3457"/>
      <c r="L13" s="3455"/>
      <c r="M13" s="3455"/>
      <c r="N13" s="2917"/>
      <c r="O13" s="3456"/>
      <c r="P13" s="2917"/>
      <c r="Q13" s="2917"/>
      <c r="R13" s="2917"/>
    </row>
    <row r="14" spans="1:18">
      <c r="A14" s="1588"/>
      <c r="B14" s="3379"/>
      <c r="C14" s="3380" t="s">
        <v>362</v>
      </c>
      <c r="D14" s="3382"/>
      <c r="E14" s="3382">
        <v>40</v>
      </c>
      <c r="F14" s="3382"/>
      <c r="G14" s="3382"/>
      <c r="H14" s="3382">
        <v>50</v>
      </c>
      <c r="I14" s="3382"/>
      <c r="J14" s="2917"/>
      <c r="K14" s="3460"/>
      <c r="L14" s="3455"/>
      <c r="M14" s="3455"/>
      <c r="N14" s="2917"/>
      <c r="O14" s="3456"/>
      <c r="P14" s="2917"/>
      <c r="Q14" s="2917"/>
      <c r="R14" s="2917"/>
    </row>
    <row r="15" spans="1:18">
      <c r="A15" s="1596"/>
      <c r="B15" s="3383"/>
      <c r="C15" s="3384" t="s">
        <v>363</v>
      </c>
      <c r="D15" s="3385">
        <f>IF(B12="出让",IF(D13="","",ROUNDDOWN(MIN((D13-$D$3)/365,D14),2)),D14)</f>
        <v>0</v>
      </c>
      <c r="E15" s="3385">
        <f>IF(B12="出让",IF(E13="","",ROUNDDOWN(MIN((E13-$D$3)/365,E14),2)),E14)</f>
        <v>40</v>
      </c>
      <c r="F15" s="3385">
        <f>IF(B12="出让",IF(F13="","",ROUNDDOWN(MIN((F13-$D$3)/365,F14),2)),F14)</f>
        <v>0</v>
      </c>
      <c r="G15" s="3385">
        <f>IF(B12="出让",IF(G13="","",ROUNDDOWN(MIN((G13-$D$3)/365,G14),2)),G14)</f>
        <v>0</v>
      </c>
      <c r="H15" s="3385">
        <f>IF(B12="出让",IF(H13="","",ROUNDDOWN(MIN((H13-$D$3)/365,H14),2)),H14)</f>
        <v>50</v>
      </c>
      <c r="I15" s="3385">
        <f>IF(B12="出让",IF(I13="","",ROUNDDOWN(MIN((I13-$D$3)/365,I14),2)),I14)</f>
        <v>0</v>
      </c>
      <c r="J15" s="2917"/>
      <c r="K15" s="3461"/>
      <c r="L15" s="3462"/>
      <c r="M15" s="3462"/>
      <c r="N15" s="2918"/>
      <c r="O15" s="3462"/>
      <c r="P15" s="2918"/>
      <c r="Q15" s="2917"/>
      <c r="R15" s="2917"/>
    </row>
    <row r="16" spans="1:18">
      <c r="A16" s="3368" t="s">
        <v>364</v>
      </c>
      <c r="B16" s="3386"/>
      <c r="C16" s="3387"/>
      <c r="D16" s="3388"/>
      <c r="E16" s="3389" t="s">
        <v>365</v>
      </c>
      <c r="F16" s="3390"/>
      <c r="G16" s="3391"/>
      <c r="H16" s="3391"/>
      <c r="I16" s="3463"/>
      <c r="J16" s="2917"/>
      <c r="K16" s="3461"/>
      <c r="L16" s="3462"/>
      <c r="M16" s="3462"/>
      <c r="N16" s="2918"/>
      <c r="O16" s="3462"/>
      <c r="P16" s="2918"/>
      <c r="Q16" s="2917"/>
      <c r="R16" s="2917"/>
    </row>
    <row r="17" spans="1:22">
      <c r="A17" s="1572" t="s">
        <v>366</v>
      </c>
      <c r="B17" s="1558" t="s">
        <v>367</v>
      </c>
      <c r="C17" s="2534">
        <f>'数据-汇总表'!E3</f>
        <v>33735.37</v>
      </c>
      <c r="D17" s="1617" t="s">
        <v>368</v>
      </c>
      <c r="E17" s="3392" t="s">
        <v>369</v>
      </c>
      <c r="F17" s="3393"/>
      <c r="G17" s="3393"/>
      <c r="H17" s="3393"/>
      <c r="I17" s="3464"/>
      <c r="J17" s="2917"/>
      <c r="K17" s="3465"/>
      <c r="L17" s="3462"/>
      <c r="M17" s="3462"/>
      <c r="N17" s="2918"/>
      <c r="O17" s="3462"/>
      <c r="P17" s="2918"/>
      <c r="Q17" s="2917"/>
      <c r="R17" s="2917"/>
      <c r="S17" s="2917"/>
      <c r="T17" s="2917"/>
      <c r="U17" s="2917"/>
      <c r="V17" s="2917"/>
    </row>
    <row r="18" ht="24.75" spans="1:22">
      <c r="A18" s="3394" t="s">
        <v>370</v>
      </c>
      <c r="B18" s="1583" t="s">
        <v>371</v>
      </c>
      <c r="C18" s="3395">
        <f>'数据-汇总表'!D3</f>
        <v>0</v>
      </c>
      <c r="D18" s="1610" t="s">
        <v>368</v>
      </c>
      <c r="E18" s="3396" t="s">
        <v>372</v>
      </c>
      <c r="F18" s="3397"/>
      <c r="G18" s="3397"/>
      <c r="H18" s="3397"/>
      <c r="I18" s="3466"/>
      <c r="J18" s="2917"/>
      <c r="K18" s="3465"/>
      <c r="L18" s="3462"/>
      <c r="M18" s="3462"/>
      <c r="N18" s="2918"/>
      <c r="O18" s="3462"/>
      <c r="P18" s="2918"/>
      <c r="Q18" s="2917"/>
      <c r="R18" s="2917"/>
      <c r="S18" s="2917"/>
      <c r="T18" s="2917"/>
      <c r="U18" s="2917"/>
      <c r="V18" s="2917"/>
    </row>
    <row r="19" ht="37.5" spans="1:22">
      <c r="A19" s="1627" t="s">
        <v>373</v>
      </c>
      <c r="B19" s="1563" t="s">
        <v>374</v>
      </c>
      <c r="C19" s="3398"/>
      <c r="D19" s="3399" t="s">
        <v>375</v>
      </c>
      <c r="E19" s="3400"/>
      <c r="F19" s="3401" t="str">
        <f>IF(AND(C19="是",E19="否"),"是否提供他项权证或相关说明","")</f>
        <v/>
      </c>
      <c r="G19" s="3402"/>
      <c r="H19" s="3038"/>
      <c r="I19" s="3038"/>
      <c r="J19" s="2917"/>
      <c r="K19" s="3457"/>
      <c r="L19" s="3455"/>
      <c r="M19" s="3455"/>
      <c r="N19" s="2918"/>
      <c r="O19" s="3462"/>
      <c r="P19" s="2918"/>
      <c r="Q19" s="2917"/>
      <c r="R19" s="2917"/>
      <c r="S19" s="2917"/>
      <c r="T19" s="2917"/>
      <c r="U19" s="2917"/>
      <c r="V19" s="2917"/>
    </row>
    <row r="20" spans="1:28">
      <c r="A20" s="3403" t="s">
        <v>376</v>
      </c>
      <c r="B20" s="3404" t="s">
        <v>377</v>
      </c>
      <c r="C20" s="3405"/>
      <c r="D20" s="3406" t="s">
        <v>378</v>
      </c>
      <c r="E20" s="3407"/>
      <c r="F20" s="3408" t="s">
        <v>379</v>
      </c>
      <c r="G20" s="3038"/>
      <c r="H20" s="3038"/>
      <c r="I20" s="3038"/>
      <c r="J20" s="2917"/>
      <c r="K20" s="3249"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67"/>
      <c r="O20" s="3468"/>
      <c r="P20" s="3467"/>
      <c r="Q20" s="3376"/>
      <c r="R20" s="3376"/>
      <c r="S20" s="3376"/>
      <c r="T20" s="3376"/>
      <c r="U20" s="3376"/>
      <c r="V20" s="3376"/>
      <c r="W20" s="2933"/>
      <c r="X20" s="2933"/>
      <c r="Y20" s="2933"/>
      <c r="Z20" s="2933"/>
      <c r="AA20" s="2933"/>
      <c r="AB20" s="2933"/>
    </row>
    <row r="21" ht="24.75" spans="1:28">
      <c r="A21" s="3403"/>
      <c r="B21" s="3409" t="s">
        <v>381</v>
      </c>
      <c r="C21" s="3410" t="s">
        <v>382</v>
      </c>
      <c r="D21" s="3411" t="s">
        <v>383</v>
      </c>
      <c r="E21" s="3412" t="s">
        <v>382</v>
      </c>
      <c r="F21" s="3413"/>
      <c r="G21" s="3038"/>
      <c r="H21" s="3038"/>
      <c r="I21" s="3038"/>
      <c r="J21" s="2917"/>
      <c r="K21" s="3249"/>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67"/>
      <c r="O21" s="3468"/>
      <c r="P21" s="3467"/>
      <c r="Q21" s="3376"/>
      <c r="R21" s="3376"/>
      <c r="S21" s="3376"/>
      <c r="T21" s="3376"/>
      <c r="U21" s="3376"/>
      <c r="V21" s="3376"/>
      <c r="W21" s="2933"/>
      <c r="X21" s="2933"/>
      <c r="Y21" s="2933"/>
      <c r="Z21" s="2933"/>
      <c r="AA21" s="2933"/>
      <c r="AB21" s="2933"/>
    </row>
    <row r="22" ht="24.75" spans="1:28">
      <c r="A22" s="3403"/>
      <c r="B22" s="3414" t="s">
        <v>384</v>
      </c>
      <c r="C22" s="3410" t="s">
        <v>385</v>
      </c>
      <c r="D22" s="3338"/>
      <c r="E22" s="3338"/>
      <c r="F22" s="3338"/>
      <c r="G22" s="3038"/>
      <c r="H22" s="3038"/>
      <c r="I22" s="3038"/>
      <c r="J22" s="2917"/>
      <c r="K22" s="3249"/>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67"/>
      <c r="O22" s="3468"/>
      <c r="P22" s="3467"/>
      <c r="Q22" s="3376"/>
      <c r="R22" s="3376"/>
      <c r="S22" s="3376"/>
      <c r="T22" s="3376"/>
      <c r="U22" s="3376"/>
      <c r="V22" s="3376"/>
      <c r="W22" s="2933"/>
      <c r="X22" s="2933"/>
      <c r="Y22" s="2933"/>
      <c r="Z22" s="2933"/>
      <c r="AA22" s="2933"/>
      <c r="AB22" s="2933"/>
    </row>
    <row r="23" spans="1:22">
      <c r="A23" s="3415" t="s">
        <v>386</v>
      </c>
      <c r="B23" s="2908" t="s">
        <v>387</v>
      </c>
      <c r="C23" s="3416"/>
      <c r="D23" s="3417" t="s">
        <v>387</v>
      </c>
      <c r="E23" s="3418"/>
      <c r="F23" s="3338"/>
      <c r="G23" s="3038"/>
      <c r="H23" s="3038"/>
      <c r="I23" s="3038"/>
      <c r="J23" s="2917"/>
      <c r="K23" s="3469"/>
      <c r="L23" s="1727"/>
      <c r="M23" s="3455"/>
      <c r="N23" s="2918"/>
      <c r="O23" s="3462"/>
      <c r="P23" s="2918"/>
      <c r="Q23" s="2917"/>
      <c r="R23" s="2917"/>
      <c r="S23" s="2917"/>
      <c r="T23" s="2917"/>
      <c r="U23" s="2917"/>
      <c r="V23" s="2917"/>
    </row>
    <row r="24" spans="1:22">
      <c r="A24" s="3415"/>
      <c r="B24" s="2908" t="s">
        <v>388</v>
      </c>
      <c r="C24" s="3419"/>
      <c r="D24" s="3415" t="s">
        <v>388</v>
      </c>
      <c r="E24" s="3420"/>
      <c r="F24" s="3338"/>
      <c r="G24" s="3038"/>
      <c r="H24" s="3038"/>
      <c r="I24" s="3038"/>
      <c r="J24" s="2917"/>
      <c r="K24" s="3469"/>
      <c r="L24" s="1727"/>
      <c r="M24" s="3455"/>
      <c r="N24" s="2918"/>
      <c r="O24" s="3462"/>
      <c r="P24" s="2918"/>
      <c r="Q24" s="2917"/>
      <c r="R24" s="2917"/>
      <c r="S24" s="2917"/>
      <c r="T24" s="2917"/>
      <c r="U24" s="2917"/>
      <c r="V24" s="2917"/>
    </row>
    <row r="25" spans="1:22">
      <c r="A25" s="3415"/>
      <c r="B25" s="2908" t="s">
        <v>389</v>
      </c>
      <c r="C25" s="3419"/>
      <c r="D25" s="3415" t="s">
        <v>389</v>
      </c>
      <c r="E25" s="3420"/>
      <c r="F25" s="3338"/>
      <c r="G25" s="3038"/>
      <c r="H25" s="3038"/>
      <c r="I25" s="3038"/>
      <c r="J25" s="2917"/>
      <c r="K25" s="3457"/>
      <c r="L25" s="3455"/>
      <c r="M25" s="3455"/>
      <c r="N25" s="2918"/>
      <c r="O25" s="3462"/>
      <c r="P25" s="2918"/>
      <c r="Q25" s="2917"/>
      <c r="R25" s="2917"/>
      <c r="S25" s="2917"/>
      <c r="T25" s="2917"/>
      <c r="U25" s="2917"/>
      <c r="V25" s="2917"/>
    </row>
    <row r="26" ht="13.5" spans="1:22">
      <c r="A26" s="3421"/>
      <c r="B26" s="3422" t="s">
        <v>390</v>
      </c>
      <c r="C26" s="3423"/>
      <c r="D26" s="3421" t="s">
        <v>390</v>
      </c>
      <c r="E26" s="3424"/>
      <c r="F26" s="3364"/>
      <c r="G26" s="3364"/>
      <c r="H26" s="3364"/>
      <c r="I26" s="3364"/>
      <c r="J26" s="2917"/>
      <c r="K26" s="3457"/>
      <c r="L26" s="3455"/>
      <c r="M26" s="3455"/>
      <c r="N26" s="2918"/>
      <c r="O26" s="3462"/>
      <c r="P26" s="2918"/>
      <c r="Q26" s="2917"/>
      <c r="R26" s="2917"/>
      <c r="S26" s="2917"/>
      <c r="T26" s="2917"/>
      <c r="U26" s="2917"/>
      <c r="V26" s="2917"/>
    </row>
    <row r="27" ht="13.5" spans="1:22">
      <c r="A27" s="1588" t="s">
        <v>391</v>
      </c>
      <c r="B27" s="1596" t="s">
        <v>392</v>
      </c>
      <c r="C27" s="3425"/>
      <c r="D27" s="3426"/>
      <c r="E27" s="3038"/>
      <c r="F27" s="3038"/>
      <c r="G27" s="3038"/>
      <c r="H27" s="3038"/>
      <c r="I27" s="3038"/>
      <c r="J27" s="2917"/>
      <c r="K27" s="3461"/>
      <c r="L27" s="3462"/>
      <c r="M27" s="3462"/>
      <c r="N27" s="2918"/>
      <c r="O27" s="3462"/>
      <c r="P27" s="2918"/>
      <c r="Q27" s="2917"/>
      <c r="R27" s="2917"/>
      <c r="S27" s="2917"/>
      <c r="T27" s="2917"/>
      <c r="U27" s="2917"/>
      <c r="V27" s="2917"/>
    </row>
    <row r="28" spans="1:22">
      <c r="A28" s="1588"/>
      <c r="B28" s="1558" t="s">
        <v>393</v>
      </c>
      <c r="C28" s="3427"/>
      <c r="D28" s="3428"/>
      <c r="E28" s="3038"/>
      <c r="F28" s="3038"/>
      <c r="G28" s="3038"/>
      <c r="H28" s="3038"/>
      <c r="I28" s="3038"/>
      <c r="J28" s="2917"/>
      <c r="K28" s="3457"/>
      <c r="L28" s="3455"/>
      <c r="M28" s="3455"/>
      <c r="N28" s="2917"/>
      <c r="O28" s="3456"/>
      <c r="P28" s="2917"/>
      <c r="Q28" s="2917"/>
      <c r="R28" s="2917"/>
      <c r="S28" s="2917"/>
      <c r="T28" s="2917"/>
      <c r="U28" s="2917"/>
      <c r="V28" s="2917"/>
    </row>
    <row r="29" spans="1:22">
      <c r="A29" s="1588"/>
      <c r="B29" s="1558" t="s">
        <v>394</v>
      </c>
      <c r="C29" s="3429"/>
      <c r="D29" s="3430"/>
      <c r="E29" s="3038"/>
      <c r="F29" s="3038"/>
      <c r="G29" s="3038"/>
      <c r="H29" s="3038"/>
      <c r="I29" s="3038"/>
      <c r="J29" s="2917"/>
      <c r="K29" s="3457"/>
      <c r="L29" s="3455"/>
      <c r="M29" s="3455"/>
      <c r="N29" s="2917"/>
      <c r="O29" s="3456"/>
      <c r="P29" s="2917"/>
      <c r="Q29" s="2917"/>
      <c r="R29" s="2917"/>
      <c r="S29" s="2917"/>
      <c r="T29" s="2917"/>
      <c r="U29" s="2917"/>
      <c r="V29" s="2917"/>
    </row>
    <row r="30" spans="1:22">
      <c r="A30" s="1596"/>
      <c r="B30" s="1558" t="s">
        <v>395</v>
      </c>
      <c r="C30" s="3431"/>
      <c r="D30" s="3432"/>
      <c r="E30" s="3038"/>
      <c r="F30" s="3038"/>
      <c r="G30" s="3038"/>
      <c r="H30" s="3038"/>
      <c r="I30" s="3038"/>
      <c r="J30" s="2917"/>
      <c r="K30" s="3457"/>
      <c r="L30" s="3455"/>
      <c r="M30" s="3455"/>
      <c r="N30" s="2917"/>
      <c r="O30" s="3456"/>
      <c r="P30" s="2917"/>
      <c r="Q30" s="2917"/>
      <c r="R30" s="2917"/>
      <c r="S30" s="2917"/>
      <c r="T30" s="2917"/>
      <c r="U30" s="2917"/>
      <c r="V30" s="2917"/>
    </row>
    <row r="31" spans="1:22">
      <c r="A31" s="3433" t="s">
        <v>396</v>
      </c>
      <c r="B31" s="3434"/>
      <c r="C31" s="1718" t="str">
        <f>IF(B31="现房","成新及维护状况正常否",IF(B31="在建","工程状态是否正常",IF(B31="土地","是否闲置","-")))</f>
        <v>-</v>
      </c>
      <c r="D31" s="1819"/>
      <c r="E31" s="3435"/>
      <c r="F31" s="3038"/>
      <c r="G31" s="3038"/>
      <c r="H31" s="3038"/>
      <c r="I31" s="3038"/>
      <c r="J31" s="2917"/>
      <c r="K31" s="3454"/>
      <c r="L31" s="3455"/>
      <c r="M31" s="3455"/>
      <c r="N31" s="2917"/>
      <c r="O31" s="3456"/>
      <c r="P31" s="2917"/>
      <c r="Q31" s="2917"/>
      <c r="R31" s="2917"/>
      <c r="S31" s="2917"/>
      <c r="T31" s="2917"/>
      <c r="U31" s="2917"/>
      <c r="V31" s="2917"/>
    </row>
    <row r="32" spans="1:22">
      <c r="A32" s="2057"/>
      <c r="B32" s="3434"/>
      <c r="C32" s="1718" t="str">
        <f>IF(B32="现房","成新及维护状况是否正常",IF(B32="在建","工程状态是否正常",IF(B32="土地","是否闲置","-")))</f>
        <v>-</v>
      </c>
      <c r="D32" s="1819"/>
      <c r="E32" s="3435"/>
      <c r="F32" s="3038"/>
      <c r="G32" s="3038"/>
      <c r="H32" s="3038"/>
      <c r="I32" s="3038"/>
      <c r="J32" s="2917"/>
      <c r="K32" s="3457"/>
      <c r="L32" s="3455"/>
      <c r="M32" s="3455"/>
      <c r="N32" s="2917"/>
      <c r="O32" s="3456"/>
      <c r="P32" s="2917"/>
      <c r="Q32" s="2917"/>
      <c r="R32" s="2917"/>
      <c r="S32" s="2917"/>
      <c r="T32" s="2917"/>
      <c r="U32" s="2917"/>
      <c r="V32" s="2917"/>
    </row>
    <row r="33" spans="1:22">
      <c r="A33" s="2057"/>
      <c r="B33" s="3436"/>
      <c r="C33" s="2056" t="str">
        <f>IF(B33="现房","成新及维护状况是否正常",IF(B33="在建","工程状态是否正常",IF(B33="土地","是否闲置","-")))</f>
        <v>-</v>
      </c>
      <c r="D33" s="1569"/>
      <c r="E33" s="3437"/>
      <c r="F33" s="3038"/>
      <c r="G33" s="3038"/>
      <c r="H33" s="3038"/>
      <c r="I33" s="3038"/>
      <c r="J33" s="2917"/>
      <c r="K33" s="3457"/>
      <c r="L33" s="3455"/>
      <c r="M33" s="3455"/>
      <c r="N33" s="2917"/>
      <c r="O33" s="3456"/>
      <c r="P33" s="2917"/>
      <c r="Q33" s="2917"/>
      <c r="R33" s="2917"/>
      <c r="S33" s="2917"/>
      <c r="T33" s="2917"/>
      <c r="U33" s="2917"/>
      <c r="V33" s="2917"/>
    </row>
    <row r="34" spans="1:22">
      <c r="A34" s="1558" t="s">
        <v>397</v>
      </c>
      <c r="B34" s="489"/>
      <c r="C34" s="489"/>
      <c r="D34" s="489"/>
      <c r="E34" s="489"/>
      <c r="F34" s="489"/>
      <c r="G34" s="489"/>
      <c r="H34" s="489"/>
      <c r="I34" s="3038"/>
      <c r="J34" s="2917"/>
      <c r="K34" s="2534">
        <f>COUNTIF(B34:H34,"——")</f>
        <v>0</v>
      </c>
      <c r="L34" s="1604" t="s">
        <v>398</v>
      </c>
      <c r="M34" s="1604" t="s">
        <v>399</v>
      </c>
      <c r="N34" s="1604" t="s">
        <v>400</v>
      </c>
      <c r="O34" s="1604" t="s">
        <v>401</v>
      </c>
      <c r="P34" s="1604" t="s">
        <v>402</v>
      </c>
      <c r="Q34" s="1604" t="s">
        <v>403</v>
      </c>
      <c r="R34" s="1604" t="s">
        <v>404</v>
      </c>
      <c r="S34" s="2534" t="s">
        <v>405</v>
      </c>
      <c r="T34" s="3479" t="str">
        <f>NUMBERSTRING(7-K34,1)&amp;"通"</f>
        <v>七通</v>
      </c>
      <c r="U34" s="2917"/>
      <c r="V34" s="2917"/>
    </row>
    <row r="35" spans="1:22">
      <c r="A35" s="3438"/>
      <c r="B35" s="2593" t="s">
        <v>406</v>
      </c>
      <c r="C35" s="2593"/>
      <c r="D35" s="2593"/>
      <c r="E35" s="2593"/>
      <c r="F35" s="2593">
        <f>C10</f>
        <v>0</v>
      </c>
      <c r="G35" s="3038"/>
      <c r="H35" s="3038"/>
      <c r="I35" s="3038"/>
      <c r="J35" s="2917"/>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2917"/>
      <c r="V35" s="2917"/>
    </row>
    <row r="36" spans="1:22">
      <c r="A36" s="3439"/>
      <c r="B36" s="2593" t="s">
        <v>356</v>
      </c>
      <c r="C36" s="2593" t="s">
        <v>357</v>
      </c>
      <c r="D36" s="2593" t="s">
        <v>355</v>
      </c>
      <c r="E36" s="2593" t="s">
        <v>360</v>
      </c>
      <c r="F36" s="3440"/>
      <c r="G36" s="3038"/>
      <c r="H36" s="3038"/>
      <c r="I36" s="3038"/>
      <c r="J36" s="2917"/>
      <c r="K36" s="3457"/>
      <c r="L36" s="3455"/>
      <c r="M36" s="3455"/>
      <c r="N36" s="2917"/>
      <c r="O36" s="3456"/>
      <c r="P36" s="2917"/>
      <c r="Q36" s="2917"/>
      <c r="R36" s="2917"/>
      <c r="S36" s="2917"/>
      <c r="T36" s="2917"/>
      <c r="U36" s="2917"/>
      <c r="V36" s="2917"/>
    </row>
    <row r="37" spans="1:22">
      <c r="A37" s="3441" t="s">
        <v>407</v>
      </c>
      <c r="B37" s="3442" t="s">
        <v>280</v>
      </c>
      <c r="C37" s="3442"/>
      <c r="D37" s="3442"/>
      <c r="E37" s="3442"/>
      <c r="F37" s="3440"/>
      <c r="G37" s="3038"/>
      <c r="H37" s="3038"/>
      <c r="I37" s="3038"/>
      <c r="J37" s="2917"/>
      <c r="K37" s="3457"/>
      <c r="L37" s="3455"/>
      <c r="M37" s="3455"/>
      <c r="N37" s="2917"/>
      <c r="O37" s="3456"/>
      <c r="P37" s="2917"/>
      <c r="Q37" s="2917"/>
      <c r="R37" s="2917"/>
      <c r="S37" s="2917"/>
      <c r="T37" s="2917"/>
      <c r="U37" s="2917"/>
      <c r="V37" s="2917"/>
    </row>
    <row r="38" ht="13.5" spans="1:22">
      <c r="A38" s="3443" t="s">
        <v>408</v>
      </c>
      <c r="B38" s="3444" t="s">
        <v>409</v>
      </c>
      <c r="C38" s="3444"/>
      <c r="D38" s="3444"/>
      <c r="E38" s="3444"/>
      <c r="F38" s="3445"/>
      <c r="G38" s="3364"/>
      <c r="H38" s="3364"/>
      <c r="I38" s="3364"/>
      <c r="J38" s="2917"/>
      <c r="K38" s="3457"/>
      <c r="L38" s="3455"/>
      <c r="M38" s="3455"/>
      <c r="N38" s="2917"/>
      <c r="O38" s="3456"/>
      <c r="P38" s="2917"/>
      <c r="Q38" s="2917"/>
      <c r="R38" s="2917"/>
      <c r="S38" s="2917"/>
      <c r="T38" s="2917"/>
      <c r="U38" s="2917"/>
      <c r="V38" s="2917"/>
    </row>
    <row r="39" s="3327" customFormat="1" ht="14.25" spans="1:30">
      <c r="A39" s="3446" t="s">
        <v>410</v>
      </c>
      <c r="B39" s="3447"/>
      <c r="C39" s="3447"/>
      <c r="D39" s="3447"/>
      <c r="E39" s="3447"/>
      <c r="F39" s="3447"/>
      <c r="G39" s="3447"/>
      <c r="H39" s="3447"/>
      <c r="I39" s="3447"/>
      <c r="J39" s="3470"/>
      <c r="K39" s="3471"/>
      <c r="L39" s="3470"/>
      <c r="M39" s="3470"/>
      <c r="N39" s="3470"/>
      <c r="O39" s="3472"/>
      <c r="P39" s="3470"/>
      <c r="Q39" s="3470"/>
      <c r="R39" s="3470"/>
      <c r="S39" s="3470"/>
      <c r="T39" s="3470"/>
      <c r="U39" s="3470"/>
      <c r="V39" s="3470"/>
      <c r="W39" s="3480"/>
      <c r="X39" s="3480"/>
      <c r="Y39" s="3480"/>
      <c r="Z39" s="3480"/>
      <c r="AA39" s="3480"/>
      <c r="AB39" s="3480"/>
      <c r="AC39" s="3480"/>
      <c r="AD39" s="3480"/>
    </row>
    <row r="40" spans="1:22">
      <c r="A40" s="3376"/>
      <c r="B40" s="3376"/>
      <c r="C40" s="3376"/>
      <c r="D40" s="3376"/>
      <c r="E40" s="3376"/>
      <c r="F40" s="3376"/>
      <c r="G40" s="3376"/>
      <c r="H40" s="3376"/>
      <c r="I40" s="2082"/>
      <c r="J40" s="2918"/>
      <c r="K40" s="3454"/>
      <c r="L40" s="3462"/>
      <c r="M40" s="3462"/>
      <c r="N40" s="2918"/>
      <c r="O40" s="3462"/>
      <c r="P40" s="2917"/>
      <c r="Q40" s="2917"/>
      <c r="R40" s="2917"/>
      <c r="S40" s="2917"/>
      <c r="T40" s="2917"/>
      <c r="U40" s="2917"/>
      <c r="V40" s="2917"/>
    </row>
    <row r="41" spans="1:22">
      <c r="A41" s="3448" t="s">
        <v>411</v>
      </c>
      <c r="B41" s="1943"/>
      <c r="C41" s="1819"/>
      <c r="D41" s="3376"/>
      <c r="E41" s="3376"/>
      <c r="F41" s="3376"/>
      <c r="G41" s="3376"/>
      <c r="H41" s="3376"/>
      <c r="I41" s="3238"/>
      <c r="J41" s="2917"/>
      <c r="K41" s="3457"/>
      <c r="L41" s="3455"/>
      <c r="M41" s="3455"/>
      <c r="N41" s="2917"/>
      <c r="O41" s="3456"/>
      <c r="P41" s="2917"/>
      <c r="Q41" s="2917"/>
      <c r="R41" s="2917"/>
      <c r="S41" s="2917"/>
      <c r="T41" s="2917"/>
      <c r="U41" s="2917"/>
      <c r="V41" s="2917"/>
    </row>
    <row r="42" ht="24.75" spans="1:22">
      <c r="A42" s="1604" t="s">
        <v>412</v>
      </c>
      <c r="B42" s="2534" t="s">
        <v>413</v>
      </c>
      <c r="C42" s="2534" t="s">
        <v>414</v>
      </c>
      <c r="D42" s="2534" t="s">
        <v>415</v>
      </c>
      <c r="E42" s="2534" t="s">
        <v>416</v>
      </c>
      <c r="F42" s="2534" t="s">
        <v>417</v>
      </c>
      <c r="G42" s="2534" t="s">
        <v>418</v>
      </c>
      <c r="H42" s="2534" t="s">
        <v>419</v>
      </c>
      <c r="I42" s="2534" t="s">
        <v>420</v>
      </c>
      <c r="J42" s="3473" t="s">
        <v>421</v>
      </c>
      <c r="K42" s="3474" t="s">
        <v>422</v>
      </c>
      <c r="L42" s="3474" t="s">
        <v>423</v>
      </c>
      <c r="M42" s="3474" t="s">
        <v>424</v>
      </c>
      <c r="N42" s="3475" t="s">
        <v>425</v>
      </c>
      <c r="O42" s="3475" t="s">
        <v>426</v>
      </c>
      <c r="P42" s="3475" t="s">
        <v>427</v>
      </c>
      <c r="Q42" s="3481" t="s">
        <v>428</v>
      </c>
      <c r="R42" s="3481" t="s">
        <v>429</v>
      </c>
      <c r="S42" s="2917"/>
      <c r="T42" s="2917"/>
      <c r="U42" s="2917"/>
      <c r="V42" s="2917"/>
    </row>
    <row r="43" s="3130" customFormat="1" spans="1:22">
      <c r="A43" s="3449"/>
      <c r="B43" s="3259"/>
      <c r="C43" s="3259"/>
      <c r="D43" s="3259"/>
      <c r="E43" s="3259"/>
      <c r="F43" s="3259"/>
      <c r="G43" s="3259"/>
      <c r="H43" s="3259"/>
      <c r="I43" s="3259"/>
      <c r="J43" s="3476"/>
      <c r="K43" s="3477"/>
      <c r="L43" s="3477"/>
      <c r="M43" s="3259"/>
      <c r="N43" s="3259"/>
      <c r="O43" s="3259"/>
      <c r="P43" s="3259"/>
      <c r="Q43" s="3259"/>
      <c r="R43" s="3259"/>
      <c r="S43" s="2917"/>
      <c r="T43" s="2917"/>
      <c r="U43" s="2917"/>
      <c r="V43" s="2917"/>
    </row>
    <row r="44" s="3130" customFormat="1" spans="1:22">
      <c r="A44" s="3449"/>
      <c r="B44" s="3449"/>
      <c r="C44" s="3259"/>
      <c r="D44" s="3259"/>
      <c r="E44" s="3259"/>
      <c r="F44" s="3259"/>
      <c r="G44" s="3259"/>
      <c r="H44" s="3259"/>
      <c r="I44" s="3259"/>
      <c r="J44" s="3476"/>
      <c r="K44" s="3477"/>
      <c r="L44" s="3477"/>
      <c r="M44" s="3259"/>
      <c r="N44" s="3259"/>
      <c r="O44" s="3259"/>
      <c r="P44" s="3259"/>
      <c r="Q44" s="3259"/>
      <c r="R44" s="3259"/>
      <c r="S44" s="2917"/>
      <c r="T44" s="2917"/>
      <c r="U44" s="2917"/>
      <c r="V44" s="2917"/>
    </row>
    <row r="45" s="3130" customFormat="1" spans="1:22">
      <c r="A45" s="3449"/>
      <c r="B45" s="3449"/>
      <c r="C45" s="3259"/>
      <c r="D45" s="3259"/>
      <c r="E45" s="3259"/>
      <c r="F45" s="3259"/>
      <c r="G45" s="3259"/>
      <c r="H45" s="3259"/>
      <c r="I45" s="3259"/>
      <c r="J45" s="3476"/>
      <c r="K45" s="3477"/>
      <c r="L45" s="3477"/>
      <c r="M45" s="3259"/>
      <c r="N45" s="3259"/>
      <c r="O45" s="3259"/>
      <c r="P45" s="3259"/>
      <c r="Q45" s="3259"/>
      <c r="R45" s="3259"/>
      <c r="S45" s="2917"/>
      <c r="T45" s="2917"/>
      <c r="U45" s="2917"/>
      <c r="V45" s="2917"/>
    </row>
    <row r="46" s="3130" customFormat="1" spans="1:22">
      <c r="A46" s="3449"/>
      <c r="B46" s="3449"/>
      <c r="C46" s="3259"/>
      <c r="D46" s="3259"/>
      <c r="E46" s="3259"/>
      <c r="F46" s="3259"/>
      <c r="G46" s="3259"/>
      <c r="H46" s="3259"/>
      <c r="I46" s="3259"/>
      <c r="J46" s="3476"/>
      <c r="K46" s="3477"/>
      <c r="L46" s="3477"/>
      <c r="M46" s="3259"/>
      <c r="N46" s="3259"/>
      <c r="O46" s="3259"/>
      <c r="P46" s="3259"/>
      <c r="Q46" s="3259"/>
      <c r="R46" s="3259"/>
      <c r="S46" s="2917"/>
      <c r="T46" s="2917"/>
      <c r="U46" s="2917"/>
      <c r="V46" s="2917"/>
    </row>
    <row r="47" s="3130" customFormat="1" spans="1:22">
      <c r="A47" s="3449"/>
      <c r="B47" s="3449"/>
      <c r="C47" s="3259"/>
      <c r="D47" s="3259"/>
      <c r="E47" s="3259"/>
      <c r="F47" s="3259"/>
      <c r="G47" s="3259"/>
      <c r="H47" s="3259"/>
      <c r="I47" s="3259"/>
      <c r="J47" s="3476"/>
      <c r="K47" s="3477"/>
      <c r="L47" s="3477"/>
      <c r="M47" s="3259"/>
      <c r="N47" s="3259"/>
      <c r="O47" s="3259"/>
      <c r="P47" s="3259"/>
      <c r="Q47" s="3259"/>
      <c r="R47" s="3259"/>
      <c r="S47" s="2917"/>
      <c r="T47" s="2917"/>
      <c r="U47" s="2917"/>
      <c r="V47" s="2917"/>
    </row>
    <row r="48" s="3130" customFormat="1" spans="1:22">
      <c r="A48" s="3449"/>
      <c r="B48" s="3449"/>
      <c r="C48" s="3259"/>
      <c r="D48" s="3259"/>
      <c r="E48" s="3259"/>
      <c r="F48" s="3259"/>
      <c r="G48" s="3259"/>
      <c r="H48" s="3259"/>
      <c r="I48" s="3259"/>
      <c r="J48" s="3476"/>
      <c r="K48" s="3477"/>
      <c r="L48" s="3477"/>
      <c r="M48" s="3259"/>
      <c r="N48" s="3259"/>
      <c r="O48" s="3259"/>
      <c r="P48" s="3259"/>
      <c r="Q48" s="3259"/>
      <c r="R48" s="3259"/>
      <c r="S48" s="2917"/>
      <c r="T48" s="2917"/>
      <c r="U48" s="2917"/>
      <c r="V48" s="2917"/>
    </row>
    <row r="49" s="3130" customFormat="1" spans="1:22">
      <c r="A49" s="3449"/>
      <c r="B49" s="3449"/>
      <c r="C49" s="3259"/>
      <c r="D49" s="3259"/>
      <c r="E49" s="3259"/>
      <c r="F49" s="3259"/>
      <c r="G49" s="3259"/>
      <c r="H49" s="3259"/>
      <c r="I49" s="3259"/>
      <c r="J49" s="3476"/>
      <c r="K49" s="3477"/>
      <c r="L49" s="3477"/>
      <c r="M49" s="3259"/>
      <c r="N49" s="3259"/>
      <c r="O49" s="3259"/>
      <c r="P49" s="3259"/>
      <c r="Q49" s="3259"/>
      <c r="R49" s="3259"/>
      <c r="S49" s="2917"/>
      <c r="T49" s="2917"/>
      <c r="U49" s="2917"/>
      <c r="V49" s="2917"/>
    </row>
    <row r="50" s="3130" customFormat="1" spans="1:22">
      <c r="A50" s="3449"/>
      <c r="B50" s="3449"/>
      <c r="C50" s="3259"/>
      <c r="D50" s="3259"/>
      <c r="E50" s="3259"/>
      <c r="F50" s="3259"/>
      <c r="G50" s="3259"/>
      <c r="H50" s="3259"/>
      <c r="I50" s="3259"/>
      <c r="J50" s="3476"/>
      <c r="K50" s="3477"/>
      <c r="L50" s="3477"/>
      <c r="M50" s="3259"/>
      <c r="N50" s="3259"/>
      <c r="O50" s="3259"/>
      <c r="P50" s="3259"/>
      <c r="Q50" s="3259"/>
      <c r="R50" s="3259"/>
      <c r="S50" s="2917"/>
      <c r="T50" s="2917"/>
      <c r="U50" s="2917"/>
      <c r="V50" s="2917"/>
    </row>
    <row r="51" s="3130" customFormat="1" spans="1:18">
      <c r="A51" s="3449"/>
      <c r="B51" s="3449"/>
      <c r="C51" s="3259"/>
      <c r="D51" s="3259"/>
      <c r="E51" s="3259"/>
      <c r="F51" s="3259"/>
      <c r="G51" s="3259"/>
      <c r="H51" s="3259"/>
      <c r="I51" s="3259"/>
      <c r="J51" s="3476"/>
      <c r="K51" s="3477"/>
      <c r="L51" s="3477"/>
      <c r="M51" s="3259"/>
      <c r="N51" s="3259"/>
      <c r="O51" s="3259"/>
      <c r="P51" s="3259"/>
      <c r="Q51" s="3259"/>
      <c r="R51" s="3259"/>
    </row>
    <row r="52" s="3130" customFormat="1" spans="1:18">
      <c r="A52" s="3449"/>
      <c r="B52" s="3449"/>
      <c r="C52" s="3449"/>
      <c r="D52" s="3449"/>
      <c r="E52" s="3449"/>
      <c r="F52" s="3259"/>
      <c r="G52" s="3449"/>
      <c r="H52" s="3449"/>
      <c r="I52" s="3449"/>
      <c r="J52" s="3478"/>
      <c r="K52" s="3477"/>
      <c r="L52" s="3477"/>
      <c r="M52" s="3477"/>
      <c r="N52" s="3449"/>
      <c r="O52" s="3449"/>
      <c r="P52" s="3449"/>
      <c r="Q52" s="3449"/>
      <c r="R52" s="3449"/>
    </row>
    <row r="53" s="3130" customFormat="1" spans="1:18">
      <c r="A53" s="3449"/>
      <c r="B53" s="3449"/>
      <c r="C53" s="3449"/>
      <c r="D53" s="3449"/>
      <c r="E53" s="3449"/>
      <c r="F53" s="3259"/>
      <c r="G53" s="3449"/>
      <c r="H53" s="3449"/>
      <c r="I53" s="3449"/>
      <c r="J53" s="3478"/>
      <c r="K53" s="3477"/>
      <c r="L53" s="3477"/>
      <c r="M53" s="3477"/>
      <c r="N53" s="3449"/>
      <c r="O53" s="3449"/>
      <c r="P53" s="3449"/>
      <c r="Q53" s="3449"/>
      <c r="R53" s="3449"/>
    </row>
    <row r="54" s="3130" customFormat="1" spans="1:18">
      <c r="A54" s="3449"/>
      <c r="B54" s="3449"/>
      <c r="C54" s="3449"/>
      <c r="D54" s="3449"/>
      <c r="E54" s="3449"/>
      <c r="F54" s="3259"/>
      <c r="G54" s="3449"/>
      <c r="H54" s="3449"/>
      <c r="I54" s="3449"/>
      <c r="J54" s="3478"/>
      <c r="K54" s="3477"/>
      <c r="L54" s="3477"/>
      <c r="M54" s="3477"/>
      <c r="N54" s="3449"/>
      <c r="O54" s="3449"/>
      <c r="P54" s="3449"/>
      <c r="Q54" s="3449"/>
      <c r="R54" s="3449"/>
    </row>
    <row r="55" s="3130" customFormat="1" spans="1:18">
      <c r="A55" s="3449"/>
      <c r="B55" s="3449"/>
      <c r="C55" s="3449"/>
      <c r="D55" s="3449"/>
      <c r="E55" s="3449"/>
      <c r="F55" s="3259"/>
      <c r="G55" s="3449"/>
      <c r="H55" s="3449"/>
      <c r="I55" s="3449"/>
      <c r="J55" s="3478"/>
      <c r="K55" s="3477"/>
      <c r="L55" s="3477"/>
      <c r="M55" s="3477"/>
      <c r="N55" s="3449"/>
      <c r="O55" s="3449"/>
      <c r="P55" s="3449"/>
      <c r="Q55" s="3449"/>
      <c r="R55" s="3449"/>
    </row>
    <row r="56" s="3130" customFormat="1" spans="1:18">
      <c r="A56" s="3449"/>
      <c r="B56" s="3449"/>
      <c r="C56" s="3449"/>
      <c r="D56" s="3449"/>
      <c r="E56" s="3449"/>
      <c r="F56" s="3259"/>
      <c r="G56" s="3449"/>
      <c r="H56" s="3449"/>
      <c r="I56" s="3449"/>
      <c r="J56" s="3478"/>
      <c r="K56" s="3477"/>
      <c r="L56" s="3477"/>
      <c r="M56" s="3477"/>
      <c r="N56" s="3449"/>
      <c r="O56" s="3449"/>
      <c r="P56" s="3449"/>
      <c r="Q56" s="3449"/>
      <c r="R56" s="34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3" sqref="I13:K16"/>
    </sheetView>
  </sheetViews>
  <sheetFormatPr defaultColWidth="8.88333333333333" defaultRowHeight="14.25"/>
  <cols>
    <col min="1" max="1" width="10.6666666666667" style="3235" customWidth="1"/>
    <col min="2" max="2" width="11" style="3235" customWidth="1"/>
    <col min="3" max="3" width="10.3333333333333" style="3235" customWidth="1"/>
    <col min="4" max="4" width="9.10833333333333" style="3235" customWidth="1"/>
    <col min="5" max="6" width="10" style="3233" customWidth="1"/>
    <col min="7" max="8" width="10" style="3235" customWidth="1"/>
    <col min="9" max="9" width="10.6666666666667" style="3235" customWidth="1"/>
    <col min="10" max="10" width="9.44166666666667" style="3235" customWidth="1"/>
    <col min="11" max="11" width="11" style="3235" customWidth="1"/>
    <col min="12" max="14" width="9.44166666666667" style="3235" customWidth="1"/>
    <col min="15" max="15" width="9.88333333333333" style="3235" customWidth="1"/>
    <col min="16" max="16" width="9.775" style="3235" customWidth="1"/>
    <col min="17" max="17" width="9.33333333333333" style="3235" customWidth="1"/>
    <col min="18" max="18" width="9.21666666666667" style="3235" customWidth="1"/>
    <col min="19" max="19" width="10.8833333333333" style="3235" customWidth="1"/>
    <col min="20" max="21" width="10.775" style="3235" customWidth="1"/>
    <col min="22" max="22" width="10.8833333333333" style="3235" customWidth="1"/>
    <col min="23" max="27" width="10.775" style="3235" customWidth="1"/>
    <col min="28" max="28" width="10.8833333333333" style="3235" customWidth="1"/>
    <col min="29" max="29" width="11" style="3235" customWidth="1"/>
    <col min="30" max="30" width="10" style="3235" customWidth="1"/>
    <col min="31" max="31" width="9.775" style="3235" customWidth="1"/>
    <col min="32" max="46" width="9.44166666666667" style="3235" customWidth="1"/>
    <col min="47" max="47" width="18.1083333333333" style="3235" customWidth="1"/>
    <col min="48" max="50" width="9.775" style="3235" customWidth="1"/>
    <col min="51" max="55" width="10.4416666666667" style="3235" customWidth="1"/>
    <col min="56" max="56" width="9.44166666666667" style="3235" customWidth="1"/>
    <col min="57" max="63" width="9.10833333333333" style="3235" customWidth="1"/>
    <col min="64" max="64" width="9.44166666666667" style="3235" customWidth="1"/>
    <col min="65" max="65" width="9.10833333333333" style="3235" customWidth="1"/>
    <col min="66" max="66" width="9.44166666666667" style="3235" customWidth="1"/>
    <col min="67" max="69" width="9.10833333333333" style="3235" customWidth="1"/>
    <col min="70" max="70" width="9.44166666666667" style="3235" customWidth="1"/>
    <col min="71" max="71" width="9" style="3235" customWidth="1"/>
    <col min="72" max="72" width="9.10833333333333" style="3235" customWidth="1"/>
    <col min="73" max="16384" width="8.88333333333333" style="3235"/>
  </cols>
  <sheetData>
    <row r="1" ht="20.25" spans="1:72">
      <c r="A1" s="3236" t="s">
        <v>430</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90" t="s">
        <v>431</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4" spans="1:72">
      <c r="A2" s="2534" t="s">
        <v>371</v>
      </c>
      <c r="B2" s="2534" t="s">
        <v>367</v>
      </c>
      <c r="C2" s="2534" t="s">
        <v>432</v>
      </c>
      <c r="D2" s="3238"/>
      <c r="E2" s="2030"/>
      <c r="F2" s="2082"/>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300" t="s">
        <v>433</v>
      </c>
      <c r="AZ2" s="3301" t="s">
        <v>434</v>
      </c>
      <c r="BA2" s="2534" t="s">
        <v>435</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2.75" spans="1:72">
      <c r="A3" s="3239"/>
      <c r="B3" s="3240">
        <f>IF(C3="否",G5-AT5,G5)</f>
        <v>33735.37</v>
      </c>
      <c r="C3" s="3241" t="s">
        <v>436</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2"/>
      <c r="AZ3" s="3259"/>
      <c r="BA3" s="3303"/>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4"/>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2.75" spans="1:72">
      <c r="A5" s="1718" t="s">
        <v>437</v>
      </c>
      <c r="B5" s="1939"/>
      <c r="C5" s="1939"/>
      <c r="D5" s="2097"/>
      <c r="E5" s="3245" t="s">
        <v>124</v>
      </c>
      <c r="F5" s="3245">
        <f>SUM(F13:F587)</f>
        <v>0</v>
      </c>
      <c r="G5" s="3245">
        <f>SUM(G13:G587)</f>
        <v>33735.37</v>
      </c>
      <c r="H5" s="3245">
        <f t="shared" ref="H5:AT5" si="0">SUM(H13:H656)</f>
        <v>33735.37</v>
      </c>
      <c r="I5" s="3245">
        <f t="shared" si="0"/>
        <v>25215.42</v>
      </c>
      <c r="J5" s="3245">
        <f t="shared" si="0"/>
        <v>0</v>
      </c>
      <c r="K5" s="3245">
        <f t="shared" si="0"/>
        <v>7379.7</v>
      </c>
      <c r="L5" s="3245">
        <f t="shared" si="0"/>
        <v>0</v>
      </c>
      <c r="M5" s="3245">
        <f t="shared" si="0"/>
        <v>1140.25</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1938"/>
      <c r="AV5" s="1718" t="s">
        <v>437</v>
      </c>
      <c r="AW5" s="1939"/>
      <c r="AX5" s="1939"/>
      <c r="AY5" s="3305" t="s">
        <v>124</v>
      </c>
      <c r="AZ5" s="3306">
        <f t="shared" ref="AZ5:BT5" si="1">SUM(AZ13:AZ656)</f>
        <v>33735.37</v>
      </c>
      <c r="BA5" s="3306">
        <f t="shared" si="1"/>
        <v>33735.37</v>
      </c>
      <c r="BB5" s="3306">
        <f t="shared" si="1"/>
        <v>25215.42</v>
      </c>
      <c r="BC5" s="3306">
        <f t="shared" si="1"/>
        <v>7379.7</v>
      </c>
      <c r="BD5" s="3306">
        <f t="shared" si="1"/>
        <v>1140.25</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2" customFormat="1" ht="12.75" spans="1:72">
      <c r="A6" s="1718" t="s">
        <v>438</v>
      </c>
      <c r="B6" s="3246"/>
      <c r="C6" s="3246"/>
      <c r="D6" s="3247"/>
      <c r="E6" s="3245">
        <f>H6+AC6+AT6</f>
        <v>0</v>
      </c>
      <c r="F6" s="3245" t="s">
        <v>124</v>
      </c>
      <c r="G6" s="3245" t="s">
        <v>124</v>
      </c>
      <c r="H6" s="3248">
        <f>SUMIF(I$12:AB$12,"总值",I6:AB6)</f>
        <v>0</v>
      </c>
      <c r="I6" s="3245">
        <f t="shared" ref="I6:AB6" si="2">ROUND($A$3*I5/$B$3,2)</f>
        <v>0</v>
      </c>
      <c r="J6" s="3245">
        <f t="shared" si="2"/>
        <v>0</v>
      </c>
      <c r="K6" s="3245">
        <f t="shared" si="2"/>
        <v>0</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1"/>
      <c r="AV6" s="1718" t="s">
        <v>438</v>
      </c>
      <c r="AW6" s="3246"/>
      <c r="AX6" s="3246"/>
      <c r="AY6" s="3307">
        <f>IF(AY3&gt;0,AY3,ROUND($A$3*AZ5/$B$3,2))</f>
        <v>0</v>
      </c>
      <c r="AZ6" s="3245" t="s">
        <v>124</v>
      </c>
      <c r="BA6" s="3245">
        <f>ROUND($AY$6*BA5/$AZ$5,2)</f>
        <v>0</v>
      </c>
      <c r="BB6" s="3245">
        <f>ROUND($AY$6*BB5/$AZ$5,2)</f>
        <v>0</v>
      </c>
      <c r="BC6" s="3245">
        <f t="shared" ref="BC6:BH6" si="4">ROUND($AY$6*BC5/$AZ$5,2)</f>
        <v>0</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6">
        <f t="shared" si="5"/>
        <v>0</v>
      </c>
    </row>
    <row r="7" s="3230" customFormat="1" ht="24.75" spans="1:72">
      <c r="A7" s="3249" t="s">
        <v>439</v>
      </c>
      <c r="B7" s="3249" t="s">
        <v>440</v>
      </c>
      <c r="C7" s="3249" t="s">
        <v>413</v>
      </c>
      <c r="D7" s="3249" t="s">
        <v>441</v>
      </c>
      <c r="E7" s="3249" t="s">
        <v>438</v>
      </c>
      <c r="F7" s="3249" t="s">
        <v>442</v>
      </c>
      <c r="G7" s="2056" t="s">
        <v>443</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097"/>
      <c r="AU7" s="3250" t="s">
        <v>444</v>
      </c>
      <c r="AV7" s="3292" t="s">
        <v>439</v>
      </c>
      <c r="AW7" s="2082" t="s">
        <v>440</v>
      </c>
      <c r="AX7" s="3292" t="s">
        <v>413</v>
      </c>
      <c r="AY7" s="1939" t="s">
        <v>445</v>
      </c>
      <c r="AZ7" s="3283"/>
      <c r="BA7" s="3250"/>
      <c r="BB7" s="3250"/>
      <c r="BC7" s="3250"/>
      <c r="BD7" s="3250"/>
      <c r="BE7" s="3250"/>
      <c r="BF7" s="3250"/>
      <c r="BG7" s="3250"/>
      <c r="BH7" s="3250"/>
      <c r="BI7" s="3250"/>
      <c r="BJ7" s="3250"/>
      <c r="BK7" s="3250"/>
      <c r="BL7" s="3250"/>
      <c r="BM7" s="3250"/>
      <c r="BN7" s="3250"/>
      <c r="BO7" s="3250"/>
      <c r="BP7" s="3250"/>
      <c r="BQ7" s="3250"/>
      <c r="BR7" s="3250"/>
      <c r="BS7" s="3250"/>
      <c r="BT7" s="3317"/>
    </row>
    <row r="8" s="2936" customFormat="1" ht="24" spans="1:72">
      <c r="A8" s="3251"/>
      <c r="B8" s="3251"/>
      <c r="C8" s="3251"/>
      <c r="D8" s="3251"/>
      <c r="E8" s="3251"/>
      <c r="F8" s="3251"/>
      <c r="G8" s="3252" t="s">
        <v>446</v>
      </c>
      <c r="H8" s="3253" t="s">
        <v>447</v>
      </c>
      <c r="I8" s="3272"/>
      <c r="J8" s="1603"/>
      <c r="K8" s="1603"/>
      <c r="L8" s="1603"/>
      <c r="M8" s="1603"/>
      <c r="N8" s="1603"/>
      <c r="O8" s="1603"/>
      <c r="P8" s="1603"/>
      <c r="Q8" s="1603"/>
      <c r="R8" s="1603"/>
      <c r="S8" s="1603"/>
      <c r="T8" s="1603"/>
      <c r="U8" s="1603"/>
      <c r="V8" s="3279"/>
      <c r="W8" s="1603"/>
      <c r="X8" s="1603"/>
      <c r="Y8" s="1603"/>
      <c r="Z8" s="1603"/>
      <c r="AA8" s="3279"/>
      <c r="AB8" s="3281"/>
      <c r="AC8" s="1870" t="s">
        <v>448</v>
      </c>
      <c r="AD8" s="3282"/>
      <c r="AE8" s="3283"/>
      <c r="AF8" s="1603"/>
      <c r="AG8" s="1603"/>
      <c r="AH8" s="1603"/>
      <c r="AI8" s="1603"/>
      <c r="AJ8" s="1603"/>
      <c r="AK8" s="1603"/>
      <c r="AL8" s="1603"/>
      <c r="AM8" s="1603"/>
      <c r="AN8" s="1603"/>
      <c r="AO8" s="1603"/>
      <c r="AP8" s="1603"/>
      <c r="AQ8" s="1603"/>
      <c r="AR8" s="1603"/>
      <c r="AS8" s="1603"/>
      <c r="AT8" s="1550" t="s">
        <v>449</v>
      </c>
      <c r="AU8" s="3251" t="s">
        <v>450</v>
      </c>
      <c r="AV8" s="1550"/>
      <c r="AW8" s="2030"/>
      <c r="AX8" s="1550"/>
      <c r="AY8" s="2082" t="s">
        <v>438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936" customFormat="1" ht="12.75" spans="1:72">
      <c r="A9" s="3251"/>
      <c r="B9" s="3251"/>
      <c r="C9" s="3251"/>
      <c r="D9" s="3251"/>
      <c r="E9" s="3251"/>
      <c r="F9" s="3251"/>
      <c r="G9" s="1550"/>
      <c r="H9" s="3254" t="s">
        <v>451</v>
      </c>
      <c r="I9" s="3273" t="s">
        <v>452</v>
      </c>
      <c r="J9" s="1870"/>
      <c r="K9" s="3273" t="s">
        <v>453</v>
      </c>
      <c r="L9" s="1870"/>
      <c r="M9" s="3273" t="s">
        <v>453</v>
      </c>
      <c r="N9" s="1870"/>
      <c r="O9" s="3273"/>
      <c r="P9" s="1870"/>
      <c r="Q9" s="3273"/>
      <c r="R9" s="1870"/>
      <c r="S9" s="3273"/>
      <c r="T9" s="1870"/>
      <c r="U9" s="3273"/>
      <c r="V9" s="1870"/>
      <c r="W9" s="3273"/>
      <c r="X9" s="3280"/>
      <c r="Y9" s="3273"/>
      <c r="Z9" s="1870"/>
      <c r="AA9" s="3273"/>
      <c r="AB9" s="1870"/>
      <c r="AC9" s="3252" t="s">
        <v>451</v>
      </c>
      <c r="AD9" s="1718" t="s">
        <v>454</v>
      </c>
      <c r="AE9" s="1564"/>
      <c r="AF9" s="1718" t="s">
        <v>455</v>
      </c>
      <c r="AG9" s="1564"/>
      <c r="AH9" s="1718" t="s">
        <v>454</v>
      </c>
      <c r="AI9" s="1564"/>
      <c r="AJ9" s="1718" t="s">
        <v>455</v>
      </c>
      <c r="AK9" s="1564"/>
      <c r="AL9" s="1718" t="s">
        <v>454</v>
      </c>
      <c r="AM9" s="1564"/>
      <c r="AN9" s="1718" t="s">
        <v>455</v>
      </c>
      <c r="AO9" s="1564"/>
      <c r="AP9" s="1718" t="s">
        <v>454</v>
      </c>
      <c r="AQ9" s="1564"/>
      <c r="AR9" s="1718" t="s">
        <v>455</v>
      </c>
      <c r="AS9" s="3293"/>
      <c r="AT9" s="3251"/>
      <c r="AU9" s="3251" t="s">
        <v>456</v>
      </c>
      <c r="AV9" s="1550"/>
      <c r="AW9" s="2030"/>
      <c r="AX9" s="1550"/>
      <c r="AY9" s="3255"/>
      <c r="AZ9" s="3255" t="s">
        <v>446</v>
      </c>
      <c r="BA9" s="3308" t="s">
        <v>457</v>
      </c>
      <c r="BB9" s="3309"/>
      <c r="BC9" s="1614"/>
      <c r="BD9" s="1614"/>
      <c r="BE9" s="1614"/>
      <c r="BF9" s="1614"/>
      <c r="BG9" s="1614"/>
      <c r="BH9" s="1614"/>
      <c r="BI9" s="1614"/>
      <c r="BJ9" s="1614"/>
      <c r="BK9" s="3314"/>
      <c r="BL9" s="1718" t="s">
        <v>458</v>
      </c>
      <c r="BM9" s="1603"/>
      <c r="BN9" s="3272"/>
      <c r="BO9" s="1603"/>
      <c r="BP9" s="1603"/>
      <c r="BQ9" s="1603"/>
      <c r="BR9" s="1603"/>
      <c r="BS9" s="1603"/>
      <c r="BT9" s="1601"/>
    </row>
    <row r="10" s="2936" customFormat="1" ht="12.75" spans="1:72">
      <c r="A10" s="3251"/>
      <c r="B10" s="3251"/>
      <c r="C10" s="3251"/>
      <c r="D10" s="3251"/>
      <c r="E10" s="3251"/>
      <c r="F10" s="3251"/>
      <c r="G10" s="1550"/>
      <c r="H10" s="3255"/>
      <c r="I10" s="3273" t="s">
        <v>459</v>
      </c>
      <c r="J10" s="1870"/>
      <c r="K10" s="3274" t="s">
        <v>459</v>
      </c>
      <c r="L10" s="1870"/>
      <c r="M10" s="3274" t="s">
        <v>460</v>
      </c>
      <c r="N10" s="1870"/>
      <c r="O10" s="3274"/>
      <c r="P10" s="1870"/>
      <c r="Q10" s="3274"/>
      <c r="R10" s="1870"/>
      <c r="S10" s="3274"/>
      <c r="T10" s="1870"/>
      <c r="U10" s="3274"/>
      <c r="V10" s="1870"/>
      <c r="W10" s="3274"/>
      <c r="X10" s="1870"/>
      <c r="Y10" s="3274"/>
      <c r="Z10" s="1870"/>
      <c r="AA10" s="3274"/>
      <c r="AB10" s="1870"/>
      <c r="AC10" s="1550"/>
      <c r="AD10" s="1718" t="s">
        <v>461</v>
      </c>
      <c r="AE10" s="3284"/>
      <c r="AF10" s="1718" t="s">
        <v>461</v>
      </c>
      <c r="AG10" s="3284"/>
      <c r="AH10" s="1718" t="s">
        <v>462</v>
      </c>
      <c r="AI10" s="3284"/>
      <c r="AJ10" s="1718" t="s">
        <v>462</v>
      </c>
      <c r="AK10" s="3284"/>
      <c r="AL10" s="1718" t="s">
        <v>463</v>
      </c>
      <c r="AM10" s="1564"/>
      <c r="AN10" s="1718" t="s">
        <v>463</v>
      </c>
      <c r="AO10" s="1564"/>
      <c r="AP10" s="1718" t="s">
        <v>464</v>
      </c>
      <c r="AQ10" s="1564"/>
      <c r="AR10" s="1718" t="s">
        <v>464</v>
      </c>
      <c r="AS10" s="1564"/>
      <c r="AT10" s="3251"/>
      <c r="AU10" s="3251"/>
      <c r="AV10" s="1550"/>
      <c r="AW10" s="2030"/>
      <c r="AX10" s="1550"/>
      <c r="AY10" s="3255"/>
      <c r="AZ10" s="3255"/>
      <c r="BA10" s="3256" t="s">
        <v>451</v>
      </c>
      <c r="BB10" s="3310"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451</v>
      </c>
      <c r="BM10" s="1660" t="str">
        <f>AD9</f>
        <v>地上</v>
      </c>
      <c r="BN10" s="1626" t="str">
        <f>AF9</f>
        <v>地下</v>
      </c>
      <c r="BO10" s="1660" t="str">
        <f>AH9</f>
        <v>地上</v>
      </c>
      <c r="BP10" s="1626" t="str">
        <f>AJ9</f>
        <v>地下</v>
      </c>
      <c r="BQ10" s="1660" t="str">
        <f>AL9</f>
        <v>地上</v>
      </c>
      <c r="BR10" s="1626" t="str">
        <f>AN9</f>
        <v>地下</v>
      </c>
      <c r="BS10" s="1660" t="str">
        <f>AP9</f>
        <v>地上</v>
      </c>
      <c r="BT10" s="3318" t="str">
        <f>AR9</f>
        <v>地下</v>
      </c>
    </row>
    <row r="11" s="2936" customFormat="1" ht="12.75" spans="1:72">
      <c r="A11" s="3251"/>
      <c r="B11" s="3251"/>
      <c r="C11" s="3251"/>
      <c r="D11" s="3251"/>
      <c r="E11" s="3251"/>
      <c r="F11" s="3251"/>
      <c r="G11" s="1550"/>
      <c r="H11" s="3256"/>
      <c r="I11" s="3275"/>
      <c r="J11" s="3276"/>
      <c r="K11" s="3275"/>
      <c r="L11" s="3276"/>
      <c r="M11" s="3275"/>
      <c r="N11" s="3276"/>
      <c r="O11" s="3275"/>
      <c r="P11" s="3276"/>
      <c r="Q11" s="3275"/>
      <c r="R11" s="3276"/>
      <c r="S11" s="3275"/>
      <c r="T11" s="3276"/>
      <c r="U11" s="3275"/>
      <c r="V11" s="3276"/>
      <c r="W11" s="3275"/>
      <c r="X11" s="3276"/>
      <c r="Y11" s="3275"/>
      <c r="Z11" s="3276"/>
      <c r="AA11" s="3275"/>
      <c r="AB11" s="3276"/>
      <c r="AC11" s="1550"/>
      <c r="AD11" s="3285" t="s">
        <v>465</v>
      </c>
      <c r="AE11" s="2591"/>
      <c r="AF11" s="3285" t="s">
        <v>465</v>
      </c>
      <c r="AG11" s="2591"/>
      <c r="AH11" s="3285" t="s">
        <v>466</v>
      </c>
      <c r="AI11" s="3289"/>
      <c r="AJ11" s="3285" t="s">
        <v>466</v>
      </c>
      <c r="AK11" s="2591"/>
      <c r="AL11" s="1660"/>
      <c r="AM11" s="2591"/>
      <c r="AN11" s="1660"/>
      <c r="AO11" s="2591"/>
      <c r="AP11" s="1660"/>
      <c r="AQ11" s="2591"/>
      <c r="AR11" s="1660"/>
      <c r="AS11" s="2591"/>
      <c r="AT11" s="2030"/>
      <c r="AU11" s="3251"/>
      <c r="AV11" s="1550"/>
      <c r="AW11" s="2030"/>
      <c r="AX11" s="1550"/>
      <c r="AY11" s="3255"/>
      <c r="AZ11" s="3255"/>
      <c r="BA11" s="3255"/>
      <c r="BB11" s="3281" t="str">
        <f>I10</f>
        <v>商业</v>
      </c>
      <c r="BC11" s="3281" t="str">
        <f>K10</f>
        <v>商业</v>
      </c>
      <c r="BD11" s="3281" t="str">
        <f>M10</f>
        <v>仓储</v>
      </c>
      <c r="BE11" s="3281">
        <f>O10</f>
        <v>0</v>
      </c>
      <c r="BF11" s="3281">
        <f>Q10</f>
        <v>0</v>
      </c>
      <c r="BG11" s="3281">
        <f>S10</f>
        <v>0</v>
      </c>
      <c r="BH11" s="3281">
        <f>U10</f>
        <v>0</v>
      </c>
      <c r="BI11" s="3281">
        <f>W10</f>
        <v>0</v>
      </c>
      <c r="BJ11" s="3281">
        <f>Y10</f>
        <v>0</v>
      </c>
      <c r="BK11" s="3281">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3319" t="str">
        <f>AR10</f>
        <v>未注明</v>
      </c>
    </row>
    <row r="12" s="3230" customFormat="1" ht="12.75" spans="1:72">
      <c r="A12" s="3257"/>
      <c r="B12" s="3257"/>
      <c r="C12" s="3257"/>
      <c r="D12" s="3257"/>
      <c r="E12" s="3257"/>
      <c r="F12" s="3257"/>
      <c r="G12" s="508"/>
      <c r="H12" s="3258"/>
      <c r="I12" s="2097" t="s">
        <v>467</v>
      </c>
      <c r="J12" s="2534" t="s">
        <v>468</v>
      </c>
      <c r="K12" s="2534" t="s">
        <v>467</v>
      </c>
      <c r="L12" s="2534" t="s">
        <v>468</v>
      </c>
      <c r="M12" s="2534" t="s">
        <v>467</v>
      </c>
      <c r="N12" s="2534" t="s">
        <v>468</v>
      </c>
      <c r="O12" s="2534" t="s">
        <v>467</v>
      </c>
      <c r="P12" s="2534" t="s">
        <v>468</v>
      </c>
      <c r="Q12" s="2534" t="s">
        <v>467</v>
      </c>
      <c r="R12" s="2534" t="s">
        <v>468</v>
      </c>
      <c r="S12" s="2534" t="s">
        <v>467</v>
      </c>
      <c r="T12" s="2534" t="s">
        <v>468</v>
      </c>
      <c r="U12" s="2534" t="s">
        <v>467</v>
      </c>
      <c r="V12" s="1938" t="s">
        <v>468</v>
      </c>
      <c r="W12" s="2534" t="s">
        <v>467</v>
      </c>
      <c r="X12" s="2534" t="s">
        <v>468</v>
      </c>
      <c r="Y12" s="2534" t="s">
        <v>467</v>
      </c>
      <c r="Z12" s="2534" t="s">
        <v>468</v>
      </c>
      <c r="AA12" s="2534" t="s">
        <v>467</v>
      </c>
      <c r="AB12" s="2534" t="s">
        <v>468</v>
      </c>
      <c r="AC12" s="3286"/>
      <c r="AD12" s="2097" t="s">
        <v>467</v>
      </c>
      <c r="AE12" s="2534" t="s">
        <v>468</v>
      </c>
      <c r="AF12" s="2534" t="s">
        <v>467</v>
      </c>
      <c r="AG12" s="2534" t="s">
        <v>468</v>
      </c>
      <c r="AH12" s="2534" t="s">
        <v>467</v>
      </c>
      <c r="AI12" s="2534" t="s">
        <v>468</v>
      </c>
      <c r="AJ12" s="2534" t="s">
        <v>467</v>
      </c>
      <c r="AK12" s="2534" t="s">
        <v>468</v>
      </c>
      <c r="AL12" s="2534" t="s">
        <v>467</v>
      </c>
      <c r="AM12" s="2534" t="s">
        <v>468</v>
      </c>
      <c r="AN12" s="2534" t="s">
        <v>467</v>
      </c>
      <c r="AO12" s="2534" t="s">
        <v>468</v>
      </c>
      <c r="AP12" s="2534" t="s">
        <v>467</v>
      </c>
      <c r="AQ12" s="2534" t="s">
        <v>468</v>
      </c>
      <c r="AR12" s="508" t="s">
        <v>467</v>
      </c>
      <c r="AS12" s="3257" t="s">
        <v>468</v>
      </c>
      <c r="AT12" s="3294"/>
      <c r="AU12" s="3257"/>
      <c r="AV12" s="3295"/>
      <c r="AW12" s="2082"/>
      <c r="AX12" s="3295"/>
      <c r="AY12" s="3311"/>
      <c r="AZ12" s="3255"/>
      <c r="BA12" s="3256"/>
      <c r="BB12" s="1595">
        <f>I11</f>
        <v>0</v>
      </c>
      <c r="BC12" s="3312">
        <f>K11</f>
        <v>0</v>
      </c>
      <c r="BD12" s="3312">
        <f>M11</f>
        <v>0</v>
      </c>
      <c r="BE12" s="3281">
        <f>O11</f>
        <v>0</v>
      </c>
      <c r="BF12" s="3281">
        <f>Q11</f>
        <v>0</v>
      </c>
      <c r="BG12" s="3281">
        <f>S11</f>
        <v>0</v>
      </c>
      <c r="BH12" s="3281">
        <f>U11</f>
        <v>0</v>
      </c>
      <c r="BI12" s="3281">
        <f>W11</f>
        <v>0</v>
      </c>
      <c r="BJ12" s="3281">
        <f>Y11</f>
        <v>0</v>
      </c>
      <c r="BK12" s="3281">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3319">
        <f>AR11</f>
        <v>0</v>
      </c>
    </row>
    <row r="13" s="3230" customFormat="1" ht="13.5" spans="1:72">
      <c r="A13" s="3259"/>
      <c r="B13" s="2459" t="s">
        <v>469</v>
      </c>
      <c r="C13" s="3259">
        <v>-101</v>
      </c>
      <c r="D13" s="3260" t="s">
        <v>470</v>
      </c>
      <c r="E13" s="3245">
        <f>IF($C$3="是",ROUND($A$3*G13/$B$3,2),ROUND($A$3*(G13-AT13)/$B$3,2))</f>
        <v>0</v>
      </c>
      <c r="F13" s="3261"/>
      <c r="G13" s="3262">
        <f>H13+AC13+AT13</f>
        <v>2852.34</v>
      </c>
      <c r="H13" s="3248">
        <f>SUMIF(I$12:AB$12,"总值",I13:AB13)</f>
        <v>2852.34</v>
      </c>
      <c r="I13" s="2460"/>
      <c r="J13" s="3277"/>
      <c r="K13" s="2460">
        <v>2852.34</v>
      </c>
      <c r="L13" s="3277"/>
      <c r="M13" s="3277"/>
      <c r="N13" s="3277"/>
      <c r="O13" s="3277"/>
      <c r="P13" s="3277"/>
      <c r="Q13" s="3277"/>
      <c r="R13" s="3277"/>
      <c r="S13" s="3277"/>
      <c r="T13" s="3277"/>
      <c r="U13" s="3277"/>
      <c r="V13" s="3277"/>
      <c r="W13" s="3277"/>
      <c r="X13" s="3277"/>
      <c r="Y13" s="3277"/>
      <c r="Z13" s="3277"/>
      <c r="AA13" s="3277"/>
      <c r="AB13" s="3277"/>
      <c r="AC13" s="3245">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2534">
        <f t="shared" ref="AV13:AX17" si="6">A13</f>
        <v>0</v>
      </c>
      <c r="AW13" s="2534" t="str">
        <f t="shared" si="6"/>
        <v>5号楼</v>
      </c>
      <c r="AX13" s="2534">
        <f t="shared" si="6"/>
        <v>-101</v>
      </c>
      <c r="AY13" s="2097">
        <f>ROUND($AY$6*AZ13/$AZ$5,2)</f>
        <v>0</v>
      </c>
      <c r="AZ13" s="3245">
        <f>BA13+BL13</f>
        <v>2852.34</v>
      </c>
      <c r="BA13" s="3245">
        <f>SUM(BB13:BK13)</f>
        <v>2852.34</v>
      </c>
      <c r="BB13" s="3245">
        <f>IF($D13="是",I13-J13,0)</f>
        <v>0</v>
      </c>
      <c r="BC13" s="3245">
        <f>IF($D13="是",K13-L13,0)</f>
        <v>2852.34</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6">
        <f>IF($D13="是",AR13-AS13,0)</f>
        <v>0</v>
      </c>
    </row>
    <row r="14" s="3230" customFormat="1" ht="13.5" spans="1:72">
      <c r="A14" s="3259"/>
      <c r="B14" s="3259"/>
      <c r="C14" s="3259">
        <v>101</v>
      </c>
      <c r="D14" s="3260" t="s">
        <v>470</v>
      </c>
      <c r="E14" s="3245">
        <f>IF($C$3="是",ROUND($A$3*G14/$B$3,2),ROUND($A$3*(G14-AT14)/$B$3,2))</f>
        <v>0</v>
      </c>
      <c r="F14" s="3261"/>
      <c r="G14" s="3262">
        <f>H14+AC14+AT14</f>
        <v>1550.22</v>
      </c>
      <c r="H14" s="3248">
        <f>SUMIF(I$12:AB$12,"总值",I14:AB14)</f>
        <v>1550.22</v>
      </c>
      <c r="I14" s="2460">
        <v>1550.22</v>
      </c>
      <c r="J14" s="3277"/>
      <c r="K14" s="3277"/>
      <c r="L14" s="3277"/>
      <c r="M14" s="3277"/>
      <c r="N14" s="3277"/>
      <c r="O14" s="3277"/>
      <c r="P14" s="3277"/>
      <c r="Q14" s="3277"/>
      <c r="R14" s="3277"/>
      <c r="S14" s="3277"/>
      <c r="T14" s="3277"/>
      <c r="U14" s="3277"/>
      <c r="V14" s="3277"/>
      <c r="W14" s="3277"/>
      <c r="X14" s="3277"/>
      <c r="Y14" s="3277"/>
      <c r="Z14" s="3277"/>
      <c r="AA14" s="3277"/>
      <c r="AB14" s="3277"/>
      <c r="AC14" s="3245">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2534">
        <f t="shared" si="6"/>
        <v>0</v>
      </c>
      <c r="AW14" s="2534">
        <f t="shared" si="6"/>
        <v>0</v>
      </c>
      <c r="AX14" s="2534">
        <f t="shared" si="6"/>
        <v>101</v>
      </c>
      <c r="AY14" s="2097">
        <f>ROUND($AY$6*AZ14/$AZ$5,2)</f>
        <v>0</v>
      </c>
      <c r="AZ14" s="3245">
        <f>BA14+BL14</f>
        <v>1550.22</v>
      </c>
      <c r="BA14" s="3245">
        <f>SUM(BB14:BK14)</f>
        <v>1550.22</v>
      </c>
      <c r="BB14" s="3245">
        <f>IF($D14="是",I14-J14,0)</f>
        <v>1550.22</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6">
        <f>IF($D14="是",AR14-AS14,0)</f>
        <v>0</v>
      </c>
    </row>
    <row r="15" s="3230" customFormat="1" ht="13.5" spans="1:72">
      <c r="A15" s="3259"/>
      <c r="B15" s="3259"/>
      <c r="C15" s="3259">
        <v>201</v>
      </c>
      <c r="D15" s="3260" t="s">
        <v>470</v>
      </c>
      <c r="E15" s="3245">
        <f>IF($C$3="是",ROUND($A$3*G15/$B$3,2),ROUND($A$3*(G15-AT15)/$B$3,2))</f>
        <v>0</v>
      </c>
      <c r="F15" s="3261"/>
      <c r="G15" s="3262">
        <f>H15+AC15+AT15</f>
        <v>1568.95</v>
      </c>
      <c r="H15" s="3248">
        <f>SUMIF(I$12:AB$12,"总值",I15:AB15)</f>
        <v>1568.95</v>
      </c>
      <c r="I15" s="2460">
        <v>1568.95</v>
      </c>
      <c r="J15" s="3277"/>
      <c r="K15" s="3277"/>
      <c r="L15" s="3277"/>
      <c r="M15" s="3277"/>
      <c r="N15" s="3277"/>
      <c r="O15" s="3277"/>
      <c r="P15" s="3277"/>
      <c r="Q15" s="3277"/>
      <c r="R15" s="3277"/>
      <c r="S15" s="3277"/>
      <c r="T15" s="3277"/>
      <c r="U15" s="3277"/>
      <c r="V15" s="3277"/>
      <c r="W15" s="3277"/>
      <c r="X15" s="3277"/>
      <c r="Y15" s="3277"/>
      <c r="Z15" s="3277"/>
      <c r="AA15" s="3277"/>
      <c r="AB15" s="3277"/>
      <c r="AC15" s="3245">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2534">
        <f t="shared" si="6"/>
        <v>0</v>
      </c>
      <c r="AW15" s="2534">
        <f t="shared" si="6"/>
        <v>0</v>
      </c>
      <c r="AX15" s="2534">
        <f t="shared" si="6"/>
        <v>201</v>
      </c>
      <c r="AY15" s="2097">
        <f>ROUND($AY$6*AZ15/$AZ$5,2)</f>
        <v>0</v>
      </c>
      <c r="AZ15" s="3245">
        <f>BA15+BL15</f>
        <v>1568.95</v>
      </c>
      <c r="BA15" s="3245">
        <f>SUM(BB15:BK15)</f>
        <v>1568.95</v>
      </c>
      <c r="BB15" s="3245">
        <f>IF($D15="是",I15-J15,0)</f>
        <v>1568.95</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6">
        <f>IF($D15="是",AR15-AS15,0)</f>
        <v>0</v>
      </c>
    </row>
    <row r="16" s="3230" customFormat="1" ht="13.5" spans="1:72">
      <c r="A16" s="3259"/>
      <c r="B16" s="3259"/>
      <c r="C16" s="3259">
        <v>301</v>
      </c>
      <c r="D16" s="3260" t="s">
        <v>470</v>
      </c>
      <c r="E16" s="3245">
        <f>IF($C$3="是",ROUND($A$3*G16/$B$3,2),ROUND($A$3*(G16-AT16)/$B$3,2))</f>
        <v>0</v>
      </c>
      <c r="F16" s="3261"/>
      <c r="G16" s="3262">
        <f>H16+AC16+AT16</f>
        <v>1535.76</v>
      </c>
      <c r="H16" s="3248">
        <f>SUMIF(I$12:AB$12,"总值",I16:AB16)</f>
        <v>1535.76</v>
      </c>
      <c r="I16" s="2460">
        <v>1535.76</v>
      </c>
      <c r="J16" s="3277"/>
      <c r="K16" s="3277"/>
      <c r="L16" s="3277"/>
      <c r="M16" s="3277"/>
      <c r="N16" s="3277"/>
      <c r="O16" s="3277"/>
      <c r="P16" s="3277"/>
      <c r="Q16" s="3277"/>
      <c r="R16" s="3277"/>
      <c r="S16" s="3277"/>
      <c r="T16" s="3277"/>
      <c r="U16" s="3277"/>
      <c r="V16" s="3277"/>
      <c r="W16" s="3277"/>
      <c r="X16" s="3277"/>
      <c r="Y16" s="3277"/>
      <c r="Z16" s="3277"/>
      <c r="AA16" s="3277"/>
      <c r="AB16" s="3277"/>
      <c r="AC16" s="3245">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2534">
        <f t="shared" si="6"/>
        <v>0</v>
      </c>
      <c r="AW16" s="2534">
        <f t="shared" si="6"/>
        <v>0</v>
      </c>
      <c r="AX16" s="2534">
        <f t="shared" si="6"/>
        <v>301</v>
      </c>
      <c r="AY16" s="2097">
        <f>ROUND($AY$6*AZ16/$AZ$5,2)</f>
        <v>0</v>
      </c>
      <c r="AZ16" s="3245">
        <f>BA16+BL16</f>
        <v>1535.76</v>
      </c>
      <c r="BA16" s="3245">
        <f>SUM(BB16:BK16)</f>
        <v>1535.76</v>
      </c>
      <c r="BB16" s="3245">
        <f>IF($D16="是",I16-J16,0)</f>
        <v>1535.76</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6">
        <f>IF($D16="是",AR16-AS16,0)</f>
        <v>0</v>
      </c>
    </row>
    <row r="17" s="3230" customFormat="1" ht="13.5" spans="1:72">
      <c r="A17" s="3259"/>
      <c r="B17" s="2459" t="s">
        <v>471</v>
      </c>
      <c r="C17" s="2459" t="s">
        <v>472</v>
      </c>
      <c r="D17" s="3260" t="s">
        <v>470</v>
      </c>
      <c r="E17" s="3245">
        <f>IF($C$3="是",ROUND($A$3*G17/$B$3,2),ROUND($A$3*(G17-AT17)/$B$3,2))</f>
        <v>0</v>
      </c>
      <c r="F17" s="3261"/>
      <c r="G17" s="3262">
        <f>H17+AC17+AT17</f>
        <v>1255.99</v>
      </c>
      <c r="H17" s="3248">
        <f>SUMIF(I$12:AB$12,"总值",I17:AB17)</f>
        <v>1255.99</v>
      </c>
      <c r="I17" s="2460">
        <v>1255.99</v>
      </c>
      <c r="J17" s="3277"/>
      <c r="K17" s="3277"/>
      <c r="L17" s="3277"/>
      <c r="M17" s="3277"/>
      <c r="N17" s="3277"/>
      <c r="O17" s="3277"/>
      <c r="P17" s="3277"/>
      <c r="Q17" s="3277"/>
      <c r="R17" s="3277"/>
      <c r="S17" s="3277"/>
      <c r="T17" s="3277"/>
      <c r="U17" s="3277"/>
      <c r="V17" s="3277"/>
      <c r="W17" s="3277"/>
      <c r="X17" s="3277"/>
      <c r="Y17" s="3277"/>
      <c r="Z17" s="3277"/>
      <c r="AA17" s="3277"/>
      <c r="AB17" s="3277"/>
      <c r="AC17" s="3245">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2534">
        <f t="shared" si="6"/>
        <v>0</v>
      </c>
      <c r="AW17" s="2534" t="str">
        <f t="shared" si="6"/>
        <v>6号楼</v>
      </c>
      <c r="AX17" s="2534" t="str">
        <f t="shared" si="6"/>
        <v>1层</v>
      </c>
      <c r="AY17" s="2097">
        <f>ROUND($AY$6*AZ17/$AZ$5,2)</f>
        <v>0</v>
      </c>
      <c r="AZ17" s="3245">
        <f>BA17+BL17</f>
        <v>1255.99</v>
      </c>
      <c r="BA17" s="3245">
        <f>SUM(BB17:BK17)</f>
        <v>1255.99</v>
      </c>
      <c r="BB17" s="3245">
        <f>IF($D17="是",I17-J17,0)</f>
        <v>1255.99</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6">
        <f>IF($D17="是",AR17-AS17,0)</f>
        <v>0</v>
      </c>
    </row>
    <row r="18" spans="1:72">
      <c r="A18" s="3263"/>
      <c r="B18" s="3264"/>
      <c r="C18" s="2462" t="s">
        <v>473</v>
      </c>
      <c r="D18" s="3260" t="s">
        <v>470</v>
      </c>
      <c r="E18" s="3265">
        <f t="shared" ref="E18:E112" si="7">IF($C$3="是",ROUND($A$3*G18/$B$3,2),ROUND($A$3*(G18-AT18)/$B$3,2))</f>
        <v>0</v>
      </c>
      <c r="F18" s="3266"/>
      <c r="G18" s="3267">
        <f t="shared" ref="G18:G109" si="8">H18+AC18+AT18</f>
        <v>906.54</v>
      </c>
      <c r="H18" s="3268">
        <f t="shared" ref="H18:H109" si="9">SUMIF(I$12:AB$12,"总值",I18:AB18)</f>
        <v>906.54</v>
      </c>
      <c r="I18" s="2460">
        <v>906.54</v>
      </c>
      <c r="J18" s="3278"/>
      <c r="K18" s="3278"/>
      <c r="L18" s="3278"/>
      <c r="M18" s="3278"/>
      <c r="N18" s="3278"/>
      <c r="O18" s="3278"/>
      <c r="P18" s="3278"/>
      <c r="Q18" s="3278"/>
      <c r="R18" s="3278"/>
      <c r="S18" s="3278"/>
      <c r="T18" s="3278"/>
      <c r="U18" s="3278"/>
      <c r="V18" s="3278"/>
      <c r="W18" s="3278"/>
      <c r="X18" s="3278"/>
      <c r="Y18" s="3278"/>
      <c r="Z18" s="3278"/>
      <c r="AA18" s="3278"/>
      <c r="AB18" s="3278"/>
      <c r="AC18" s="3265">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1051">
        <f t="shared" ref="AV18:AV112" si="11">A18</f>
        <v>0</v>
      </c>
      <c r="AW18" s="1051">
        <f t="shared" ref="AW18:AW112" si="12">B18</f>
        <v>0</v>
      </c>
      <c r="AX18" s="1051" t="str">
        <f t="shared" ref="AX18:AX112" si="13">C18</f>
        <v>2层</v>
      </c>
      <c r="AY18" s="3313">
        <f t="shared" ref="AY18:AY109" si="14">ROUND($AY$6*AZ18/$AZ$5,2)</f>
        <v>0</v>
      </c>
      <c r="AZ18" s="3265">
        <f t="shared" ref="AZ18:AZ109" si="15">BA18+BL18</f>
        <v>906.54</v>
      </c>
      <c r="BA18" s="3265">
        <f t="shared" ref="BA18:BA109" si="16">SUM(BB18:BK18)</f>
        <v>906.54</v>
      </c>
      <c r="BB18" s="3265">
        <f t="shared" ref="BB18:BB109" si="17">IF($D18="是",I18-J18,0)</f>
        <v>906.54</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20">
        <f t="shared" ref="BT18:BT109" si="35">IF($D18="是",AR18-AS18,0)</f>
        <v>0</v>
      </c>
    </row>
    <row r="19" spans="1:72">
      <c r="A19" s="3263"/>
      <c r="B19" s="2462" t="s">
        <v>474</v>
      </c>
      <c r="C19" s="2459" t="s">
        <v>472</v>
      </c>
      <c r="D19" s="3260" t="s">
        <v>470</v>
      </c>
      <c r="E19" s="3265">
        <f t="shared" si="7"/>
        <v>0</v>
      </c>
      <c r="F19" s="3266"/>
      <c r="G19" s="3267">
        <f t="shared" si="8"/>
        <v>841.95</v>
      </c>
      <c r="H19" s="3268">
        <f t="shared" si="9"/>
        <v>841.95</v>
      </c>
      <c r="I19" s="2460">
        <v>841.95</v>
      </c>
      <c r="J19" s="3278"/>
      <c r="K19" s="3278"/>
      <c r="L19" s="3278"/>
      <c r="M19" s="3278"/>
      <c r="N19" s="3278"/>
      <c r="O19" s="3278"/>
      <c r="P19" s="3278"/>
      <c r="Q19" s="3278"/>
      <c r="R19" s="3278"/>
      <c r="S19" s="3278"/>
      <c r="T19" s="3278"/>
      <c r="U19" s="3278"/>
      <c r="V19" s="3278"/>
      <c r="W19" s="3278"/>
      <c r="X19" s="3278"/>
      <c r="Y19" s="3278"/>
      <c r="Z19" s="3278"/>
      <c r="AA19" s="3278"/>
      <c r="AB19" s="3278"/>
      <c r="AC19" s="3265">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1051">
        <f t="shared" si="11"/>
        <v>0</v>
      </c>
      <c r="AW19" s="1051" t="str">
        <f t="shared" si="12"/>
        <v>22号楼</v>
      </c>
      <c r="AX19" s="1051" t="str">
        <f t="shared" si="13"/>
        <v>1层</v>
      </c>
      <c r="AY19" s="3313">
        <f t="shared" si="14"/>
        <v>0</v>
      </c>
      <c r="AZ19" s="3265">
        <f t="shared" si="15"/>
        <v>841.95</v>
      </c>
      <c r="BA19" s="3265">
        <f t="shared" si="16"/>
        <v>841.95</v>
      </c>
      <c r="BB19" s="3265">
        <f t="shared" si="17"/>
        <v>841.95</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20">
        <f t="shared" si="35"/>
        <v>0</v>
      </c>
    </row>
    <row r="20" spans="1:72">
      <c r="A20" s="3263"/>
      <c r="B20" s="3264"/>
      <c r="C20" s="2462" t="s">
        <v>473</v>
      </c>
      <c r="D20" s="3260" t="s">
        <v>470</v>
      </c>
      <c r="E20" s="3265">
        <f t="shared" si="7"/>
        <v>0</v>
      </c>
      <c r="F20" s="3266"/>
      <c r="G20" s="3267">
        <f t="shared" si="8"/>
        <v>791.26</v>
      </c>
      <c r="H20" s="3268">
        <f t="shared" si="9"/>
        <v>791.26</v>
      </c>
      <c r="I20" s="2460">
        <v>791.26</v>
      </c>
      <c r="J20" s="3278"/>
      <c r="K20" s="3278"/>
      <c r="L20" s="3278"/>
      <c r="M20" s="3278"/>
      <c r="N20" s="3278"/>
      <c r="O20" s="3278"/>
      <c r="P20" s="3278"/>
      <c r="Q20" s="3278"/>
      <c r="R20" s="3278"/>
      <c r="S20" s="3278"/>
      <c r="T20" s="3278"/>
      <c r="U20" s="3278"/>
      <c r="V20" s="3278"/>
      <c r="W20" s="3278"/>
      <c r="X20" s="3278"/>
      <c r="Y20" s="3278"/>
      <c r="Z20" s="3278"/>
      <c r="AA20" s="3278"/>
      <c r="AB20" s="3278"/>
      <c r="AC20" s="3265">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1051">
        <f t="shared" si="11"/>
        <v>0</v>
      </c>
      <c r="AW20" s="1051">
        <f t="shared" si="12"/>
        <v>0</v>
      </c>
      <c r="AX20" s="1051" t="str">
        <f t="shared" si="13"/>
        <v>2层</v>
      </c>
      <c r="AY20" s="3313">
        <f t="shared" si="14"/>
        <v>0</v>
      </c>
      <c r="AZ20" s="3265">
        <f t="shared" si="15"/>
        <v>791.26</v>
      </c>
      <c r="BA20" s="3265">
        <f t="shared" si="16"/>
        <v>791.26</v>
      </c>
      <c r="BB20" s="3265">
        <f t="shared" si="17"/>
        <v>791.26</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20">
        <f t="shared" si="35"/>
        <v>0</v>
      </c>
    </row>
    <row r="21" spans="1:72">
      <c r="A21" s="3263"/>
      <c r="B21" s="3264"/>
      <c r="C21" s="2459" t="s">
        <v>475</v>
      </c>
      <c r="D21" s="3260" t="s">
        <v>470</v>
      </c>
      <c r="E21" s="3265">
        <f t="shared" si="7"/>
        <v>0</v>
      </c>
      <c r="F21" s="3266"/>
      <c r="G21" s="3267">
        <f t="shared" si="8"/>
        <v>795.71</v>
      </c>
      <c r="H21" s="3268">
        <f t="shared" si="9"/>
        <v>795.71</v>
      </c>
      <c r="I21" s="2460">
        <v>795.71</v>
      </c>
      <c r="J21" s="3278"/>
      <c r="K21" s="3278"/>
      <c r="L21" s="3278"/>
      <c r="M21" s="3278"/>
      <c r="N21" s="3278"/>
      <c r="O21" s="3278"/>
      <c r="P21" s="3278"/>
      <c r="Q21" s="3278"/>
      <c r="R21" s="3278"/>
      <c r="S21" s="3278"/>
      <c r="T21" s="3278"/>
      <c r="U21" s="3278"/>
      <c r="V21" s="3278"/>
      <c r="W21" s="3278"/>
      <c r="X21" s="3278"/>
      <c r="Y21" s="3278"/>
      <c r="Z21" s="3278"/>
      <c r="AA21" s="3278"/>
      <c r="AB21" s="3278"/>
      <c r="AC21" s="3265">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1051">
        <f t="shared" si="11"/>
        <v>0</v>
      </c>
      <c r="AW21" s="1051">
        <f t="shared" si="12"/>
        <v>0</v>
      </c>
      <c r="AX21" s="1051" t="str">
        <f t="shared" si="13"/>
        <v>3层</v>
      </c>
      <c r="AY21" s="3313">
        <f t="shared" si="14"/>
        <v>0</v>
      </c>
      <c r="AZ21" s="3265">
        <f t="shared" si="15"/>
        <v>795.71</v>
      </c>
      <c r="BA21" s="3265">
        <f t="shared" si="16"/>
        <v>795.71</v>
      </c>
      <c r="BB21" s="3265">
        <f t="shared" si="17"/>
        <v>795.71</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20">
        <f t="shared" si="35"/>
        <v>0</v>
      </c>
    </row>
    <row r="22" spans="1:72">
      <c r="A22" s="3263"/>
      <c r="B22" s="3264"/>
      <c r="C22" s="2462" t="s">
        <v>476</v>
      </c>
      <c r="D22" s="3260" t="s">
        <v>470</v>
      </c>
      <c r="E22" s="3265">
        <f t="shared" si="7"/>
        <v>0</v>
      </c>
      <c r="F22" s="3266"/>
      <c r="G22" s="3267">
        <f t="shared" si="8"/>
        <v>795.71</v>
      </c>
      <c r="H22" s="3268">
        <f t="shared" si="9"/>
        <v>795.71</v>
      </c>
      <c r="I22" s="2460">
        <v>795.71</v>
      </c>
      <c r="J22" s="3278"/>
      <c r="K22" s="3278"/>
      <c r="L22" s="3278"/>
      <c r="M22" s="3278"/>
      <c r="N22" s="3278"/>
      <c r="O22" s="3278"/>
      <c r="P22" s="3278"/>
      <c r="Q22" s="3278"/>
      <c r="R22" s="3278"/>
      <c r="S22" s="3278"/>
      <c r="T22" s="3278"/>
      <c r="U22" s="3278"/>
      <c r="V22" s="3278"/>
      <c r="W22" s="3278"/>
      <c r="X22" s="3278"/>
      <c r="Y22" s="3278"/>
      <c r="Z22" s="3278"/>
      <c r="AA22" s="3278"/>
      <c r="AB22" s="3278"/>
      <c r="AC22" s="3265">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1051">
        <f t="shared" si="11"/>
        <v>0</v>
      </c>
      <c r="AW22" s="1051">
        <f t="shared" si="12"/>
        <v>0</v>
      </c>
      <c r="AX22" s="1051" t="str">
        <f t="shared" si="13"/>
        <v>4层</v>
      </c>
      <c r="AY22" s="3313">
        <f t="shared" si="14"/>
        <v>0</v>
      </c>
      <c r="AZ22" s="3265">
        <f t="shared" si="15"/>
        <v>795.71</v>
      </c>
      <c r="BA22" s="3265">
        <f t="shared" si="16"/>
        <v>795.71</v>
      </c>
      <c r="BB22" s="3265">
        <f t="shared" si="17"/>
        <v>795.71</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20">
        <f t="shared" si="35"/>
        <v>0</v>
      </c>
    </row>
    <row r="23" spans="1:72">
      <c r="A23" s="3263"/>
      <c r="B23" s="3264"/>
      <c r="C23" s="2459" t="s">
        <v>477</v>
      </c>
      <c r="D23" s="3260" t="s">
        <v>470</v>
      </c>
      <c r="E23" s="3265">
        <f t="shared" si="7"/>
        <v>0</v>
      </c>
      <c r="F23" s="3266"/>
      <c r="G23" s="3267">
        <f t="shared" si="8"/>
        <v>795.71</v>
      </c>
      <c r="H23" s="3268">
        <f t="shared" si="9"/>
        <v>795.71</v>
      </c>
      <c r="I23" s="2460">
        <v>795.71</v>
      </c>
      <c r="J23" s="3278"/>
      <c r="K23" s="3278"/>
      <c r="L23" s="3278"/>
      <c r="M23" s="3278"/>
      <c r="N23" s="3278"/>
      <c r="O23" s="3278"/>
      <c r="P23" s="3278"/>
      <c r="Q23" s="3278"/>
      <c r="R23" s="3278"/>
      <c r="S23" s="3278"/>
      <c r="T23" s="3278"/>
      <c r="U23" s="3278"/>
      <c r="V23" s="3278"/>
      <c r="W23" s="3278"/>
      <c r="X23" s="3278"/>
      <c r="Y23" s="3278"/>
      <c r="Z23" s="3278"/>
      <c r="AA23" s="3278"/>
      <c r="AB23" s="3278"/>
      <c r="AC23" s="3265">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1051">
        <f t="shared" si="11"/>
        <v>0</v>
      </c>
      <c r="AW23" s="1051">
        <f t="shared" si="12"/>
        <v>0</v>
      </c>
      <c r="AX23" s="1051" t="str">
        <f t="shared" si="13"/>
        <v>5层</v>
      </c>
      <c r="AY23" s="3313">
        <f t="shared" si="14"/>
        <v>0</v>
      </c>
      <c r="AZ23" s="3265">
        <f t="shared" si="15"/>
        <v>795.71</v>
      </c>
      <c r="BA23" s="3265">
        <f t="shared" si="16"/>
        <v>795.71</v>
      </c>
      <c r="BB23" s="3265">
        <f t="shared" si="17"/>
        <v>795.71</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20">
        <f t="shared" si="35"/>
        <v>0</v>
      </c>
    </row>
    <row r="24" spans="1:72">
      <c r="A24" s="3263"/>
      <c r="B24" s="3264"/>
      <c r="C24" s="2462" t="s">
        <v>478</v>
      </c>
      <c r="D24" s="3260" t="s">
        <v>470</v>
      </c>
      <c r="E24" s="3265">
        <f t="shared" si="7"/>
        <v>0</v>
      </c>
      <c r="F24" s="3266"/>
      <c r="G24" s="3267">
        <f t="shared" si="8"/>
        <v>791.26</v>
      </c>
      <c r="H24" s="3268">
        <f t="shared" si="9"/>
        <v>791.26</v>
      </c>
      <c r="I24" s="2460">
        <v>791.26</v>
      </c>
      <c r="J24" s="3278"/>
      <c r="K24" s="3278"/>
      <c r="L24" s="3278"/>
      <c r="M24" s="3278"/>
      <c r="N24" s="3278"/>
      <c r="O24" s="3278"/>
      <c r="P24" s="3278"/>
      <c r="Q24" s="3278"/>
      <c r="R24" s="3278"/>
      <c r="S24" s="3278"/>
      <c r="T24" s="3278"/>
      <c r="U24" s="3278"/>
      <c r="V24" s="3278"/>
      <c r="W24" s="3278"/>
      <c r="X24" s="3278"/>
      <c r="Y24" s="3278"/>
      <c r="Z24" s="3278"/>
      <c r="AA24" s="3278"/>
      <c r="AB24" s="3278"/>
      <c r="AC24" s="3265">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1051">
        <f t="shared" si="11"/>
        <v>0</v>
      </c>
      <c r="AW24" s="1051">
        <f t="shared" si="12"/>
        <v>0</v>
      </c>
      <c r="AX24" s="1051" t="str">
        <f t="shared" si="13"/>
        <v>6层</v>
      </c>
      <c r="AY24" s="3313">
        <f t="shared" si="14"/>
        <v>0</v>
      </c>
      <c r="AZ24" s="3265">
        <f t="shared" si="15"/>
        <v>791.26</v>
      </c>
      <c r="BA24" s="3265">
        <f t="shared" si="16"/>
        <v>791.26</v>
      </c>
      <c r="BB24" s="3265">
        <f t="shared" si="17"/>
        <v>791.26</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20">
        <f t="shared" si="35"/>
        <v>0</v>
      </c>
    </row>
    <row r="25" spans="1:72">
      <c r="A25" s="3263"/>
      <c r="B25" s="3264"/>
      <c r="C25" s="2459" t="s">
        <v>479</v>
      </c>
      <c r="D25" s="3260" t="s">
        <v>470</v>
      </c>
      <c r="E25" s="3265">
        <f t="shared" si="7"/>
        <v>0</v>
      </c>
      <c r="F25" s="3266"/>
      <c r="G25" s="3267">
        <f t="shared" si="8"/>
        <v>791.26</v>
      </c>
      <c r="H25" s="3268">
        <f t="shared" si="9"/>
        <v>791.26</v>
      </c>
      <c r="I25" s="2460">
        <v>791.26</v>
      </c>
      <c r="J25" s="3278"/>
      <c r="K25" s="3278"/>
      <c r="L25" s="3278"/>
      <c r="M25" s="3278"/>
      <c r="N25" s="3278"/>
      <c r="O25" s="3278"/>
      <c r="P25" s="3278"/>
      <c r="Q25" s="3278"/>
      <c r="R25" s="3278"/>
      <c r="S25" s="3278"/>
      <c r="T25" s="3278"/>
      <c r="U25" s="3278"/>
      <c r="V25" s="3278"/>
      <c r="W25" s="3278"/>
      <c r="X25" s="3278"/>
      <c r="Y25" s="3278"/>
      <c r="Z25" s="3278"/>
      <c r="AA25" s="3278"/>
      <c r="AB25" s="3278"/>
      <c r="AC25" s="3265">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1051">
        <f t="shared" si="11"/>
        <v>0</v>
      </c>
      <c r="AW25" s="1051">
        <f t="shared" si="12"/>
        <v>0</v>
      </c>
      <c r="AX25" s="1051" t="str">
        <f t="shared" si="13"/>
        <v>7层</v>
      </c>
      <c r="AY25" s="3313">
        <f t="shared" si="14"/>
        <v>0</v>
      </c>
      <c r="AZ25" s="3265">
        <f t="shared" si="15"/>
        <v>791.26</v>
      </c>
      <c r="BA25" s="3265">
        <f t="shared" si="16"/>
        <v>791.26</v>
      </c>
      <c r="BB25" s="3265">
        <f t="shared" si="17"/>
        <v>791.26</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20">
        <f t="shared" si="35"/>
        <v>0</v>
      </c>
    </row>
    <row r="26" spans="1:72">
      <c r="A26" s="3263"/>
      <c r="B26" s="3264"/>
      <c r="C26" s="2462" t="s">
        <v>480</v>
      </c>
      <c r="D26" s="3260" t="s">
        <v>470</v>
      </c>
      <c r="E26" s="3265">
        <f t="shared" si="7"/>
        <v>0</v>
      </c>
      <c r="F26" s="3266"/>
      <c r="G26" s="3267">
        <f t="shared" si="8"/>
        <v>802.15</v>
      </c>
      <c r="H26" s="3268">
        <f t="shared" si="9"/>
        <v>802.15</v>
      </c>
      <c r="I26" s="2460">
        <v>802.15</v>
      </c>
      <c r="J26" s="3278"/>
      <c r="K26" s="3278"/>
      <c r="L26" s="3278"/>
      <c r="M26" s="3278"/>
      <c r="N26" s="3278"/>
      <c r="O26" s="3278"/>
      <c r="P26" s="3278"/>
      <c r="Q26" s="3278"/>
      <c r="R26" s="3278"/>
      <c r="S26" s="3278"/>
      <c r="T26" s="3278"/>
      <c r="U26" s="3278"/>
      <c r="V26" s="3278"/>
      <c r="W26" s="3278"/>
      <c r="X26" s="3278"/>
      <c r="Y26" s="3278"/>
      <c r="Z26" s="3278"/>
      <c r="AA26" s="3278"/>
      <c r="AB26" s="3278"/>
      <c r="AC26" s="3265">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1051">
        <f t="shared" si="11"/>
        <v>0</v>
      </c>
      <c r="AW26" s="1051">
        <f t="shared" si="12"/>
        <v>0</v>
      </c>
      <c r="AX26" s="1051" t="str">
        <f t="shared" si="13"/>
        <v>8层</v>
      </c>
      <c r="AY26" s="3313">
        <f t="shared" si="14"/>
        <v>0</v>
      </c>
      <c r="AZ26" s="3265">
        <f t="shared" si="15"/>
        <v>802.15</v>
      </c>
      <c r="BA26" s="3265">
        <f t="shared" si="16"/>
        <v>802.15</v>
      </c>
      <c r="BB26" s="3265">
        <f t="shared" si="17"/>
        <v>802.15</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20">
        <f t="shared" si="35"/>
        <v>0</v>
      </c>
    </row>
    <row r="27" spans="1:72">
      <c r="A27" s="3263"/>
      <c r="B27" s="3264"/>
      <c r="C27" s="2459" t="s">
        <v>481</v>
      </c>
      <c r="D27" s="3260" t="s">
        <v>470</v>
      </c>
      <c r="E27" s="3265">
        <f t="shared" si="7"/>
        <v>0</v>
      </c>
      <c r="F27" s="3266"/>
      <c r="G27" s="3267">
        <f t="shared" si="8"/>
        <v>802.15</v>
      </c>
      <c r="H27" s="3268">
        <f t="shared" si="9"/>
        <v>802.15</v>
      </c>
      <c r="I27" s="2460">
        <v>802.15</v>
      </c>
      <c r="J27" s="3278"/>
      <c r="K27" s="3278"/>
      <c r="L27" s="3278"/>
      <c r="M27" s="3278"/>
      <c r="N27" s="3278"/>
      <c r="O27" s="3278"/>
      <c r="P27" s="3278"/>
      <c r="Q27" s="3278"/>
      <c r="R27" s="3278"/>
      <c r="S27" s="3278"/>
      <c r="T27" s="3278"/>
      <c r="U27" s="3278"/>
      <c r="V27" s="3278"/>
      <c r="W27" s="3278"/>
      <c r="X27" s="3278"/>
      <c r="Y27" s="3278"/>
      <c r="Z27" s="3278"/>
      <c r="AA27" s="3278"/>
      <c r="AB27" s="3278"/>
      <c r="AC27" s="3265">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1051">
        <f t="shared" si="11"/>
        <v>0</v>
      </c>
      <c r="AW27" s="1051">
        <f t="shared" si="12"/>
        <v>0</v>
      </c>
      <c r="AX27" s="1051" t="str">
        <f t="shared" si="13"/>
        <v>9层</v>
      </c>
      <c r="AY27" s="3313">
        <f t="shared" si="14"/>
        <v>0</v>
      </c>
      <c r="AZ27" s="3265">
        <f t="shared" si="15"/>
        <v>802.15</v>
      </c>
      <c r="BA27" s="3265">
        <f t="shared" si="16"/>
        <v>802.15</v>
      </c>
      <c r="BB27" s="3265">
        <f t="shared" si="17"/>
        <v>802.15</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20">
        <f t="shared" si="35"/>
        <v>0</v>
      </c>
    </row>
    <row r="28" spans="1:72">
      <c r="A28" s="3263"/>
      <c r="B28" s="3264"/>
      <c r="C28" s="2462" t="s">
        <v>482</v>
      </c>
      <c r="D28" s="3260" t="s">
        <v>470</v>
      </c>
      <c r="E28" s="3265">
        <f t="shared" si="7"/>
        <v>0</v>
      </c>
      <c r="F28" s="3266"/>
      <c r="G28" s="3267">
        <f t="shared" si="8"/>
        <v>560.46</v>
      </c>
      <c r="H28" s="3268">
        <f t="shared" si="9"/>
        <v>560.46</v>
      </c>
      <c r="I28" s="2460">
        <v>560.46</v>
      </c>
      <c r="J28" s="3278"/>
      <c r="K28" s="3278"/>
      <c r="L28" s="3278"/>
      <c r="M28" s="3278"/>
      <c r="N28" s="3278"/>
      <c r="O28" s="3278"/>
      <c r="P28" s="3278"/>
      <c r="Q28" s="3278"/>
      <c r="R28" s="3278"/>
      <c r="S28" s="3278"/>
      <c r="T28" s="3278"/>
      <c r="U28" s="3278"/>
      <c r="V28" s="3278"/>
      <c r="W28" s="3278"/>
      <c r="X28" s="3278"/>
      <c r="Y28" s="3278"/>
      <c r="Z28" s="3278"/>
      <c r="AA28" s="3278"/>
      <c r="AB28" s="3278"/>
      <c r="AC28" s="3265">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1051">
        <f t="shared" si="11"/>
        <v>0</v>
      </c>
      <c r="AW28" s="1051">
        <f t="shared" si="12"/>
        <v>0</v>
      </c>
      <c r="AX28" s="1051" t="str">
        <f t="shared" si="13"/>
        <v>10层</v>
      </c>
      <c r="AY28" s="3313">
        <f t="shared" si="14"/>
        <v>0</v>
      </c>
      <c r="AZ28" s="3265">
        <f t="shared" si="15"/>
        <v>560.46</v>
      </c>
      <c r="BA28" s="3265">
        <f t="shared" si="16"/>
        <v>560.46</v>
      </c>
      <c r="BB28" s="3265">
        <f t="shared" si="17"/>
        <v>560.46</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20">
        <f t="shared" si="35"/>
        <v>0</v>
      </c>
    </row>
    <row r="29" spans="1:72">
      <c r="A29" s="3263"/>
      <c r="B29" s="2462" t="s">
        <v>483</v>
      </c>
      <c r="C29" s="3264">
        <v>-101</v>
      </c>
      <c r="D29" s="3260" t="s">
        <v>470</v>
      </c>
      <c r="E29" s="3265">
        <f t="shared" si="7"/>
        <v>0</v>
      </c>
      <c r="F29" s="3266"/>
      <c r="G29" s="3267">
        <f t="shared" si="8"/>
        <v>790.44</v>
      </c>
      <c r="H29" s="3268">
        <f t="shared" si="9"/>
        <v>790.44</v>
      </c>
      <c r="I29" s="2460"/>
      <c r="J29" s="3278"/>
      <c r="K29" s="2460">
        <v>790.44</v>
      </c>
      <c r="L29" s="3278"/>
      <c r="M29" s="3278"/>
      <c r="N29" s="3278"/>
      <c r="O29" s="3278"/>
      <c r="P29" s="3278"/>
      <c r="Q29" s="3278"/>
      <c r="R29" s="3278"/>
      <c r="S29" s="3278"/>
      <c r="T29" s="3278"/>
      <c r="U29" s="3278"/>
      <c r="V29" s="3278"/>
      <c r="W29" s="3278"/>
      <c r="X29" s="3278"/>
      <c r="Y29" s="3278"/>
      <c r="Z29" s="3278"/>
      <c r="AA29" s="3278"/>
      <c r="AB29" s="3278"/>
      <c r="AC29" s="3265">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1051">
        <f t="shared" si="11"/>
        <v>0</v>
      </c>
      <c r="AW29" s="1051" t="str">
        <f t="shared" si="12"/>
        <v>23号楼</v>
      </c>
      <c r="AX29" s="1051">
        <f t="shared" si="13"/>
        <v>-101</v>
      </c>
      <c r="AY29" s="3313">
        <f t="shared" si="14"/>
        <v>0</v>
      </c>
      <c r="AZ29" s="3265">
        <f t="shared" si="15"/>
        <v>790.44</v>
      </c>
      <c r="BA29" s="3265">
        <f t="shared" si="16"/>
        <v>790.44</v>
      </c>
      <c r="BB29" s="3265">
        <f t="shared" si="17"/>
        <v>0</v>
      </c>
      <c r="BC29" s="3265">
        <f t="shared" si="18"/>
        <v>790.44</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20">
        <f t="shared" si="35"/>
        <v>0</v>
      </c>
    </row>
    <row r="30" spans="1:72">
      <c r="A30" s="3263"/>
      <c r="B30" s="3264"/>
      <c r="C30" s="3264">
        <v>-102</v>
      </c>
      <c r="D30" s="3260" t="s">
        <v>470</v>
      </c>
      <c r="E30" s="3265">
        <f t="shared" si="7"/>
        <v>0</v>
      </c>
      <c r="F30" s="3266"/>
      <c r="G30" s="3267">
        <f t="shared" si="8"/>
        <v>825.68</v>
      </c>
      <c r="H30" s="3268">
        <f t="shared" si="9"/>
        <v>825.68</v>
      </c>
      <c r="I30" s="2460"/>
      <c r="J30" s="3278"/>
      <c r="K30" s="2460">
        <v>825.68</v>
      </c>
      <c r="L30" s="3278"/>
      <c r="M30" s="3278"/>
      <c r="N30" s="3278"/>
      <c r="O30" s="3278"/>
      <c r="P30" s="3278"/>
      <c r="Q30" s="3278"/>
      <c r="R30" s="3278"/>
      <c r="S30" s="3278"/>
      <c r="T30" s="3278"/>
      <c r="U30" s="3278"/>
      <c r="V30" s="3278"/>
      <c r="W30" s="3278"/>
      <c r="X30" s="3278"/>
      <c r="Y30" s="3278"/>
      <c r="Z30" s="3278"/>
      <c r="AA30" s="3278"/>
      <c r="AB30" s="3278"/>
      <c r="AC30" s="3265">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1051">
        <f t="shared" si="11"/>
        <v>0</v>
      </c>
      <c r="AW30" s="1051">
        <f t="shared" si="12"/>
        <v>0</v>
      </c>
      <c r="AX30" s="1051">
        <f t="shared" si="13"/>
        <v>-102</v>
      </c>
      <c r="AY30" s="3313">
        <f t="shared" si="14"/>
        <v>0</v>
      </c>
      <c r="AZ30" s="3265">
        <f t="shared" si="15"/>
        <v>825.68</v>
      </c>
      <c r="BA30" s="3265">
        <f t="shared" si="16"/>
        <v>825.68</v>
      </c>
      <c r="BB30" s="3265">
        <f t="shared" si="17"/>
        <v>0</v>
      </c>
      <c r="BC30" s="3265">
        <f t="shared" si="18"/>
        <v>825.68</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20">
        <f t="shared" si="35"/>
        <v>0</v>
      </c>
    </row>
    <row r="31" spans="1:72">
      <c r="A31" s="3263"/>
      <c r="B31" s="3264"/>
      <c r="C31" s="3264">
        <v>101</v>
      </c>
      <c r="D31" s="3260" t="s">
        <v>470</v>
      </c>
      <c r="E31" s="3265">
        <f t="shared" si="7"/>
        <v>0</v>
      </c>
      <c r="F31" s="3266"/>
      <c r="G31" s="3267">
        <f t="shared" si="8"/>
        <v>1542.92</v>
      </c>
      <c r="H31" s="3268">
        <f t="shared" si="9"/>
        <v>1542.92</v>
      </c>
      <c r="I31" s="2460">
        <v>1542.92</v>
      </c>
      <c r="J31" s="3278"/>
      <c r="K31" s="3278"/>
      <c r="L31" s="3278"/>
      <c r="M31" s="3278"/>
      <c r="N31" s="3278"/>
      <c r="O31" s="3278"/>
      <c r="P31" s="3278"/>
      <c r="Q31" s="3278"/>
      <c r="R31" s="3278"/>
      <c r="S31" s="3278"/>
      <c r="T31" s="3278"/>
      <c r="U31" s="3278"/>
      <c r="V31" s="3278"/>
      <c r="W31" s="3278"/>
      <c r="X31" s="3278"/>
      <c r="Y31" s="3278"/>
      <c r="Z31" s="3278"/>
      <c r="AA31" s="3278"/>
      <c r="AB31" s="3278"/>
      <c r="AC31" s="3265">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1051">
        <f t="shared" si="11"/>
        <v>0</v>
      </c>
      <c r="AW31" s="1051">
        <f t="shared" si="12"/>
        <v>0</v>
      </c>
      <c r="AX31" s="1051">
        <f t="shared" si="13"/>
        <v>101</v>
      </c>
      <c r="AY31" s="3313">
        <f t="shared" si="14"/>
        <v>0</v>
      </c>
      <c r="AZ31" s="3265">
        <f t="shared" si="15"/>
        <v>1542.92</v>
      </c>
      <c r="BA31" s="3265">
        <f t="shared" si="16"/>
        <v>1542.92</v>
      </c>
      <c r="BB31" s="3265">
        <f t="shared" si="17"/>
        <v>1542.92</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20">
        <f t="shared" si="35"/>
        <v>0</v>
      </c>
    </row>
    <row r="32" spans="1:72">
      <c r="A32" s="3263"/>
      <c r="B32" s="3264"/>
      <c r="C32" s="3264">
        <v>201</v>
      </c>
      <c r="D32" s="3260" t="s">
        <v>470</v>
      </c>
      <c r="E32" s="3265">
        <f t="shared" si="7"/>
        <v>0</v>
      </c>
      <c r="F32" s="3266"/>
      <c r="G32" s="3267">
        <f t="shared" si="8"/>
        <v>439.7</v>
      </c>
      <c r="H32" s="3268">
        <f t="shared" si="9"/>
        <v>439.7</v>
      </c>
      <c r="I32" s="2460">
        <v>439.7</v>
      </c>
      <c r="J32" s="3278"/>
      <c r="K32" s="3278"/>
      <c r="L32" s="3278"/>
      <c r="M32" s="3278"/>
      <c r="N32" s="3278"/>
      <c r="O32" s="3278"/>
      <c r="P32" s="3278"/>
      <c r="Q32" s="3278"/>
      <c r="R32" s="3278"/>
      <c r="S32" s="3278"/>
      <c r="T32" s="3278"/>
      <c r="U32" s="3278"/>
      <c r="V32" s="3278"/>
      <c r="W32" s="3278"/>
      <c r="X32" s="3278"/>
      <c r="Y32" s="3278"/>
      <c r="Z32" s="3278"/>
      <c r="AA32" s="3278"/>
      <c r="AB32" s="3278"/>
      <c r="AC32" s="3265">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1051">
        <f t="shared" si="11"/>
        <v>0</v>
      </c>
      <c r="AW32" s="1051">
        <f t="shared" si="12"/>
        <v>0</v>
      </c>
      <c r="AX32" s="1051">
        <f t="shared" si="13"/>
        <v>201</v>
      </c>
      <c r="AY32" s="3313">
        <f t="shared" si="14"/>
        <v>0</v>
      </c>
      <c r="AZ32" s="3265">
        <f t="shared" si="15"/>
        <v>439.7</v>
      </c>
      <c r="BA32" s="3265">
        <f t="shared" si="16"/>
        <v>439.7</v>
      </c>
      <c r="BB32" s="3265">
        <f t="shared" si="17"/>
        <v>439.7</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20">
        <f t="shared" si="35"/>
        <v>0</v>
      </c>
    </row>
    <row r="33" spans="1:72">
      <c r="A33" s="3263"/>
      <c r="B33" s="3264"/>
      <c r="C33" s="3264">
        <v>202</v>
      </c>
      <c r="D33" s="3260" t="s">
        <v>470</v>
      </c>
      <c r="E33" s="3265">
        <f t="shared" si="7"/>
        <v>0</v>
      </c>
      <c r="F33" s="3266"/>
      <c r="G33" s="3267">
        <f t="shared" si="8"/>
        <v>528.95</v>
      </c>
      <c r="H33" s="3268">
        <f t="shared" si="9"/>
        <v>528.95</v>
      </c>
      <c r="I33" s="2460">
        <v>528.95</v>
      </c>
      <c r="J33" s="3278"/>
      <c r="K33" s="3278"/>
      <c r="L33" s="3278"/>
      <c r="M33" s="3278"/>
      <c r="N33" s="3278"/>
      <c r="O33" s="3278"/>
      <c r="P33" s="3278"/>
      <c r="Q33" s="3278"/>
      <c r="R33" s="3278"/>
      <c r="S33" s="3278"/>
      <c r="T33" s="3278"/>
      <c r="U33" s="3278"/>
      <c r="V33" s="3278"/>
      <c r="W33" s="3278"/>
      <c r="X33" s="3278"/>
      <c r="Y33" s="3278"/>
      <c r="Z33" s="3278"/>
      <c r="AA33" s="3278"/>
      <c r="AB33" s="3278"/>
      <c r="AC33" s="3265">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1051">
        <f t="shared" si="11"/>
        <v>0</v>
      </c>
      <c r="AW33" s="1051">
        <f t="shared" si="12"/>
        <v>0</v>
      </c>
      <c r="AX33" s="1051">
        <f t="shared" si="13"/>
        <v>202</v>
      </c>
      <c r="AY33" s="3313">
        <f t="shared" si="14"/>
        <v>0</v>
      </c>
      <c r="AZ33" s="3265">
        <f t="shared" si="15"/>
        <v>528.95</v>
      </c>
      <c r="BA33" s="3265">
        <f t="shared" si="16"/>
        <v>528.95</v>
      </c>
      <c r="BB33" s="3265">
        <f t="shared" si="17"/>
        <v>528.95</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20">
        <f t="shared" si="35"/>
        <v>0</v>
      </c>
    </row>
    <row r="34" spans="1:72">
      <c r="A34" s="3263"/>
      <c r="B34" s="3264"/>
      <c r="C34" s="2460">
        <v>301</v>
      </c>
      <c r="D34" s="3260" t="s">
        <v>470</v>
      </c>
      <c r="E34" s="3265">
        <f t="shared" si="7"/>
        <v>0</v>
      </c>
      <c r="F34" s="3266"/>
      <c r="G34" s="3267">
        <f t="shared" si="8"/>
        <v>528.95</v>
      </c>
      <c r="H34" s="3268">
        <f t="shared" si="9"/>
        <v>528.95</v>
      </c>
      <c r="I34" s="2460">
        <v>528.95</v>
      </c>
      <c r="J34" s="3278"/>
      <c r="K34" s="3278"/>
      <c r="L34" s="3278"/>
      <c r="M34" s="3278"/>
      <c r="N34" s="3278"/>
      <c r="O34" s="3278"/>
      <c r="P34" s="3278"/>
      <c r="Q34" s="3278"/>
      <c r="R34" s="3278"/>
      <c r="S34" s="3278"/>
      <c r="T34" s="3278"/>
      <c r="U34" s="3278"/>
      <c r="V34" s="3278"/>
      <c r="W34" s="3278"/>
      <c r="X34" s="3278"/>
      <c r="Y34" s="3278"/>
      <c r="Z34" s="3278"/>
      <c r="AA34" s="3278"/>
      <c r="AB34" s="3278"/>
      <c r="AC34" s="3265">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1051">
        <f t="shared" si="11"/>
        <v>0</v>
      </c>
      <c r="AW34" s="1051">
        <f t="shared" si="12"/>
        <v>0</v>
      </c>
      <c r="AX34" s="1051">
        <f t="shared" si="13"/>
        <v>301</v>
      </c>
      <c r="AY34" s="3313">
        <f t="shared" si="14"/>
        <v>0</v>
      </c>
      <c r="AZ34" s="3265">
        <f t="shared" si="15"/>
        <v>528.95</v>
      </c>
      <c r="BA34" s="3265">
        <f t="shared" si="16"/>
        <v>528.95</v>
      </c>
      <c r="BB34" s="3265">
        <f t="shared" si="17"/>
        <v>528.95</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20">
        <f t="shared" si="35"/>
        <v>0</v>
      </c>
    </row>
    <row r="35" spans="1:72">
      <c r="A35" s="3263"/>
      <c r="B35" s="3264"/>
      <c r="C35" s="3269">
        <v>401</v>
      </c>
      <c r="D35" s="3260" t="s">
        <v>470</v>
      </c>
      <c r="E35" s="3265">
        <f t="shared" si="7"/>
        <v>0</v>
      </c>
      <c r="F35" s="3266"/>
      <c r="G35" s="3267">
        <f t="shared" si="8"/>
        <v>559.13</v>
      </c>
      <c r="H35" s="3268">
        <f t="shared" si="9"/>
        <v>559.13</v>
      </c>
      <c r="I35" s="2460">
        <v>559.13</v>
      </c>
      <c r="J35" s="3278"/>
      <c r="K35" s="3278"/>
      <c r="L35" s="3278"/>
      <c r="M35" s="3278"/>
      <c r="N35" s="3278"/>
      <c r="O35" s="3278"/>
      <c r="P35" s="3278"/>
      <c r="Q35" s="3278"/>
      <c r="R35" s="3278"/>
      <c r="S35" s="3278"/>
      <c r="T35" s="3278"/>
      <c r="U35" s="3278"/>
      <c r="V35" s="3278"/>
      <c r="W35" s="3278"/>
      <c r="X35" s="3278"/>
      <c r="Y35" s="3278"/>
      <c r="Z35" s="3278"/>
      <c r="AA35" s="3278"/>
      <c r="AB35" s="3278"/>
      <c r="AC35" s="3265">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1051">
        <f t="shared" si="11"/>
        <v>0</v>
      </c>
      <c r="AW35" s="1051">
        <f t="shared" si="12"/>
        <v>0</v>
      </c>
      <c r="AX35" s="1051">
        <f t="shared" si="13"/>
        <v>401</v>
      </c>
      <c r="AY35" s="3313">
        <f t="shared" si="14"/>
        <v>0</v>
      </c>
      <c r="AZ35" s="3265">
        <f t="shared" si="15"/>
        <v>559.13</v>
      </c>
      <c r="BA35" s="3265">
        <f t="shared" si="16"/>
        <v>559.13</v>
      </c>
      <c r="BB35" s="3265">
        <f t="shared" si="17"/>
        <v>559.13</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20">
        <f t="shared" si="35"/>
        <v>0</v>
      </c>
    </row>
    <row r="36" spans="1:72">
      <c r="A36" s="3263"/>
      <c r="B36" s="3264"/>
      <c r="C36" s="3269">
        <v>501</v>
      </c>
      <c r="D36" s="3260" t="s">
        <v>470</v>
      </c>
      <c r="E36" s="3265">
        <f t="shared" si="7"/>
        <v>0</v>
      </c>
      <c r="F36" s="3266"/>
      <c r="G36" s="3267">
        <f t="shared" si="8"/>
        <v>548.94</v>
      </c>
      <c r="H36" s="3268">
        <f t="shared" si="9"/>
        <v>548.94</v>
      </c>
      <c r="I36" s="2460">
        <v>548.94</v>
      </c>
      <c r="J36" s="3278"/>
      <c r="K36" s="3278"/>
      <c r="L36" s="3278"/>
      <c r="M36" s="3278"/>
      <c r="N36" s="3278"/>
      <c r="O36" s="3278"/>
      <c r="P36" s="3278"/>
      <c r="Q36" s="3278"/>
      <c r="R36" s="3278"/>
      <c r="S36" s="3278"/>
      <c r="T36" s="3278"/>
      <c r="U36" s="3278"/>
      <c r="V36" s="3278"/>
      <c r="W36" s="3278"/>
      <c r="X36" s="3278"/>
      <c r="Y36" s="3278"/>
      <c r="Z36" s="3278"/>
      <c r="AA36" s="3278"/>
      <c r="AB36" s="3278"/>
      <c r="AC36" s="3265">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1051">
        <f t="shared" si="11"/>
        <v>0</v>
      </c>
      <c r="AW36" s="1051">
        <f t="shared" si="12"/>
        <v>0</v>
      </c>
      <c r="AX36" s="1051">
        <f t="shared" si="13"/>
        <v>501</v>
      </c>
      <c r="AY36" s="3313">
        <f t="shared" si="14"/>
        <v>0</v>
      </c>
      <c r="AZ36" s="3265">
        <f t="shared" si="15"/>
        <v>548.94</v>
      </c>
      <c r="BA36" s="3265">
        <f t="shared" si="16"/>
        <v>548.94</v>
      </c>
      <c r="BB36" s="3265">
        <f t="shared" si="17"/>
        <v>548.94</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20">
        <f t="shared" si="35"/>
        <v>0</v>
      </c>
    </row>
    <row r="37" spans="1:72">
      <c r="A37" s="3263"/>
      <c r="B37" s="2462" t="s">
        <v>484</v>
      </c>
      <c r="C37" s="3264">
        <v>-101</v>
      </c>
      <c r="D37" s="3260" t="s">
        <v>470</v>
      </c>
      <c r="E37" s="3265">
        <f t="shared" si="7"/>
        <v>0</v>
      </c>
      <c r="F37" s="3266"/>
      <c r="G37" s="3267">
        <f t="shared" si="8"/>
        <v>378.85</v>
      </c>
      <c r="H37" s="3268">
        <f t="shared" si="9"/>
        <v>378.85</v>
      </c>
      <c r="I37" s="2460"/>
      <c r="J37" s="3278"/>
      <c r="K37" s="2460">
        <v>378.85</v>
      </c>
      <c r="L37" s="3278"/>
      <c r="M37" s="3278"/>
      <c r="N37" s="3278"/>
      <c r="O37" s="3278"/>
      <c r="P37" s="3278"/>
      <c r="Q37" s="3278"/>
      <c r="R37" s="3278"/>
      <c r="S37" s="3278"/>
      <c r="T37" s="3278"/>
      <c r="U37" s="3278"/>
      <c r="V37" s="3278"/>
      <c r="W37" s="3278"/>
      <c r="X37" s="3278"/>
      <c r="Y37" s="3278"/>
      <c r="Z37" s="3278"/>
      <c r="AA37" s="3278"/>
      <c r="AB37" s="3278"/>
      <c r="AC37" s="3265">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1051">
        <f t="shared" si="11"/>
        <v>0</v>
      </c>
      <c r="AW37" s="1051" t="str">
        <f t="shared" si="12"/>
        <v>24号楼</v>
      </c>
      <c r="AX37" s="1051">
        <f t="shared" si="13"/>
        <v>-101</v>
      </c>
      <c r="AY37" s="3313">
        <f t="shared" si="14"/>
        <v>0</v>
      </c>
      <c r="AZ37" s="3265">
        <f t="shared" si="15"/>
        <v>378.85</v>
      </c>
      <c r="BA37" s="3265">
        <f t="shared" si="16"/>
        <v>378.85</v>
      </c>
      <c r="BB37" s="3265">
        <f t="shared" si="17"/>
        <v>0</v>
      </c>
      <c r="BC37" s="3265">
        <f t="shared" si="18"/>
        <v>378.85</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20">
        <f t="shared" si="35"/>
        <v>0</v>
      </c>
    </row>
    <row r="38" spans="1:72">
      <c r="A38" s="3263"/>
      <c r="B38" s="3264"/>
      <c r="C38" s="3264">
        <v>-102</v>
      </c>
      <c r="D38" s="3260" t="s">
        <v>470</v>
      </c>
      <c r="E38" s="3265">
        <f t="shared" si="7"/>
        <v>0</v>
      </c>
      <c r="F38" s="3266"/>
      <c r="G38" s="3267">
        <f t="shared" si="8"/>
        <v>899.91</v>
      </c>
      <c r="H38" s="3268">
        <f t="shared" si="9"/>
        <v>899.91</v>
      </c>
      <c r="I38" s="2460"/>
      <c r="J38" s="3278"/>
      <c r="K38" s="2460">
        <v>899.91</v>
      </c>
      <c r="L38" s="3278"/>
      <c r="M38" s="3278"/>
      <c r="N38" s="3278"/>
      <c r="O38" s="3278"/>
      <c r="P38" s="3278"/>
      <c r="Q38" s="3278"/>
      <c r="R38" s="3278"/>
      <c r="S38" s="3278"/>
      <c r="T38" s="3278"/>
      <c r="U38" s="3278"/>
      <c r="V38" s="3278"/>
      <c r="W38" s="3278"/>
      <c r="X38" s="3278"/>
      <c r="Y38" s="3278"/>
      <c r="Z38" s="3278"/>
      <c r="AA38" s="3278"/>
      <c r="AB38" s="3278"/>
      <c r="AC38" s="3265">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1051">
        <f t="shared" si="11"/>
        <v>0</v>
      </c>
      <c r="AW38" s="1051">
        <f t="shared" si="12"/>
        <v>0</v>
      </c>
      <c r="AX38" s="1051">
        <f t="shared" si="13"/>
        <v>-102</v>
      </c>
      <c r="AY38" s="3313">
        <f t="shared" si="14"/>
        <v>0</v>
      </c>
      <c r="AZ38" s="3265">
        <f t="shared" si="15"/>
        <v>899.91</v>
      </c>
      <c r="BA38" s="3265">
        <f t="shared" si="16"/>
        <v>899.91</v>
      </c>
      <c r="BB38" s="3265">
        <f t="shared" si="17"/>
        <v>0</v>
      </c>
      <c r="BC38" s="3265">
        <f t="shared" si="18"/>
        <v>899.91</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20">
        <f t="shared" si="35"/>
        <v>0</v>
      </c>
    </row>
    <row r="39" spans="1:72">
      <c r="A39" s="3263"/>
      <c r="B39" s="3264"/>
      <c r="C39" s="3264">
        <v>101</v>
      </c>
      <c r="D39" s="3260" t="s">
        <v>470</v>
      </c>
      <c r="E39" s="3265">
        <f t="shared" si="7"/>
        <v>0</v>
      </c>
      <c r="F39" s="3266"/>
      <c r="G39" s="3267">
        <f t="shared" si="8"/>
        <v>1428.63</v>
      </c>
      <c r="H39" s="3268">
        <f t="shared" si="9"/>
        <v>1428.63</v>
      </c>
      <c r="I39" s="2460">
        <v>1428.63</v>
      </c>
      <c r="J39" s="3278"/>
      <c r="K39" s="3278"/>
      <c r="L39" s="3278"/>
      <c r="M39" s="3278"/>
      <c r="N39" s="3278"/>
      <c r="O39" s="3278"/>
      <c r="P39" s="3278"/>
      <c r="Q39" s="3278"/>
      <c r="R39" s="3278"/>
      <c r="S39" s="3278"/>
      <c r="T39" s="3278"/>
      <c r="U39" s="3278"/>
      <c r="V39" s="3278"/>
      <c r="W39" s="3278"/>
      <c r="X39" s="3278"/>
      <c r="Y39" s="3278"/>
      <c r="Z39" s="3278"/>
      <c r="AA39" s="3278"/>
      <c r="AB39" s="3278"/>
      <c r="AC39" s="3265">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1051">
        <f t="shared" si="11"/>
        <v>0</v>
      </c>
      <c r="AW39" s="1051">
        <f t="shared" si="12"/>
        <v>0</v>
      </c>
      <c r="AX39" s="1051">
        <f t="shared" si="13"/>
        <v>101</v>
      </c>
      <c r="AY39" s="3313">
        <f t="shared" si="14"/>
        <v>0</v>
      </c>
      <c r="AZ39" s="3265">
        <f t="shared" si="15"/>
        <v>1428.63</v>
      </c>
      <c r="BA39" s="3265">
        <f t="shared" si="16"/>
        <v>1428.63</v>
      </c>
      <c r="BB39" s="3265">
        <f t="shared" si="17"/>
        <v>1428.63</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20">
        <f t="shared" si="35"/>
        <v>0</v>
      </c>
    </row>
    <row r="40" spans="1:72">
      <c r="A40" s="3263"/>
      <c r="B40" s="3264"/>
      <c r="C40" s="3264">
        <v>201</v>
      </c>
      <c r="D40" s="3260" t="s">
        <v>470</v>
      </c>
      <c r="E40" s="3265">
        <f t="shared" si="7"/>
        <v>0</v>
      </c>
      <c r="F40" s="3266"/>
      <c r="G40" s="3267">
        <f t="shared" si="8"/>
        <v>451.64</v>
      </c>
      <c r="H40" s="3268">
        <f t="shared" si="9"/>
        <v>451.64</v>
      </c>
      <c r="I40" s="2460">
        <v>451.64</v>
      </c>
      <c r="J40" s="3278"/>
      <c r="K40" s="3278"/>
      <c r="L40" s="3278"/>
      <c r="M40" s="3278"/>
      <c r="N40" s="3278"/>
      <c r="O40" s="3278"/>
      <c r="P40" s="3278"/>
      <c r="Q40" s="3278"/>
      <c r="R40" s="3278"/>
      <c r="S40" s="3278"/>
      <c r="T40" s="3278"/>
      <c r="U40" s="3278"/>
      <c r="V40" s="3278"/>
      <c r="W40" s="3278"/>
      <c r="X40" s="3278"/>
      <c r="Y40" s="3278"/>
      <c r="Z40" s="3278"/>
      <c r="AA40" s="3278"/>
      <c r="AB40" s="3278"/>
      <c r="AC40" s="3265">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1051">
        <f t="shared" si="11"/>
        <v>0</v>
      </c>
      <c r="AW40" s="1051">
        <f t="shared" si="12"/>
        <v>0</v>
      </c>
      <c r="AX40" s="1051">
        <f t="shared" si="13"/>
        <v>201</v>
      </c>
      <c r="AY40" s="3313">
        <f t="shared" si="14"/>
        <v>0</v>
      </c>
      <c r="AZ40" s="3265">
        <f t="shared" si="15"/>
        <v>451.64</v>
      </c>
      <c r="BA40" s="3265">
        <f t="shared" si="16"/>
        <v>451.64</v>
      </c>
      <c r="BB40" s="3265">
        <f t="shared" si="17"/>
        <v>451.64</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20">
        <f t="shared" si="35"/>
        <v>0</v>
      </c>
    </row>
    <row r="41" spans="1:72">
      <c r="A41" s="3263"/>
      <c r="B41" s="3264"/>
      <c r="C41" s="3264">
        <v>202</v>
      </c>
      <c r="D41" s="3260" t="s">
        <v>470</v>
      </c>
      <c r="E41" s="3265">
        <f t="shared" si="7"/>
        <v>0</v>
      </c>
      <c r="F41" s="3266"/>
      <c r="G41" s="3267">
        <f t="shared" si="8"/>
        <v>358.18</v>
      </c>
      <c r="H41" s="3268">
        <f t="shared" si="9"/>
        <v>358.18</v>
      </c>
      <c r="I41" s="2460">
        <v>358.18</v>
      </c>
      <c r="J41" s="3278"/>
      <c r="K41" s="3278"/>
      <c r="L41" s="3278"/>
      <c r="M41" s="3278"/>
      <c r="N41" s="3278"/>
      <c r="O41" s="3278"/>
      <c r="P41" s="3278"/>
      <c r="Q41" s="3278"/>
      <c r="R41" s="3278"/>
      <c r="S41" s="3278"/>
      <c r="T41" s="3278"/>
      <c r="U41" s="3278"/>
      <c r="V41" s="3278"/>
      <c r="W41" s="3278"/>
      <c r="X41" s="3278"/>
      <c r="Y41" s="3278"/>
      <c r="Z41" s="3278"/>
      <c r="AA41" s="3278"/>
      <c r="AB41" s="3278"/>
      <c r="AC41" s="3265">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1051">
        <f t="shared" si="11"/>
        <v>0</v>
      </c>
      <c r="AW41" s="1051">
        <f t="shared" si="12"/>
        <v>0</v>
      </c>
      <c r="AX41" s="1051">
        <f t="shared" si="13"/>
        <v>202</v>
      </c>
      <c r="AY41" s="3313">
        <f t="shared" si="14"/>
        <v>0</v>
      </c>
      <c r="AZ41" s="3265">
        <f t="shared" si="15"/>
        <v>358.18</v>
      </c>
      <c r="BA41" s="3265">
        <f t="shared" si="16"/>
        <v>358.18</v>
      </c>
      <c r="BB41" s="3265">
        <f t="shared" si="17"/>
        <v>358.18</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20">
        <f t="shared" si="35"/>
        <v>0</v>
      </c>
    </row>
    <row r="42" spans="1:72">
      <c r="A42" s="3263"/>
      <c r="B42" s="3264"/>
      <c r="C42" s="3264">
        <v>301</v>
      </c>
      <c r="D42" s="3260" t="s">
        <v>470</v>
      </c>
      <c r="E42" s="3265">
        <f t="shared" si="7"/>
        <v>0</v>
      </c>
      <c r="F42" s="3266"/>
      <c r="G42" s="3267">
        <f t="shared" si="8"/>
        <v>451.64</v>
      </c>
      <c r="H42" s="3268">
        <f t="shared" si="9"/>
        <v>451.64</v>
      </c>
      <c r="I42" s="2460">
        <v>451.64</v>
      </c>
      <c r="J42" s="3278"/>
      <c r="K42" s="3278"/>
      <c r="L42" s="3278"/>
      <c r="M42" s="3278"/>
      <c r="N42" s="3278"/>
      <c r="O42" s="3278"/>
      <c r="P42" s="3278"/>
      <c r="Q42" s="3278"/>
      <c r="R42" s="3278"/>
      <c r="S42" s="3278"/>
      <c r="T42" s="3278"/>
      <c r="U42" s="3278"/>
      <c r="V42" s="3278"/>
      <c r="W42" s="3278"/>
      <c r="X42" s="3278"/>
      <c r="Y42" s="3278"/>
      <c r="Z42" s="3278"/>
      <c r="AA42" s="3278"/>
      <c r="AB42" s="3278"/>
      <c r="AC42" s="3265">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1051">
        <f t="shared" si="11"/>
        <v>0</v>
      </c>
      <c r="AW42" s="1051">
        <f t="shared" si="12"/>
        <v>0</v>
      </c>
      <c r="AX42" s="1051">
        <f t="shared" si="13"/>
        <v>301</v>
      </c>
      <c r="AY42" s="3313">
        <f t="shared" si="14"/>
        <v>0</v>
      </c>
      <c r="AZ42" s="3265">
        <f t="shared" si="15"/>
        <v>451.64</v>
      </c>
      <c r="BA42" s="3265">
        <f t="shared" si="16"/>
        <v>451.64</v>
      </c>
      <c r="BB42" s="3265">
        <f t="shared" si="17"/>
        <v>451.64</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20">
        <f t="shared" si="35"/>
        <v>0</v>
      </c>
    </row>
    <row r="43" spans="1:72">
      <c r="A43" s="3263"/>
      <c r="B43" s="2462" t="s">
        <v>485</v>
      </c>
      <c r="C43" s="2460">
        <v>-101</v>
      </c>
      <c r="D43" s="3260" t="s">
        <v>470</v>
      </c>
      <c r="E43" s="3265">
        <f t="shared" si="7"/>
        <v>0</v>
      </c>
      <c r="F43" s="3266"/>
      <c r="G43" s="3267">
        <f t="shared" si="8"/>
        <v>975.67</v>
      </c>
      <c r="H43" s="3268">
        <f t="shared" si="9"/>
        <v>975.67</v>
      </c>
      <c r="I43" s="2460"/>
      <c r="J43" s="3278"/>
      <c r="K43" s="2460">
        <v>975.67</v>
      </c>
      <c r="L43" s="3278"/>
      <c r="M43" s="3278"/>
      <c r="N43" s="3278"/>
      <c r="O43" s="3278"/>
      <c r="P43" s="3278"/>
      <c r="Q43" s="3278"/>
      <c r="R43" s="3278"/>
      <c r="S43" s="3278"/>
      <c r="T43" s="3278"/>
      <c r="U43" s="3278"/>
      <c r="V43" s="3278"/>
      <c r="W43" s="3278"/>
      <c r="X43" s="3278"/>
      <c r="Y43" s="3278"/>
      <c r="Z43" s="3278"/>
      <c r="AA43" s="3278"/>
      <c r="AB43" s="3278"/>
      <c r="AC43" s="3265">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1051">
        <f t="shared" si="11"/>
        <v>0</v>
      </c>
      <c r="AW43" s="1051" t="str">
        <f t="shared" si="12"/>
        <v>25号楼</v>
      </c>
      <c r="AX43" s="1051">
        <f t="shared" si="13"/>
        <v>-101</v>
      </c>
      <c r="AY43" s="3313">
        <f t="shared" si="14"/>
        <v>0</v>
      </c>
      <c r="AZ43" s="3265">
        <f t="shared" si="15"/>
        <v>975.67</v>
      </c>
      <c r="BA43" s="3265">
        <f t="shared" si="16"/>
        <v>975.67</v>
      </c>
      <c r="BB43" s="3265">
        <f t="shared" si="17"/>
        <v>0</v>
      </c>
      <c r="BC43" s="3265">
        <f t="shared" si="18"/>
        <v>975.67</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20">
        <f t="shared" si="35"/>
        <v>0</v>
      </c>
    </row>
    <row r="44" spans="1:72">
      <c r="A44" s="3263"/>
      <c r="B44" s="3264"/>
      <c r="C44" s="2460">
        <v>-102</v>
      </c>
      <c r="D44" s="3260" t="s">
        <v>470</v>
      </c>
      <c r="E44" s="3265">
        <f t="shared" si="7"/>
        <v>0</v>
      </c>
      <c r="F44" s="3266"/>
      <c r="G44" s="3267">
        <f t="shared" si="8"/>
        <v>656.81</v>
      </c>
      <c r="H44" s="3268">
        <f t="shared" si="9"/>
        <v>656.81</v>
      </c>
      <c r="I44" s="2460"/>
      <c r="J44" s="3278"/>
      <c r="K44" s="2460">
        <v>656.81</v>
      </c>
      <c r="L44" s="3278"/>
      <c r="M44" s="3278"/>
      <c r="N44" s="3278"/>
      <c r="O44" s="3278"/>
      <c r="P44" s="3278"/>
      <c r="Q44" s="3278"/>
      <c r="R44" s="3278"/>
      <c r="S44" s="3278"/>
      <c r="T44" s="3278"/>
      <c r="U44" s="3278"/>
      <c r="V44" s="3278"/>
      <c r="W44" s="3278"/>
      <c r="X44" s="3278"/>
      <c r="Y44" s="3278"/>
      <c r="Z44" s="3278"/>
      <c r="AA44" s="3278"/>
      <c r="AB44" s="3278"/>
      <c r="AC44" s="3265">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1051">
        <f t="shared" si="11"/>
        <v>0</v>
      </c>
      <c r="AW44" s="1051">
        <f t="shared" si="12"/>
        <v>0</v>
      </c>
      <c r="AX44" s="1051">
        <f t="shared" si="13"/>
        <v>-102</v>
      </c>
      <c r="AY44" s="3313">
        <f t="shared" si="14"/>
        <v>0</v>
      </c>
      <c r="AZ44" s="3265">
        <f t="shared" si="15"/>
        <v>656.81</v>
      </c>
      <c r="BA44" s="3265">
        <f t="shared" si="16"/>
        <v>656.81</v>
      </c>
      <c r="BB44" s="3265">
        <f t="shared" si="17"/>
        <v>0</v>
      </c>
      <c r="BC44" s="3265">
        <f t="shared" si="18"/>
        <v>656.81</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20">
        <f t="shared" si="35"/>
        <v>0</v>
      </c>
    </row>
    <row r="45" spans="1:72">
      <c r="A45" s="3263"/>
      <c r="B45" s="3264"/>
      <c r="C45" s="2460">
        <v>101</v>
      </c>
      <c r="D45" s="3260" t="s">
        <v>470</v>
      </c>
      <c r="E45" s="3265">
        <f t="shared" si="7"/>
        <v>0</v>
      </c>
      <c r="F45" s="3266"/>
      <c r="G45" s="3267">
        <f t="shared" si="8"/>
        <v>156.24</v>
      </c>
      <c r="H45" s="3268">
        <f t="shared" si="9"/>
        <v>156.24</v>
      </c>
      <c r="I45" s="2460">
        <v>156.24</v>
      </c>
      <c r="J45" s="3278"/>
      <c r="K45" s="3278"/>
      <c r="L45" s="3278"/>
      <c r="M45" s="3278"/>
      <c r="N45" s="3278"/>
      <c r="O45" s="3278"/>
      <c r="P45" s="3278"/>
      <c r="Q45" s="3278"/>
      <c r="R45" s="3278"/>
      <c r="S45" s="3278"/>
      <c r="T45" s="3278"/>
      <c r="U45" s="3278"/>
      <c r="V45" s="3278"/>
      <c r="W45" s="3278"/>
      <c r="X45" s="3278"/>
      <c r="Y45" s="3278"/>
      <c r="Z45" s="3278"/>
      <c r="AA45" s="3278"/>
      <c r="AB45" s="3278"/>
      <c r="AC45" s="3265">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1051">
        <f t="shared" si="11"/>
        <v>0</v>
      </c>
      <c r="AW45" s="1051">
        <f t="shared" si="12"/>
        <v>0</v>
      </c>
      <c r="AX45" s="1051">
        <f t="shared" si="13"/>
        <v>101</v>
      </c>
      <c r="AY45" s="3313">
        <f t="shared" si="14"/>
        <v>0</v>
      </c>
      <c r="AZ45" s="3265">
        <f t="shared" si="15"/>
        <v>156.24</v>
      </c>
      <c r="BA45" s="3265">
        <f t="shared" si="16"/>
        <v>156.24</v>
      </c>
      <c r="BB45" s="3265">
        <f t="shared" si="17"/>
        <v>156.24</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20">
        <f t="shared" si="35"/>
        <v>0</v>
      </c>
    </row>
    <row r="46" spans="1:72">
      <c r="A46" s="3263"/>
      <c r="B46" s="3264"/>
      <c r="C46" s="2460">
        <v>102</v>
      </c>
      <c r="D46" s="3260" t="s">
        <v>470</v>
      </c>
      <c r="E46" s="3265">
        <f t="shared" si="7"/>
        <v>0</v>
      </c>
      <c r="F46" s="3266"/>
      <c r="G46" s="3267">
        <f t="shared" si="8"/>
        <v>1459.31</v>
      </c>
      <c r="H46" s="3268">
        <f t="shared" si="9"/>
        <v>1459.31</v>
      </c>
      <c r="I46" s="2460">
        <v>1459.31</v>
      </c>
      <c r="J46" s="3278"/>
      <c r="K46" s="3278"/>
      <c r="L46" s="3278"/>
      <c r="M46" s="3278"/>
      <c r="N46" s="3278"/>
      <c r="O46" s="3278"/>
      <c r="P46" s="3278"/>
      <c r="Q46" s="3278"/>
      <c r="R46" s="3278"/>
      <c r="S46" s="3278"/>
      <c r="T46" s="3278"/>
      <c r="U46" s="3278"/>
      <c r="V46" s="3278"/>
      <c r="W46" s="3278"/>
      <c r="X46" s="3278"/>
      <c r="Y46" s="3278"/>
      <c r="Z46" s="3278"/>
      <c r="AA46" s="3278"/>
      <c r="AB46" s="3278"/>
      <c r="AC46" s="3265">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1051">
        <f t="shared" si="11"/>
        <v>0</v>
      </c>
      <c r="AW46" s="1051">
        <f t="shared" si="12"/>
        <v>0</v>
      </c>
      <c r="AX46" s="1051">
        <f t="shared" si="13"/>
        <v>102</v>
      </c>
      <c r="AY46" s="3313">
        <f t="shared" si="14"/>
        <v>0</v>
      </c>
      <c r="AZ46" s="3265">
        <f t="shared" si="15"/>
        <v>1459.31</v>
      </c>
      <c r="BA46" s="3265">
        <f t="shared" si="16"/>
        <v>1459.31</v>
      </c>
      <c r="BB46" s="3265">
        <f t="shared" si="17"/>
        <v>1459.31</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20">
        <f t="shared" si="35"/>
        <v>0</v>
      </c>
    </row>
    <row r="47" spans="1:72">
      <c r="A47" s="3263"/>
      <c r="B47" s="3264"/>
      <c r="C47" s="2460">
        <v>201</v>
      </c>
      <c r="D47" s="3260" t="s">
        <v>470</v>
      </c>
      <c r="E47" s="3265">
        <f t="shared" si="7"/>
        <v>0</v>
      </c>
      <c r="F47" s="3266"/>
      <c r="G47" s="3267">
        <f t="shared" si="8"/>
        <v>525.22</v>
      </c>
      <c r="H47" s="3268">
        <f t="shared" si="9"/>
        <v>525.22</v>
      </c>
      <c r="I47" s="2460">
        <v>525.22</v>
      </c>
      <c r="J47" s="3278"/>
      <c r="K47" s="3278"/>
      <c r="L47" s="3278"/>
      <c r="M47" s="3278"/>
      <c r="N47" s="3278"/>
      <c r="O47" s="3278"/>
      <c r="P47" s="3278"/>
      <c r="Q47" s="3278"/>
      <c r="R47" s="3278"/>
      <c r="S47" s="3278"/>
      <c r="T47" s="3278"/>
      <c r="U47" s="3278"/>
      <c r="V47" s="3278"/>
      <c r="W47" s="3278"/>
      <c r="X47" s="3278"/>
      <c r="Y47" s="3278"/>
      <c r="Z47" s="3278"/>
      <c r="AA47" s="3278"/>
      <c r="AB47" s="3278"/>
      <c r="AC47" s="3265">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1051">
        <f t="shared" si="11"/>
        <v>0</v>
      </c>
      <c r="AW47" s="1051">
        <f t="shared" si="12"/>
        <v>0</v>
      </c>
      <c r="AX47" s="1051">
        <f t="shared" si="13"/>
        <v>201</v>
      </c>
      <c r="AY47" s="3313">
        <f t="shared" si="14"/>
        <v>0</v>
      </c>
      <c r="AZ47" s="3265">
        <f t="shared" si="15"/>
        <v>525.22</v>
      </c>
      <c r="BA47" s="3265">
        <f t="shared" si="16"/>
        <v>525.22</v>
      </c>
      <c r="BB47" s="3265">
        <f t="shared" si="17"/>
        <v>525.22</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20">
        <f t="shared" si="35"/>
        <v>0</v>
      </c>
    </row>
    <row r="48" spans="1:72">
      <c r="A48" s="3263"/>
      <c r="B48" s="3264"/>
      <c r="C48" s="2460">
        <v>202</v>
      </c>
      <c r="D48" s="3260" t="s">
        <v>470</v>
      </c>
      <c r="E48" s="3265">
        <f t="shared" si="7"/>
        <v>0</v>
      </c>
      <c r="F48" s="3266"/>
      <c r="G48" s="3267">
        <f t="shared" si="8"/>
        <v>553.41</v>
      </c>
      <c r="H48" s="3268">
        <f t="shared" si="9"/>
        <v>553.41</v>
      </c>
      <c r="I48" s="2460">
        <v>553.41</v>
      </c>
      <c r="J48" s="3278"/>
      <c r="K48" s="3278"/>
      <c r="L48" s="3278"/>
      <c r="M48" s="3278"/>
      <c r="N48" s="3278"/>
      <c r="O48" s="3278"/>
      <c r="P48" s="3278"/>
      <c r="Q48" s="3278"/>
      <c r="R48" s="3278"/>
      <c r="S48" s="3278"/>
      <c r="T48" s="3278"/>
      <c r="U48" s="3278"/>
      <c r="V48" s="3278"/>
      <c r="W48" s="3278"/>
      <c r="X48" s="3278"/>
      <c r="Y48" s="3278"/>
      <c r="Z48" s="3278"/>
      <c r="AA48" s="3278"/>
      <c r="AB48" s="3278"/>
      <c r="AC48" s="3265">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1051">
        <f t="shared" si="11"/>
        <v>0</v>
      </c>
      <c r="AW48" s="1051">
        <f t="shared" si="12"/>
        <v>0</v>
      </c>
      <c r="AX48" s="1051">
        <f t="shared" si="13"/>
        <v>202</v>
      </c>
      <c r="AY48" s="3313">
        <f t="shared" si="14"/>
        <v>0</v>
      </c>
      <c r="AZ48" s="3265">
        <f t="shared" si="15"/>
        <v>553.41</v>
      </c>
      <c r="BA48" s="3265">
        <f t="shared" si="16"/>
        <v>553.41</v>
      </c>
      <c r="BB48" s="3265">
        <f t="shared" si="17"/>
        <v>553.41</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20">
        <f t="shared" si="35"/>
        <v>0</v>
      </c>
    </row>
    <row r="49" spans="1:72">
      <c r="A49" s="3263"/>
      <c r="B49" s="3264"/>
      <c r="C49" s="2460">
        <v>301</v>
      </c>
      <c r="D49" s="3260" t="s">
        <v>470</v>
      </c>
      <c r="E49" s="3265">
        <f t="shared" si="7"/>
        <v>0</v>
      </c>
      <c r="F49" s="3266"/>
      <c r="G49" s="3267">
        <f t="shared" si="8"/>
        <v>548.74</v>
      </c>
      <c r="H49" s="3268">
        <f t="shared" si="9"/>
        <v>548.74</v>
      </c>
      <c r="I49" s="2460">
        <v>548.74</v>
      </c>
      <c r="J49" s="3278"/>
      <c r="K49" s="3278"/>
      <c r="L49" s="3278"/>
      <c r="M49" s="3278"/>
      <c r="N49" s="3278"/>
      <c r="O49" s="3278"/>
      <c r="P49" s="3278"/>
      <c r="Q49" s="3278"/>
      <c r="R49" s="3278"/>
      <c r="S49" s="3278"/>
      <c r="T49" s="3278"/>
      <c r="U49" s="3278"/>
      <c r="V49" s="3278"/>
      <c r="W49" s="3278"/>
      <c r="X49" s="3278"/>
      <c r="Y49" s="3278"/>
      <c r="Z49" s="3278"/>
      <c r="AA49" s="3278"/>
      <c r="AB49" s="3278"/>
      <c r="AC49" s="3265">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1051">
        <f t="shared" si="11"/>
        <v>0</v>
      </c>
      <c r="AW49" s="1051">
        <f t="shared" si="12"/>
        <v>0</v>
      </c>
      <c r="AX49" s="1051">
        <f t="shared" si="13"/>
        <v>301</v>
      </c>
      <c r="AY49" s="3313">
        <f t="shared" si="14"/>
        <v>0</v>
      </c>
      <c r="AZ49" s="3265">
        <f t="shared" si="15"/>
        <v>548.74</v>
      </c>
      <c r="BA49" s="3265">
        <f t="shared" si="16"/>
        <v>548.74</v>
      </c>
      <c r="BB49" s="3265">
        <f t="shared" si="17"/>
        <v>548.74</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20">
        <f t="shared" si="35"/>
        <v>0</v>
      </c>
    </row>
    <row r="50" spans="1:72">
      <c r="A50" s="3263"/>
      <c r="B50" s="3264"/>
      <c r="C50" s="2460">
        <v>401</v>
      </c>
      <c r="D50" s="3260" t="s">
        <v>470</v>
      </c>
      <c r="E50" s="3265">
        <f t="shared" si="7"/>
        <v>0</v>
      </c>
      <c r="F50" s="3266"/>
      <c r="G50" s="3267">
        <f t="shared" si="8"/>
        <v>548.74</v>
      </c>
      <c r="H50" s="3268">
        <f t="shared" si="9"/>
        <v>548.74</v>
      </c>
      <c r="I50" s="2460">
        <v>548.74</v>
      </c>
      <c r="J50" s="3278"/>
      <c r="K50" s="3278"/>
      <c r="L50" s="3278"/>
      <c r="M50" s="3278"/>
      <c r="N50" s="3278"/>
      <c r="O50" s="3278"/>
      <c r="P50" s="3278"/>
      <c r="Q50" s="3278"/>
      <c r="R50" s="3278"/>
      <c r="S50" s="3278"/>
      <c r="T50" s="3278"/>
      <c r="U50" s="3278"/>
      <c r="V50" s="3278"/>
      <c r="W50" s="3278"/>
      <c r="X50" s="3278"/>
      <c r="Y50" s="3278"/>
      <c r="Z50" s="3278"/>
      <c r="AA50" s="3278"/>
      <c r="AB50" s="3278"/>
      <c r="AC50" s="3265">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1051">
        <f t="shared" si="11"/>
        <v>0</v>
      </c>
      <c r="AW50" s="1051">
        <f t="shared" si="12"/>
        <v>0</v>
      </c>
      <c r="AX50" s="1051">
        <f t="shared" si="13"/>
        <v>401</v>
      </c>
      <c r="AY50" s="3313">
        <f t="shared" si="14"/>
        <v>0</v>
      </c>
      <c r="AZ50" s="3265">
        <f t="shared" si="15"/>
        <v>548.74</v>
      </c>
      <c r="BA50" s="3265">
        <f t="shared" si="16"/>
        <v>548.74</v>
      </c>
      <c r="BB50" s="3265">
        <f t="shared" si="17"/>
        <v>548.74</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20">
        <f t="shared" si="35"/>
        <v>0</v>
      </c>
    </row>
    <row r="51" spans="1:72">
      <c r="A51" s="3263"/>
      <c r="B51" s="2462" t="s">
        <v>486</v>
      </c>
      <c r="C51" s="3270" t="s">
        <v>487</v>
      </c>
      <c r="D51" s="3271" t="s">
        <v>470</v>
      </c>
      <c r="E51" s="3265">
        <f t="shared" si="7"/>
        <v>0</v>
      </c>
      <c r="F51" s="3266"/>
      <c r="G51" s="3267">
        <f t="shared" si="8"/>
        <v>1140.25</v>
      </c>
      <c r="H51" s="3268">
        <f t="shared" si="9"/>
        <v>1140.25</v>
      </c>
      <c r="I51" s="3278"/>
      <c r="J51" s="3278"/>
      <c r="K51" s="3278"/>
      <c r="L51" s="3278"/>
      <c r="M51" s="3278">
        <v>1140.25</v>
      </c>
      <c r="N51" s="3278"/>
      <c r="O51" s="3278"/>
      <c r="P51" s="3278"/>
      <c r="Q51" s="3278"/>
      <c r="R51" s="3278"/>
      <c r="S51" s="3278"/>
      <c r="T51" s="3278"/>
      <c r="U51" s="3278"/>
      <c r="V51" s="3278"/>
      <c r="W51" s="3278"/>
      <c r="X51" s="3278"/>
      <c r="Y51" s="3278"/>
      <c r="Z51" s="3278"/>
      <c r="AA51" s="3278"/>
      <c r="AB51" s="3278"/>
      <c r="AC51" s="3265">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1051">
        <f t="shared" si="11"/>
        <v>0</v>
      </c>
      <c r="AW51" s="1051" t="str">
        <f t="shared" si="12"/>
        <v>6号楼</v>
      </c>
      <c r="AX51" s="1051" t="str">
        <f t="shared" si="13"/>
        <v>仓库</v>
      </c>
      <c r="AY51" s="3313">
        <f t="shared" si="14"/>
        <v>0</v>
      </c>
      <c r="AZ51" s="3265">
        <f t="shared" si="15"/>
        <v>1140.25</v>
      </c>
      <c r="BA51" s="3265">
        <f t="shared" si="16"/>
        <v>1140.25</v>
      </c>
      <c r="BB51" s="3265">
        <f t="shared" si="17"/>
        <v>0</v>
      </c>
      <c r="BC51" s="3265">
        <f t="shared" si="18"/>
        <v>0</v>
      </c>
      <c r="BD51" s="3265">
        <f t="shared" si="19"/>
        <v>1140.25</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20">
        <f t="shared" si="35"/>
        <v>0</v>
      </c>
    </row>
    <row r="52" spans="1:72">
      <c r="A52" s="3263"/>
      <c r="B52" s="3264"/>
      <c r="C52" s="3264"/>
      <c r="D52" s="3271"/>
      <c r="E52" s="3265">
        <f t="shared" si="7"/>
        <v>0</v>
      </c>
      <c r="F52" s="3266"/>
      <c r="G52" s="3267">
        <f t="shared" si="8"/>
        <v>0</v>
      </c>
      <c r="H52" s="3268">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5">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1051">
        <f t="shared" si="11"/>
        <v>0</v>
      </c>
      <c r="AW52" s="1051">
        <f t="shared" si="12"/>
        <v>0</v>
      </c>
      <c r="AX52" s="1051">
        <f t="shared" si="13"/>
        <v>0</v>
      </c>
      <c r="AY52" s="3313">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20">
        <f t="shared" si="35"/>
        <v>0</v>
      </c>
    </row>
    <row r="53" spans="1:72">
      <c r="A53" s="3263"/>
      <c r="B53" s="3264"/>
      <c r="C53" s="3264"/>
      <c r="D53" s="3271"/>
      <c r="E53" s="3265">
        <f t="shared" si="7"/>
        <v>0</v>
      </c>
      <c r="F53" s="3266"/>
      <c r="G53" s="3267">
        <f t="shared" si="8"/>
        <v>0</v>
      </c>
      <c r="H53" s="3268">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5">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1051">
        <f t="shared" si="11"/>
        <v>0</v>
      </c>
      <c r="AW53" s="1051">
        <f t="shared" si="12"/>
        <v>0</v>
      </c>
      <c r="AX53" s="1051">
        <f t="shared" si="13"/>
        <v>0</v>
      </c>
      <c r="AY53" s="3313">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20">
        <f t="shared" si="35"/>
        <v>0</v>
      </c>
    </row>
    <row r="54" spans="1:72">
      <c r="A54" s="3263"/>
      <c r="B54" s="3264"/>
      <c r="C54" s="3264"/>
      <c r="D54" s="3271"/>
      <c r="E54" s="3265">
        <f t="shared" si="7"/>
        <v>0</v>
      </c>
      <c r="F54" s="3266"/>
      <c r="G54" s="3267">
        <f t="shared" si="8"/>
        <v>0</v>
      </c>
      <c r="H54" s="3268">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5">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1051">
        <f t="shared" si="11"/>
        <v>0</v>
      </c>
      <c r="AW54" s="1051">
        <f t="shared" si="12"/>
        <v>0</v>
      </c>
      <c r="AX54" s="1051">
        <f t="shared" si="13"/>
        <v>0</v>
      </c>
      <c r="AY54" s="3313">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20">
        <f t="shared" si="35"/>
        <v>0</v>
      </c>
    </row>
    <row r="55" spans="1:72">
      <c r="A55" s="3263"/>
      <c r="B55" s="3264"/>
      <c r="C55" s="3264"/>
      <c r="D55" s="3271"/>
      <c r="E55" s="3265">
        <f t="shared" si="7"/>
        <v>0</v>
      </c>
      <c r="F55" s="3266"/>
      <c r="G55" s="3267">
        <f t="shared" si="8"/>
        <v>0</v>
      </c>
      <c r="H55" s="3268">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5">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1051">
        <f t="shared" si="11"/>
        <v>0</v>
      </c>
      <c r="AW55" s="1051">
        <f t="shared" si="12"/>
        <v>0</v>
      </c>
      <c r="AX55" s="1051">
        <f t="shared" si="13"/>
        <v>0</v>
      </c>
      <c r="AY55" s="3313">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20">
        <f t="shared" si="35"/>
        <v>0</v>
      </c>
    </row>
    <row r="56" spans="1:72">
      <c r="A56" s="3263"/>
      <c r="B56" s="3264"/>
      <c r="C56" s="3264"/>
      <c r="D56" s="3271"/>
      <c r="E56" s="3265">
        <f t="shared" si="7"/>
        <v>0</v>
      </c>
      <c r="F56" s="3266"/>
      <c r="G56" s="3267">
        <f t="shared" si="8"/>
        <v>0</v>
      </c>
      <c r="H56" s="3268">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5">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1051">
        <f t="shared" si="11"/>
        <v>0</v>
      </c>
      <c r="AW56" s="1051">
        <f t="shared" si="12"/>
        <v>0</v>
      </c>
      <c r="AX56" s="1051">
        <f t="shared" si="13"/>
        <v>0</v>
      </c>
      <c r="AY56" s="3313">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20">
        <f t="shared" si="35"/>
        <v>0</v>
      </c>
    </row>
    <row r="57" spans="1:72">
      <c r="A57" s="3263"/>
      <c r="B57" s="3264"/>
      <c r="C57" s="3264"/>
      <c r="D57" s="3271"/>
      <c r="E57" s="3265">
        <f t="shared" si="7"/>
        <v>0</v>
      </c>
      <c r="F57" s="3266"/>
      <c r="G57" s="3267">
        <f t="shared" si="8"/>
        <v>0</v>
      </c>
      <c r="H57" s="3268">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5">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1051">
        <f t="shared" si="11"/>
        <v>0</v>
      </c>
      <c r="AW57" s="1051">
        <f t="shared" si="12"/>
        <v>0</v>
      </c>
      <c r="AX57" s="1051">
        <f t="shared" si="13"/>
        <v>0</v>
      </c>
      <c r="AY57" s="3313">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20">
        <f t="shared" si="35"/>
        <v>0</v>
      </c>
    </row>
    <row r="58" spans="1:72">
      <c r="A58" s="3263"/>
      <c r="B58" s="3264"/>
      <c r="C58" s="3264"/>
      <c r="D58" s="3271"/>
      <c r="E58" s="3265">
        <f t="shared" si="7"/>
        <v>0</v>
      </c>
      <c r="F58" s="3266"/>
      <c r="G58" s="3267">
        <f t="shared" si="8"/>
        <v>0</v>
      </c>
      <c r="H58" s="3268">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5">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1051">
        <f t="shared" si="11"/>
        <v>0</v>
      </c>
      <c r="AW58" s="1051">
        <f t="shared" si="12"/>
        <v>0</v>
      </c>
      <c r="AX58" s="1051">
        <f t="shared" si="13"/>
        <v>0</v>
      </c>
      <c r="AY58" s="3313">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20">
        <f t="shared" si="35"/>
        <v>0</v>
      </c>
    </row>
    <row r="59" spans="1:72">
      <c r="A59" s="3263"/>
      <c r="B59" s="3264"/>
      <c r="C59" s="3264"/>
      <c r="D59" s="3271"/>
      <c r="E59" s="3265">
        <f t="shared" si="7"/>
        <v>0</v>
      </c>
      <c r="F59" s="3266"/>
      <c r="G59" s="3267">
        <f t="shared" si="8"/>
        <v>0</v>
      </c>
      <c r="H59" s="3268">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5">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1051">
        <f t="shared" si="11"/>
        <v>0</v>
      </c>
      <c r="AW59" s="1051">
        <f t="shared" si="12"/>
        <v>0</v>
      </c>
      <c r="AX59" s="1051">
        <f t="shared" si="13"/>
        <v>0</v>
      </c>
      <c r="AY59" s="3313">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20">
        <f t="shared" si="35"/>
        <v>0</v>
      </c>
    </row>
    <row r="60" spans="1:72">
      <c r="A60" s="3263"/>
      <c r="B60" s="3264"/>
      <c r="C60" s="3264"/>
      <c r="D60" s="3271"/>
      <c r="E60" s="3265">
        <f t="shared" si="7"/>
        <v>0</v>
      </c>
      <c r="F60" s="3266"/>
      <c r="G60" s="3267">
        <f t="shared" si="8"/>
        <v>0</v>
      </c>
      <c r="H60" s="3268">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5">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1051">
        <f t="shared" si="11"/>
        <v>0</v>
      </c>
      <c r="AW60" s="1051">
        <f t="shared" si="12"/>
        <v>0</v>
      </c>
      <c r="AX60" s="1051">
        <f t="shared" si="13"/>
        <v>0</v>
      </c>
      <c r="AY60" s="3313">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20">
        <f t="shared" si="35"/>
        <v>0</v>
      </c>
    </row>
    <row r="61" spans="1:72">
      <c r="A61" s="3263"/>
      <c r="B61" s="3264"/>
      <c r="C61" s="3264"/>
      <c r="D61" s="3271"/>
      <c r="E61" s="3265">
        <f t="shared" si="7"/>
        <v>0</v>
      </c>
      <c r="F61" s="3266"/>
      <c r="G61" s="3267">
        <f t="shared" si="8"/>
        <v>0</v>
      </c>
      <c r="H61" s="3268">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5">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1051">
        <f t="shared" si="11"/>
        <v>0</v>
      </c>
      <c r="AW61" s="1051">
        <f t="shared" si="12"/>
        <v>0</v>
      </c>
      <c r="AX61" s="1051">
        <f t="shared" si="13"/>
        <v>0</v>
      </c>
      <c r="AY61" s="3313">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20">
        <f t="shared" si="35"/>
        <v>0</v>
      </c>
    </row>
    <row r="62" spans="1:72">
      <c r="A62" s="3263"/>
      <c r="B62" s="3264"/>
      <c r="C62" s="3264"/>
      <c r="D62" s="3271"/>
      <c r="E62" s="3265">
        <f t="shared" si="7"/>
        <v>0</v>
      </c>
      <c r="F62" s="3266"/>
      <c r="G62" s="3267">
        <f t="shared" si="8"/>
        <v>0</v>
      </c>
      <c r="H62" s="3268">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5">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1051">
        <f t="shared" si="11"/>
        <v>0</v>
      </c>
      <c r="AW62" s="1051">
        <f t="shared" si="12"/>
        <v>0</v>
      </c>
      <c r="AX62" s="1051">
        <f t="shared" si="13"/>
        <v>0</v>
      </c>
      <c r="AY62" s="3313">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20">
        <f t="shared" si="35"/>
        <v>0</v>
      </c>
    </row>
    <row r="63" spans="1:72">
      <c r="A63" s="3263"/>
      <c r="B63" s="3264"/>
      <c r="C63" s="3264"/>
      <c r="D63" s="3271"/>
      <c r="E63" s="3265">
        <f t="shared" si="7"/>
        <v>0</v>
      </c>
      <c r="F63" s="3266"/>
      <c r="G63" s="3267">
        <f t="shared" si="8"/>
        <v>0</v>
      </c>
      <c r="H63" s="3268">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5">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1051">
        <f t="shared" si="11"/>
        <v>0</v>
      </c>
      <c r="AW63" s="1051">
        <f t="shared" si="12"/>
        <v>0</v>
      </c>
      <c r="AX63" s="1051">
        <f t="shared" si="13"/>
        <v>0</v>
      </c>
      <c r="AY63" s="3313">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20">
        <f t="shared" si="35"/>
        <v>0</v>
      </c>
    </row>
    <row r="64" spans="1:72">
      <c r="A64" s="3263"/>
      <c r="B64" s="3264"/>
      <c r="C64" s="3264"/>
      <c r="D64" s="3271"/>
      <c r="E64" s="3265">
        <f t="shared" si="7"/>
        <v>0</v>
      </c>
      <c r="F64" s="3266"/>
      <c r="G64" s="3267">
        <f t="shared" si="8"/>
        <v>0</v>
      </c>
      <c r="H64" s="3268">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5">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1051">
        <f t="shared" si="11"/>
        <v>0</v>
      </c>
      <c r="AW64" s="1051">
        <f t="shared" si="12"/>
        <v>0</v>
      </c>
      <c r="AX64" s="1051">
        <f t="shared" si="13"/>
        <v>0</v>
      </c>
      <c r="AY64" s="3313">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20">
        <f t="shared" si="35"/>
        <v>0</v>
      </c>
    </row>
    <row r="65" spans="1:72">
      <c r="A65" s="3263"/>
      <c r="B65" s="3264"/>
      <c r="C65" s="3264"/>
      <c r="D65" s="3271"/>
      <c r="E65" s="3265">
        <f t="shared" si="7"/>
        <v>0</v>
      </c>
      <c r="F65" s="3266"/>
      <c r="G65" s="3267">
        <f t="shared" si="8"/>
        <v>0</v>
      </c>
      <c r="H65" s="3268">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5">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1051">
        <f t="shared" si="11"/>
        <v>0</v>
      </c>
      <c r="AW65" s="1051">
        <f t="shared" si="12"/>
        <v>0</v>
      </c>
      <c r="AX65" s="1051">
        <f t="shared" si="13"/>
        <v>0</v>
      </c>
      <c r="AY65" s="3313">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20">
        <f t="shared" si="35"/>
        <v>0</v>
      </c>
    </row>
    <row r="66" spans="1:72">
      <c r="A66" s="3263"/>
      <c r="B66" s="3264"/>
      <c r="C66" s="3264"/>
      <c r="D66" s="3271"/>
      <c r="E66" s="3265">
        <f t="shared" si="7"/>
        <v>0</v>
      </c>
      <c r="F66" s="3266"/>
      <c r="G66" s="3267">
        <f t="shared" si="8"/>
        <v>0</v>
      </c>
      <c r="H66" s="3268">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5">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1051">
        <f t="shared" si="11"/>
        <v>0</v>
      </c>
      <c r="AW66" s="1051">
        <f t="shared" si="12"/>
        <v>0</v>
      </c>
      <c r="AX66" s="1051">
        <f t="shared" si="13"/>
        <v>0</v>
      </c>
      <c r="AY66" s="3313">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20">
        <f t="shared" si="35"/>
        <v>0</v>
      </c>
    </row>
    <row r="67" spans="1:72">
      <c r="A67" s="3263"/>
      <c r="B67" s="3264"/>
      <c r="C67" s="3264"/>
      <c r="D67" s="3271"/>
      <c r="E67" s="3265">
        <f t="shared" si="7"/>
        <v>0</v>
      </c>
      <c r="F67" s="3266"/>
      <c r="G67" s="3267">
        <f t="shared" si="8"/>
        <v>0</v>
      </c>
      <c r="H67" s="3268">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5">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1051">
        <f t="shared" si="11"/>
        <v>0</v>
      </c>
      <c r="AW67" s="1051">
        <f t="shared" si="12"/>
        <v>0</v>
      </c>
      <c r="AX67" s="1051">
        <f t="shared" si="13"/>
        <v>0</v>
      </c>
      <c r="AY67" s="3313">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20">
        <f t="shared" si="35"/>
        <v>0</v>
      </c>
    </row>
    <row r="68" spans="1:72">
      <c r="A68" s="3263"/>
      <c r="B68" s="3264"/>
      <c r="C68" s="3264"/>
      <c r="D68" s="3271"/>
      <c r="E68" s="3265">
        <f t="shared" si="7"/>
        <v>0</v>
      </c>
      <c r="F68" s="3266"/>
      <c r="G68" s="3267">
        <f t="shared" si="8"/>
        <v>0</v>
      </c>
      <c r="H68" s="3268">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5">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1051">
        <f t="shared" si="11"/>
        <v>0</v>
      </c>
      <c r="AW68" s="1051">
        <f t="shared" si="12"/>
        <v>0</v>
      </c>
      <c r="AX68" s="1051">
        <f t="shared" si="13"/>
        <v>0</v>
      </c>
      <c r="AY68" s="3313">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20">
        <f t="shared" si="35"/>
        <v>0</v>
      </c>
    </row>
    <row r="69" spans="1:72">
      <c r="A69" s="3263"/>
      <c r="B69" s="3264"/>
      <c r="C69" s="3264"/>
      <c r="D69" s="3271"/>
      <c r="E69" s="3265">
        <f t="shared" si="7"/>
        <v>0</v>
      </c>
      <c r="F69" s="3266"/>
      <c r="G69" s="3267">
        <f t="shared" si="8"/>
        <v>0</v>
      </c>
      <c r="H69" s="3268">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5">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1051">
        <f t="shared" si="11"/>
        <v>0</v>
      </c>
      <c r="AW69" s="1051">
        <f t="shared" si="12"/>
        <v>0</v>
      </c>
      <c r="AX69" s="1051">
        <f t="shared" si="13"/>
        <v>0</v>
      </c>
      <c r="AY69" s="3313">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20">
        <f t="shared" si="35"/>
        <v>0</v>
      </c>
    </row>
    <row r="70" spans="1:72">
      <c r="A70" s="3263"/>
      <c r="B70" s="3264"/>
      <c r="C70" s="3264"/>
      <c r="D70" s="3271"/>
      <c r="E70" s="3265">
        <f t="shared" si="7"/>
        <v>0</v>
      </c>
      <c r="F70" s="3266"/>
      <c r="G70" s="3267">
        <f t="shared" si="8"/>
        <v>0</v>
      </c>
      <c r="H70" s="3268">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5">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1051">
        <f t="shared" si="11"/>
        <v>0</v>
      </c>
      <c r="AW70" s="1051">
        <f t="shared" si="12"/>
        <v>0</v>
      </c>
      <c r="AX70" s="1051">
        <f t="shared" si="13"/>
        <v>0</v>
      </c>
      <c r="AY70" s="3313">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20">
        <f t="shared" si="35"/>
        <v>0</v>
      </c>
    </row>
    <row r="71" spans="1:72">
      <c r="A71" s="3263"/>
      <c r="B71" s="3264"/>
      <c r="C71" s="3264"/>
      <c r="D71" s="3271"/>
      <c r="E71" s="3265">
        <f t="shared" si="7"/>
        <v>0</v>
      </c>
      <c r="F71" s="3266"/>
      <c r="G71" s="3267">
        <f t="shared" si="8"/>
        <v>0</v>
      </c>
      <c r="H71" s="3268">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5">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1051">
        <f t="shared" si="11"/>
        <v>0</v>
      </c>
      <c r="AW71" s="1051">
        <f t="shared" si="12"/>
        <v>0</v>
      </c>
      <c r="AX71" s="1051">
        <f t="shared" si="13"/>
        <v>0</v>
      </c>
      <c r="AY71" s="3313">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20">
        <f t="shared" si="35"/>
        <v>0</v>
      </c>
    </row>
    <row r="72" spans="1:72">
      <c r="A72" s="3263"/>
      <c r="B72" s="3264"/>
      <c r="C72" s="3264"/>
      <c r="D72" s="3271"/>
      <c r="E72" s="3265">
        <f t="shared" si="7"/>
        <v>0</v>
      </c>
      <c r="F72" s="3266"/>
      <c r="G72" s="3267">
        <f t="shared" si="8"/>
        <v>0</v>
      </c>
      <c r="H72" s="3268">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5">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1051">
        <f t="shared" si="11"/>
        <v>0</v>
      </c>
      <c r="AW72" s="1051">
        <f t="shared" si="12"/>
        <v>0</v>
      </c>
      <c r="AX72" s="1051">
        <f t="shared" si="13"/>
        <v>0</v>
      </c>
      <c r="AY72" s="3313">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20">
        <f t="shared" si="35"/>
        <v>0</v>
      </c>
    </row>
    <row r="73" spans="1:72">
      <c r="A73" s="3263"/>
      <c r="B73" s="3264"/>
      <c r="C73" s="3264"/>
      <c r="D73" s="3271"/>
      <c r="E73" s="3265">
        <f t="shared" si="7"/>
        <v>0</v>
      </c>
      <c r="F73" s="3266"/>
      <c r="G73" s="3267">
        <f t="shared" si="8"/>
        <v>0</v>
      </c>
      <c r="H73" s="3268">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5">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1051">
        <f t="shared" si="11"/>
        <v>0</v>
      </c>
      <c r="AW73" s="1051">
        <f t="shared" si="12"/>
        <v>0</v>
      </c>
      <c r="AX73" s="1051">
        <f t="shared" si="13"/>
        <v>0</v>
      </c>
      <c r="AY73" s="3313">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20">
        <f t="shared" si="35"/>
        <v>0</v>
      </c>
    </row>
    <row r="74" spans="1:72">
      <c r="A74" s="3263"/>
      <c r="B74" s="3264"/>
      <c r="C74" s="3264"/>
      <c r="D74" s="3271"/>
      <c r="E74" s="3265">
        <f t="shared" si="7"/>
        <v>0</v>
      </c>
      <c r="F74" s="3266"/>
      <c r="G74" s="3267">
        <f t="shared" si="8"/>
        <v>0</v>
      </c>
      <c r="H74" s="3268">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5">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1051">
        <f t="shared" si="11"/>
        <v>0</v>
      </c>
      <c r="AW74" s="1051">
        <f t="shared" si="12"/>
        <v>0</v>
      </c>
      <c r="AX74" s="1051">
        <f t="shared" si="13"/>
        <v>0</v>
      </c>
      <c r="AY74" s="3313">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20">
        <f t="shared" si="35"/>
        <v>0</v>
      </c>
    </row>
    <row r="75" spans="1:72">
      <c r="A75" s="3263"/>
      <c r="B75" s="3264"/>
      <c r="C75" s="3264"/>
      <c r="D75" s="3271"/>
      <c r="E75" s="3265">
        <f t="shared" si="7"/>
        <v>0</v>
      </c>
      <c r="F75" s="3266"/>
      <c r="G75" s="3267">
        <f t="shared" si="8"/>
        <v>0</v>
      </c>
      <c r="H75" s="3268">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5">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1051">
        <f t="shared" si="11"/>
        <v>0</v>
      </c>
      <c r="AW75" s="1051">
        <f t="shared" si="12"/>
        <v>0</v>
      </c>
      <c r="AX75" s="1051">
        <f t="shared" si="13"/>
        <v>0</v>
      </c>
      <c r="AY75" s="3313">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20">
        <f t="shared" si="35"/>
        <v>0</v>
      </c>
    </row>
    <row r="76" spans="1:72">
      <c r="A76" s="3263"/>
      <c r="B76" s="3264"/>
      <c r="C76" s="3264"/>
      <c r="D76" s="3271"/>
      <c r="E76" s="3265">
        <f t="shared" si="7"/>
        <v>0</v>
      </c>
      <c r="F76" s="3266"/>
      <c r="G76" s="3267">
        <f t="shared" si="8"/>
        <v>0</v>
      </c>
      <c r="H76" s="3268">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5">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1051">
        <f t="shared" si="11"/>
        <v>0</v>
      </c>
      <c r="AW76" s="1051">
        <f t="shared" si="12"/>
        <v>0</v>
      </c>
      <c r="AX76" s="1051">
        <f t="shared" si="13"/>
        <v>0</v>
      </c>
      <c r="AY76" s="3313">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20">
        <f t="shared" si="35"/>
        <v>0</v>
      </c>
    </row>
    <row r="77" spans="1:72">
      <c r="A77" s="3263"/>
      <c r="B77" s="3264"/>
      <c r="C77" s="3264"/>
      <c r="D77" s="3271"/>
      <c r="E77" s="3265">
        <f t="shared" si="7"/>
        <v>0</v>
      </c>
      <c r="F77" s="3266"/>
      <c r="G77" s="3267">
        <f t="shared" si="8"/>
        <v>0</v>
      </c>
      <c r="H77" s="3268">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5">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1051">
        <f t="shared" si="11"/>
        <v>0</v>
      </c>
      <c r="AW77" s="1051">
        <f t="shared" si="12"/>
        <v>0</v>
      </c>
      <c r="AX77" s="1051">
        <f t="shared" si="13"/>
        <v>0</v>
      </c>
      <c r="AY77" s="3313">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20">
        <f t="shared" si="35"/>
        <v>0</v>
      </c>
    </row>
    <row r="78" spans="1:72">
      <c r="A78" s="3263"/>
      <c r="B78" s="3264"/>
      <c r="C78" s="3264"/>
      <c r="D78" s="3271"/>
      <c r="E78" s="3265">
        <f t="shared" si="7"/>
        <v>0</v>
      </c>
      <c r="F78" s="3266"/>
      <c r="G78" s="3267">
        <f t="shared" si="8"/>
        <v>0</v>
      </c>
      <c r="H78" s="3268">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5">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1051">
        <f t="shared" si="11"/>
        <v>0</v>
      </c>
      <c r="AW78" s="1051">
        <f t="shared" si="12"/>
        <v>0</v>
      </c>
      <c r="AX78" s="1051">
        <f t="shared" si="13"/>
        <v>0</v>
      </c>
      <c r="AY78" s="3313">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20">
        <f t="shared" si="35"/>
        <v>0</v>
      </c>
    </row>
    <row r="79" spans="1:72">
      <c r="A79" s="3263"/>
      <c r="B79" s="3264"/>
      <c r="C79" s="3264"/>
      <c r="D79" s="3271"/>
      <c r="E79" s="3265">
        <f t="shared" si="7"/>
        <v>0</v>
      </c>
      <c r="F79" s="3266"/>
      <c r="G79" s="3267">
        <f t="shared" si="8"/>
        <v>0</v>
      </c>
      <c r="H79" s="3268">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5">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1051">
        <f t="shared" si="11"/>
        <v>0</v>
      </c>
      <c r="AW79" s="1051">
        <f t="shared" si="12"/>
        <v>0</v>
      </c>
      <c r="AX79" s="1051">
        <f t="shared" si="13"/>
        <v>0</v>
      </c>
      <c r="AY79" s="3313">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20">
        <f t="shared" si="35"/>
        <v>0</v>
      </c>
    </row>
    <row r="80" spans="1:72">
      <c r="A80" s="3263"/>
      <c r="B80" s="3264"/>
      <c r="C80" s="3264"/>
      <c r="D80" s="3271"/>
      <c r="E80" s="3265">
        <f t="shared" si="7"/>
        <v>0</v>
      </c>
      <c r="F80" s="3266"/>
      <c r="G80" s="3267">
        <f t="shared" si="8"/>
        <v>0</v>
      </c>
      <c r="H80" s="3268">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5">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1051">
        <f t="shared" si="11"/>
        <v>0</v>
      </c>
      <c r="AW80" s="1051">
        <f t="shared" si="12"/>
        <v>0</v>
      </c>
      <c r="AX80" s="1051">
        <f t="shared" si="13"/>
        <v>0</v>
      </c>
      <c r="AY80" s="3313">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20">
        <f t="shared" si="35"/>
        <v>0</v>
      </c>
    </row>
    <row r="81" spans="1:72">
      <c r="A81" s="3263"/>
      <c r="B81" s="3264"/>
      <c r="C81" s="3264"/>
      <c r="D81" s="3271"/>
      <c r="E81" s="3265">
        <f t="shared" si="7"/>
        <v>0</v>
      </c>
      <c r="F81" s="3266"/>
      <c r="G81" s="3267">
        <f t="shared" si="8"/>
        <v>0</v>
      </c>
      <c r="H81" s="3268">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5">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1051">
        <f t="shared" si="11"/>
        <v>0</v>
      </c>
      <c r="AW81" s="1051">
        <f t="shared" si="12"/>
        <v>0</v>
      </c>
      <c r="AX81" s="1051">
        <f t="shared" si="13"/>
        <v>0</v>
      </c>
      <c r="AY81" s="3313">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20">
        <f t="shared" si="35"/>
        <v>0</v>
      </c>
    </row>
    <row r="82" spans="1:72">
      <c r="A82" s="3263"/>
      <c r="B82" s="3264"/>
      <c r="C82" s="3264"/>
      <c r="D82" s="3271"/>
      <c r="E82" s="3265">
        <f t="shared" si="7"/>
        <v>0</v>
      </c>
      <c r="F82" s="3266"/>
      <c r="G82" s="3267">
        <f t="shared" si="8"/>
        <v>0</v>
      </c>
      <c r="H82" s="3268">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5">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1051">
        <f t="shared" si="11"/>
        <v>0</v>
      </c>
      <c r="AW82" s="1051">
        <f t="shared" si="12"/>
        <v>0</v>
      </c>
      <c r="AX82" s="1051">
        <f t="shared" si="13"/>
        <v>0</v>
      </c>
      <c r="AY82" s="3313">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20">
        <f t="shared" si="35"/>
        <v>0</v>
      </c>
    </row>
    <row r="83" spans="1:72">
      <c r="A83" s="3263"/>
      <c r="B83" s="3264"/>
      <c r="C83" s="3264"/>
      <c r="D83" s="3271"/>
      <c r="E83" s="3265">
        <f t="shared" si="7"/>
        <v>0</v>
      </c>
      <c r="F83" s="3266"/>
      <c r="G83" s="3267">
        <f t="shared" si="8"/>
        <v>0</v>
      </c>
      <c r="H83" s="3268">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5">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1051">
        <f t="shared" si="11"/>
        <v>0</v>
      </c>
      <c r="AW83" s="1051">
        <f t="shared" si="12"/>
        <v>0</v>
      </c>
      <c r="AX83" s="1051">
        <f t="shared" si="13"/>
        <v>0</v>
      </c>
      <c r="AY83" s="3313">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20">
        <f t="shared" si="35"/>
        <v>0</v>
      </c>
    </row>
    <row r="84" spans="1:72">
      <c r="A84" s="3263"/>
      <c r="B84" s="3264"/>
      <c r="C84" s="3264"/>
      <c r="D84" s="3271"/>
      <c r="E84" s="3265">
        <f t="shared" si="7"/>
        <v>0</v>
      </c>
      <c r="F84" s="3266"/>
      <c r="G84" s="3267">
        <f t="shared" si="8"/>
        <v>0</v>
      </c>
      <c r="H84" s="3268">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5">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1051">
        <f t="shared" si="11"/>
        <v>0</v>
      </c>
      <c r="AW84" s="1051">
        <f t="shared" si="12"/>
        <v>0</v>
      </c>
      <c r="AX84" s="1051">
        <f t="shared" si="13"/>
        <v>0</v>
      </c>
      <c r="AY84" s="3313">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20">
        <f t="shared" si="35"/>
        <v>0</v>
      </c>
    </row>
    <row r="85" spans="1:72">
      <c r="A85" s="3263"/>
      <c r="B85" s="3264"/>
      <c r="C85" s="3264"/>
      <c r="D85" s="3271"/>
      <c r="E85" s="3265">
        <f t="shared" si="7"/>
        <v>0</v>
      </c>
      <c r="F85" s="3266"/>
      <c r="G85" s="3267">
        <f t="shared" si="8"/>
        <v>0</v>
      </c>
      <c r="H85" s="3268">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5">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1051">
        <f t="shared" si="11"/>
        <v>0</v>
      </c>
      <c r="AW85" s="1051">
        <f t="shared" si="12"/>
        <v>0</v>
      </c>
      <c r="AX85" s="1051">
        <f t="shared" si="13"/>
        <v>0</v>
      </c>
      <c r="AY85" s="3313">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20">
        <f t="shared" si="35"/>
        <v>0</v>
      </c>
    </row>
    <row r="86" spans="1:72">
      <c r="A86" s="3263"/>
      <c r="B86" s="3264"/>
      <c r="C86" s="3264"/>
      <c r="D86" s="3271"/>
      <c r="E86" s="3265">
        <f t="shared" si="7"/>
        <v>0</v>
      </c>
      <c r="F86" s="3266"/>
      <c r="G86" s="3267">
        <f t="shared" si="8"/>
        <v>0</v>
      </c>
      <c r="H86" s="3268">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5">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1051">
        <f t="shared" si="11"/>
        <v>0</v>
      </c>
      <c r="AW86" s="1051">
        <f t="shared" si="12"/>
        <v>0</v>
      </c>
      <c r="AX86" s="1051">
        <f t="shared" si="13"/>
        <v>0</v>
      </c>
      <c r="AY86" s="3313">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20">
        <f t="shared" si="35"/>
        <v>0</v>
      </c>
    </row>
    <row r="87" spans="1:72">
      <c r="A87" s="3263"/>
      <c r="B87" s="3264"/>
      <c r="C87" s="3264"/>
      <c r="D87" s="3271"/>
      <c r="E87" s="3265">
        <f t="shared" si="7"/>
        <v>0</v>
      </c>
      <c r="F87" s="3266"/>
      <c r="G87" s="3267">
        <f t="shared" si="8"/>
        <v>0</v>
      </c>
      <c r="H87" s="3268">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5">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1051">
        <f t="shared" si="11"/>
        <v>0</v>
      </c>
      <c r="AW87" s="1051">
        <f t="shared" si="12"/>
        <v>0</v>
      </c>
      <c r="AX87" s="1051">
        <f t="shared" si="13"/>
        <v>0</v>
      </c>
      <c r="AY87" s="3313">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20">
        <f t="shared" si="35"/>
        <v>0</v>
      </c>
    </row>
    <row r="88" spans="1:72">
      <c r="A88" s="3263"/>
      <c r="B88" s="3264"/>
      <c r="C88" s="3264"/>
      <c r="D88" s="3271"/>
      <c r="E88" s="3265">
        <f t="shared" si="7"/>
        <v>0</v>
      </c>
      <c r="F88" s="3266"/>
      <c r="G88" s="3267">
        <f t="shared" si="8"/>
        <v>0</v>
      </c>
      <c r="H88" s="3268">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5">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1051">
        <f t="shared" si="11"/>
        <v>0</v>
      </c>
      <c r="AW88" s="1051">
        <f t="shared" si="12"/>
        <v>0</v>
      </c>
      <c r="AX88" s="1051">
        <f t="shared" si="13"/>
        <v>0</v>
      </c>
      <c r="AY88" s="3313">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20">
        <f t="shared" si="35"/>
        <v>0</v>
      </c>
    </row>
    <row r="89" spans="1:72">
      <c r="A89" s="3263"/>
      <c r="B89" s="3264"/>
      <c r="C89" s="3264"/>
      <c r="D89" s="3271"/>
      <c r="E89" s="3265">
        <f t="shared" si="7"/>
        <v>0</v>
      </c>
      <c r="F89" s="3266"/>
      <c r="G89" s="3267">
        <f t="shared" si="8"/>
        <v>0</v>
      </c>
      <c r="H89" s="3268">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5">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1051">
        <f t="shared" si="11"/>
        <v>0</v>
      </c>
      <c r="AW89" s="1051">
        <f t="shared" si="12"/>
        <v>0</v>
      </c>
      <c r="AX89" s="1051">
        <f t="shared" si="13"/>
        <v>0</v>
      </c>
      <c r="AY89" s="3313">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20">
        <f t="shared" si="35"/>
        <v>0</v>
      </c>
    </row>
    <row r="90" spans="1:72">
      <c r="A90" s="3263"/>
      <c r="B90" s="3264"/>
      <c r="C90" s="3264"/>
      <c r="D90" s="3271"/>
      <c r="E90" s="3265">
        <f t="shared" si="7"/>
        <v>0</v>
      </c>
      <c r="F90" s="3266"/>
      <c r="G90" s="3267">
        <f t="shared" si="8"/>
        <v>0</v>
      </c>
      <c r="H90" s="3268">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5">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1051">
        <f t="shared" si="11"/>
        <v>0</v>
      </c>
      <c r="AW90" s="1051">
        <f t="shared" si="12"/>
        <v>0</v>
      </c>
      <c r="AX90" s="1051">
        <f t="shared" si="13"/>
        <v>0</v>
      </c>
      <c r="AY90" s="3313">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20">
        <f t="shared" si="35"/>
        <v>0</v>
      </c>
    </row>
    <row r="91" spans="1:72">
      <c r="A91" s="3263"/>
      <c r="B91" s="3264"/>
      <c r="C91" s="3264"/>
      <c r="D91" s="3271"/>
      <c r="E91" s="3265">
        <f t="shared" si="7"/>
        <v>0</v>
      </c>
      <c r="F91" s="3266"/>
      <c r="G91" s="3267">
        <f t="shared" si="8"/>
        <v>0</v>
      </c>
      <c r="H91" s="3268">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5">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1051">
        <f t="shared" si="11"/>
        <v>0</v>
      </c>
      <c r="AW91" s="1051">
        <f t="shared" si="12"/>
        <v>0</v>
      </c>
      <c r="AX91" s="1051">
        <f t="shared" si="13"/>
        <v>0</v>
      </c>
      <c r="AY91" s="3313">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20">
        <f t="shared" si="35"/>
        <v>0</v>
      </c>
    </row>
    <row r="92" spans="1:72">
      <c r="A92" s="3263"/>
      <c r="B92" s="3264"/>
      <c r="C92" s="3264"/>
      <c r="D92" s="3271"/>
      <c r="E92" s="3265">
        <f t="shared" si="7"/>
        <v>0</v>
      </c>
      <c r="F92" s="3266"/>
      <c r="G92" s="3267">
        <f t="shared" si="8"/>
        <v>0</v>
      </c>
      <c r="H92" s="3268">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5">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1051">
        <f t="shared" si="11"/>
        <v>0</v>
      </c>
      <c r="AW92" s="1051">
        <f t="shared" si="12"/>
        <v>0</v>
      </c>
      <c r="AX92" s="1051">
        <f t="shared" si="13"/>
        <v>0</v>
      </c>
      <c r="AY92" s="3313">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20">
        <f t="shared" si="35"/>
        <v>0</v>
      </c>
    </row>
    <row r="93" spans="1:72">
      <c r="A93" s="3263"/>
      <c r="B93" s="3264"/>
      <c r="C93" s="3264"/>
      <c r="D93" s="3271"/>
      <c r="E93" s="3265">
        <f t="shared" si="7"/>
        <v>0</v>
      </c>
      <c r="F93" s="3266"/>
      <c r="G93" s="3267">
        <f t="shared" si="8"/>
        <v>0</v>
      </c>
      <c r="H93" s="3268">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5">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1051">
        <f t="shared" si="11"/>
        <v>0</v>
      </c>
      <c r="AW93" s="1051">
        <f t="shared" si="12"/>
        <v>0</v>
      </c>
      <c r="AX93" s="1051">
        <f t="shared" si="13"/>
        <v>0</v>
      </c>
      <c r="AY93" s="3313">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20">
        <f t="shared" si="35"/>
        <v>0</v>
      </c>
    </row>
    <row r="94" spans="1:72">
      <c r="A94" s="3263"/>
      <c r="B94" s="3264"/>
      <c r="C94" s="3264"/>
      <c r="D94" s="3271"/>
      <c r="E94" s="3265">
        <f t="shared" si="7"/>
        <v>0</v>
      </c>
      <c r="F94" s="3266"/>
      <c r="G94" s="3267">
        <f t="shared" si="8"/>
        <v>0</v>
      </c>
      <c r="H94" s="3268">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5">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1051">
        <f t="shared" si="11"/>
        <v>0</v>
      </c>
      <c r="AW94" s="1051">
        <f t="shared" si="12"/>
        <v>0</v>
      </c>
      <c r="AX94" s="1051">
        <f t="shared" si="13"/>
        <v>0</v>
      </c>
      <c r="AY94" s="3313">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20">
        <f t="shared" si="35"/>
        <v>0</v>
      </c>
    </row>
    <row r="95" spans="1:72">
      <c r="A95" s="3263"/>
      <c r="B95" s="3264"/>
      <c r="C95" s="3264"/>
      <c r="D95" s="3271"/>
      <c r="E95" s="3265">
        <f t="shared" si="7"/>
        <v>0</v>
      </c>
      <c r="F95" s="3266"/>
      <c r="G95" s="3267">
        <f t="shared" si="8"/>
        <v>0</v>
      </c>
      <c r="H95" s="3268">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5">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1051">
        <f t="shared" si="11"/>
        <v>0</v>
      </c>
      <c r="AW95" s="1051">
        <f t="shared" si="12"/>
        <v>0</v>
      </c>
      <c r="AX95" s="1051">
        <f t="shared" si="13"/>
        <v>0</v>
      </c>
      <c r="AY95" s="3313">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20">
        <f t="shared" si="35"/>
        <v>0</v>
      </c>
    </row>
    <row r="96" spans="1:72">
      <c r="A96" s="3263"/>
      <c r="B96" s="3264"/>
      <c r="C96" s="3264"/>
      <c r="D96" s="3271"/>
      <c r="E96" s="3265">
        <f t="shared" si="7"/>
        <v>0</v>
      </c>
      <c r="F96" s="3266"/>
      <c r="G96" s="3267">
        <f t="shared" si="8"/>
        <v>0</v>
      </c>
      <c r="H96" s="3268">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5">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1051">
        <f t="shared" si="11"/>
        <v>0</v>
      </c>
      <c r="AW96" s="1051">
        <f t="shared" si="12"/>
        <v>0</v>
      </c>
      <c r="AX96" s="1051">
        <f t="shared" si="13"/>
        <v>0</v>
      </c>
      <c r="AY96" s="3313">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20">
        <f t="shared" si="35"/>
        <v>0</v>
      </c>
    </row>
    <row r="97" spans="1:72">
      <c r="A97" s="3263"/>
      <c r="B97" s="3264"/>
      <c r="C97" s="3264"/>
      <c r="D97" s="3271"/>
      <c r="E97" s="3265">
        <f t="shared" si="7"/>
        <v>0</v>
      </c>
      <c r="F97" s="3266"/>
      <c r="G97" s="3267">
        <f t="shared" si="8"/>
        <v>0</v>
      </c>
      <c r="H97" s="3268">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5">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1051">
        <f t="shared" si="11"/>
        <v>0</v>
      </c>
      <c r="AW97" s="1051">
        <f t="shared" si="12"/>
        <v>0</v>
      </c>
      <c r="AX97" s="1051">
        <f t="shared" si="13"/>
        <v>0</v>
      </c>
      <c r="AY97" s="3313">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20">
        <f t="shared" si="35"/>
        <v>0</v>
      </c>
    </row>
    <row r="98" spans="1:72">
      <c r="A98" s="3263"/>
      <c r="B98" s="3264"/>
      <c r="C98" s="3264"/>
      <c r="D98" s="3271"/>
      <c r="E98" s="3265">
        <f t="shared" si="7"/>
        <v>0</v>
      </c>
      <c r="F98" s="3266"/>
      <c r="G98" s="3267">
        <f t="shared" si="8"/>
        <v>0</v>
      </c>
      <c r="H98" s="3268">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5">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1051">
        <f t="shared" si="11"/>
        <v>0</v>
      </c>
      <c r="AW98" s="1051">
        <f t="shared" si="12"/>
        <v>0</v>
      </c>
      <c r="AX98" s="1051">
        <f t="shared" si="13"/>
        <v>0</v>
      </c>
      <c r="AY98" s="3313">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20">
        <f t="shared" si="35"/>
        <v>0</v>
      </c>
    </row>
    <row r="99" spans="1:72">
      <c r="A99" s="3263"/>
      <c r="B99" s="3264"/>
      <c r="C99" s="3264"/>
      <c r="D99" s="3271"/>
      <c r="E99" s="3265">
        <f t="shared" si="7"/>
        <v>0</v>
      </c>
      <c r="F99" s="3266"/>
      <c r="G99" s="3267">
        <f t="shared" si="8"/>
        <v>0</v>
      </c>
      <c r="H99" s="3268">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5">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1051">
        <f t="shared" si="11"/>
        <v>0</v>
      </c>
      <c r="AW99" s="1051">
        <f t="shared" si="12"/>
        <v>0</v>
      </c>
      <c r="AX99" s="1051">
        <f t="shared" si="13"/>
        <v>0</v>
      </c>
      <c r="AY99" s="3313">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20">
        <f t="shared" si="35"/>
        <v>0</v>
      </c>
    </row>
    <row r="100" spans="1:72">
      <c r="A100" s="3263"/>
      <c r="B100" s="3264"/>
      <c r="C100" s="3264"/>
      <c r="D100" s="3271"/>
      <c r="E100" s="3265">
        <f t="shared" si="7"/>
        <v>0</v>
      </c>
      <c r="F100" s="3266"/>
      <c r="G100" s="3267">
        <f t="shared" si="8"/>
        <v>0</v>
      </c>
      <c r="H100" s="3268">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5">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1051">
        <f t="shared" si="11"/>
        <v>0</v>
      </c>
      <c r="AW100" s="1051">
        <f t="shared" si="12"/>
        <v>0</v>
      </c>
      <c r="AX100" s="1051">
        <f t="shared" si="13"/>
        <v>0</v>
      </c>
      <c r="AY100" s="3313">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20">
        <f t="shared" si="35"/>
        <v>0</v>
      </c>
    </row>
    <row r="101" spans="1:72">
      <c r="A101" s="3263"/>
      <c r="B101" s="3264"/>
      <c r="C101" s="3264"/>
      <c r="D101" s="3271"/>
      <c r="E101" s="3265">
        <f t="shared" si="7"/>
        <v>0</v>
      </c>
      <c r="F101" s="3266"/>
      <c r="G101" s="3267">
        <f t="shared" si="8"/>
        <v>0</v>
      </c>
      <c r="H101" s="3268">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5">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1051">
        <f t="shared" si="11"/>
        <v>0</v>
      </c>
      <c r="AW101" s="1051">
        <f t="shared" si="12"/>
        <v>0</v>
      </c>
      <c r="AX101" s="1051">
        <f t="shared" si="13"/>
        <v>0</v>
      </c>
      <c r="AY101" s="3313">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20">
        <f t="shared" si="35"/>
        <v>0</v>
      </c>
    </row>
    <row r="102" spans="1:72">
      <c r="A102" s="3263"/>
      <c r="B102" s="3264"/>
      <c r="C102" s="3264"/>
      <c r="D102" s="3271"/>
      <c r="E102" s="3265">
        <f t="shared" si="7"/>
        <v>0</v>
      </c>
      <c r="F102" s="3266"/>
      <c r="G102" s="3267">
        <f t="shared" si="8"/>
        <v>0</v>
      </c>
      <c r="H102" s="3268">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5">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1051">
        <f t="shared" si="11"/>
        <v>0</v>
      </c>
      <c r="AW102" s="1051">
        <f t="shared" si="12"/>
        <v>0</v>
      </c>
      <c r="AX102" s="1051">
        <f t="shared" si="13"/>
        <v>0</v>
      </c>
      <c r="AY102" s="3313">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20">
        <f t="shared" si="35"/>
        <v>0</v>
      </c>
    </row>
    <row r="103" spans="1:72">
      <c r="A103" s="3263"/>
      <c r="B103" s="3264"/>
      <c r="C103" s="3264"/>
      <c r="D103" s="3271"/>
      <c r="E103" s="3265">
        <f t="shared" si="7"/>
        <v>0</v>
      </c>
      <c r="F103" s="3266"/>
      <c r="G103" s="3267">
        <f t="shared" si="8"/>
        <v>0</v>
      </c>
      <c r="H103" s="3268">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5">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1051">
        <f t="shared" si="11"/>
        <v>0</v>
      </c>
      <c r="AW103" s="1051">
        <f t="shared" si="12"/>
        <v>0</v>
      </c>
      <c r="AX103" s="1051">
        <f t="shared" si="13"/>
        <v>0</v>
      </c>
      <c r="AY103" s="3313">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20">
        <f t="shared" si="35"/>
        <v>0</v>
      </c>
    </row>
    <row r="104" spans="1:72">
      <c r="A104" s="3263"/>
      <c r="B104" s="3264"/>
      <c r="C104" s="3264"/>
      <c r="D104" s="3271"/>
      <c r="E104" s="3265">
        <f t="shared" si="7"/>
        <v>0</v>
      </c>
      <c r="F104" s="3266"/>
      <c r="G104" s="3267">
        <f t="shared" si="8"/>
        <v>0</v>
      </c>
      <c r="H104" s="3268">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5">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1051">
        <f t="shared" si="11"/>
        <v>0</v>
      </c>
      <c r="AW104" s="1051">
        <f t="shared" si="12"/>
        <v>0</v>
      </c>
      <c r="AX104" s="1051">
        <f t="shared" si="13"/>
        <v>0</v>
      </c>
      <c r="AY104" s="3313">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20">
        <f t="shared" si="35"/>
        <v>0</v>
      </c>
    </row>
    <row r="105" spans="1:72">
      <c r="A105" s="3263"/>
      <c r="B105" s="3264"/>
      <c r="C105" s="3264"/>
      <c r="D105" s="3271"/>
      <c r="E105" s="3265">
        <f t="shared" si="7"/>
        <v>0</v>
      </c>
      <c r="F105" s="3266"/>
      <c r="G105" s="3267">
        <f t="shared" si="8"/>
        <v>0</v>
      </c>
      <c r="H105" s="3268">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5">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1051">
        <f t="shared" si="11"/>
        <v>0</v>
      </c>
      <c r="AW105" s="1051">
        <f t="shared" si="12"/>
        <v>0</v>
      </c>
      <c r="AX105" s="1051">
        <f t="shared" si="13"/>
        <v>0</v>
      </c>
      <c r="AY105" s="3313">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20">
        <f t="shared" si="35"/>
        <v>0</v>
      </c>
    </row>
    <row r="106" spans="1:72">
      <c r="A106" s="3263"/>
      <c r="B106" s="3264"/>
      <c r="C106" s="3264"/>
      <c r="D106" s="3271"/>
      <c r="E106" s="3265">
        <f t="shared" si="7"/>
        <v>0</v>
      </c>
      <c r="F106" s="3266"/>
      <c r="G106" s="3267">
        <f t="shared" si="8"/>
        <v>0</v>
      </c>
      <c r="H106" s="3268">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5">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1051">
        <f t="shared" si="11"/>
        <v>0</v>
      </c>
      <c r="AW106" s="1051">
        <f t="shared" si="12"/>
        <v>0</v>
      </c>
      <c r="AX106" s="1051">
        <f t="shared" si="13"/>
        <v>0</v>
      </c>
      <c r="AY106" s="3313">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20">
        <f t="shared" si="35"/>
        <v>0</v>
      </c>
    </row>
    <row r="107" spans="1:72">
      <c r="A107" s="3263"/>
      <c r="B107" s="3264"/>
      <c r="C107" s="3264"/>
      <c r="D107" s="3271"/>
      <c r="E107" s="3265">
        <f t="shared" si="7"/>
        <v>0</v>
      </c>
      <c r="F107" s="3266"/>
      <c r="G107" s="3267">
        <f t="shared" si="8"/>
        <v>0</v>
      </c>
      <c r="H107" s="3268">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5">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1051">
        <f t="shared" si="11"/>
        <v>0</v>
      </c>
      <c r="AW107" s="1051">
        <f t="shared" si="12"/>
        <v>0</v>
      </c>
      <c r="AX107" s="1051">
        <f t="shared" si="13"/>
        <v>0</v>
      </c>
      <c r="AY107" s="3313">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20">
        <f t="shared" si="35"/>
        <v>0</v>
      </c>
    </row>
    <row r="108" spans="1:72">
      <c r="A108" s="3263"/>
      <c r="B108" s="3264"/>
      <c r="C108" s="3264"/>
      <c r="D108" s="3271"/>
      <c r="E108" s="3265">
        <f t="shared" si="7"/>
        <v>0</v>
      </c>
      <c r="F108" s="3266"/>
      <c r="G108" s="3267">
        <f t="shared" si="8"/>
        <v>0</v>
      </c>
      <c r="H108" s="3268">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5">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1051">
        <f t="shared" si="11"/>
        <v>0</v>
      </c>
      <c r="AW108" s="1051">
        <f t="shared" si="12"/>
        <v>0</v>
      </c>
      <c r="AX108" s="1051">
        <f t="shared" si="13"/>
        <v>0</v>
      </c>
      <c r="AY108" s="3313">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20">
        <f t="shared" si="35"/>
        <v>0</v>
      </c>
    </row>
    <row r="109" spans="1:72">
      <c r="A109" s="3263"/>
      <c r="B109" s="3264"/>
      <c r="C109" s="3264"/>
      <c r="D109" s="3271"/>
      <c r="E109" s="3265">
        <f t="shared" si="7"/>
        <v>0</v>
      </c>
      <c r="F109" s="3266"/>
      <c r="G109" s="3267">
        <f t="shared" si="8"/>
        <v>0</v>
      </c>
      <c r="H109" s="3268">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5">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1051">
        <f t="shared" si="11"/>
        <v>0</v>
      </c>
      <c r="AW109" s="1051">
        <f t="shared" si="12"/>
        <v>0</v>
      </c>
      <c r="AX109" s="1051">
        <f t="shared" si="13"/>
        <v>0</v>
      </c>
      <c r="AY109" s="3313">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20">
        <f t="shared" si="35"/>
        <v>0</v>
      </c>
    </row>
    <row r="110" spans="1:72">
      <c r="A110" s="3263"/>
      <c r="B110" s="3263"/>
      <c r="C110" s="3263"/>
      <c r="D110" s="3271"/>
      <c r="E110" s="3265">
        <f t="shared" si="7"/>
        <v>0</v>
      </c>
      <c r="F110" s="3321"/>
      <c r="G110" s="3267">
        <f t="shared" ref="G110:G141" si="36">H110+AC110+AT110</f>
        <v>0</v>
      </c>
      <c r="H110" s="3268">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5">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1051">
        <f t="shared" si="11"/>
        <v>0</v>
      </c>
      <c r="AW110" s="1051">
        <f t="shared" si="12"/>
        <v>0</v>
      </c>
      <c r="AX110" s="1051">
        <f t="shared" si="13"/>
        <v>0</v>
      </c>
      <c r="AY110" s="3313">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20">
        <f t="shared" ref="BT110:BT141" si="60">IF($D110="是",AR110-AS110,0)</f>
        <v>0</v>
      </c>
    </row>
    <row r="111" spans="1:72">
      <c r="A111" s="3263"/>
      <c r="B111" s="3263"/>
      <c r="C111" s="3263"/>
      <c r="D111" s="3271"/>
      <c r="E111" s="3265">
        <f t="shared" si="7"/>
        <v>0</v>
      </c>
      <c r="F111" s="3321"/>
      <c r="G111" s="3267">
        <f t="shared" si="36"/>
        <v>0</v>
      </c>
      <c r="H111" s="3268">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5">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1051">
        <f t="shared" si="11"/>
        <v>0</v>
      </c>
      <c r="AW111" s="1051">
        <f t="shared" si="12"/>
        <v>0</v>
      </c>
      <c r="AX111" s="1051">
        <f t="shared" si="13"/>
        <v>0</v>
      </c>
      <c r="AY111" s="3313">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20">
        <f t="shared" si="60"/>
        <v>0</v>
      </c>
    </row>
    <row r="112" spans="1:72">
      <c r="A112" s="3263"/>
      <c r="B112" s="3263"/>
      <c r="C112" s="3263"/>
      <c r="D112" s="3271"/>
      <c r="E112" s="3265">
        <f t="shared" si="7"/>
        <v>0</v>
      </c>
      <c r="F112" s="3321"/>
      <c r="G112" s="3267">
        <f t="shared" si="36"/>
        <v>0</v>
      </c>
      <c r="H112" s="3268">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5">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1051">
        <f t="shared" si="11"/>
        <v>0</v>
      </c>
      <c r="AW112" s="1051">
        <f t="shared" si="12"/>
        <v>0</v>
      </c>
      <c r="AX112" s="1051">
        <f t="shared" si="13"/>
        <v>0</v>
      </c>
      <c r="AY112" s="3313">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20">
        <f t="shared" si="60"/>
        <v>0</v>
      </c>
    </row>
    <row r="113" spans="1:72">
      <c r="A113" s="3263"/>
      <c r="B113" s="3264"/>
      <c r="C113" s="3264"/>
      <c r="D113" s="3271"/>
      <c r="E113" s="3265">
        <f t="shared" ref="E113:E144" si="61">IF($C$3="是",ROUND($A$3*G113/$B$3,2),ROUND($A$3*(G113-AT113)/$B$3,2))</f>
        <v>0</v>
      </c>
      <c r="F113" s="3266"/>
      <c r="G113" s="3267">
        <f t="shared" si="36"/>
        <v>0</v>
      </c>
      <c r="H113" s="3268">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5">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1051">
        <f t="shared" ref="AV113:AV144" si="62">A113</f>
        <v>0</v>
      </c>
      <c r="AW113" s="1051">
        <f t="shared" ref="AW113:AW144" si="63">B113</f>
        <v>0</v>
      </c>
      <c r="AX113" s="1051">
        <f t="shared" ref="AX113:AX144" si="64">C113</f>
        <v>0</v>
      </c>
      <c r="AY113" s="3313">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20">
        <f t="shared" si="60"/>
        <v>0</v>
      </c>
    </row>
    <row r="114" spans="1:72">
      <c r="A114" s="3263"/>
      <c r="B114" s="3264"/>
      <c r="C114" s="3264"/>
      <c r="D114" s="3271"/>
      <c r="E114" s="3265">
        <f t="shared" si="61"/>
        <v>0</v>
      </c>
      <c r="F114" s="3266"/>
      <c r="G114" s="3267">
        <f t="shared" si="36"/>
        <v>0</v>
      </c>
      <c r="H114" s="3268">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5">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1051">
        <f t="shared" si="62"/>
        <v>0</v>
      </c>
      <c r="AW114" s="1051">
        <f t="shared" si="63"/>
        <v>0</v>
      </c>
      <c r="AX114" s="1051">
        <f t="shared" si="64"/>
        <v>0</v>
      </c>
      <c r="AY114" s="3313">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20">
        <f t="shared" si="60"/>
        <v>0</v>
      </c>
    </row>
    <row r="115" spans="1:72">
      <c r="A115" s="3263"/>
      <c r="B115" s="3264"/>
      <c r="C115" s="3264"/>
      <c r="D115" s="3271"/>
      <c r="E115" s="3265">
        <f t="shared" si="61"/>
        <v>0</v>
      </c>
      <c r="F115" s="3266"/>
      <c r="G115" s="3267">
        <f t="shared" si="36"/>
        <v>0</v>
      </c>
      <c r="H115" s="3268">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5">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1051">
        <f t="shared" si="62"/>
        <v>0</v>
      </c>
      <c r="AW115" s="1051">
        <f t="shared" si="63"/>
        <v>0</v>
      </c>
      <c r="AX115" s="1051">
        <f t="shared" si="64"/>
        <v>0</v>
      </c>
      <c r="AY115" s="3313">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20">
        <f t="shared" si="60"/>
        <v>0</v>
      </c>
    </row>
    <row r="116" spans="1:72">
      <c r="A116" s="3263"/>
      <c r="B116" s="3264"/>
      <c r="C116" s="3264"/>
      <c r="D116" s="3271"/>
      <c r="E116" s="3265">
        <f t="shared" si="61"/>
        <v>0</v>
      </c>
      <c r="F116" s="3266"/>
      <c r="G116" s="3267">
        <f t="shared" si="36"/>
        <v>0</v>
      </c>
      <c r="H116" s="3268">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5">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1051">
        <f t="shared" si="62"/>
        <v>0</v>
      </c>
      <c r="AW116" s="1051">
        <f t="shared" si="63"/>
        <v>0</v>
      </c>
      <c r="AX116" s="1051">
        <f t="shared" si="64"/>
        <v>0</v>
      </c>
      <c r="AY116" s="3313">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20">
        <f t="shared" si="60"/>
        <v>0</v>
      </c>
    </row>
    <row r="117" spans="1:72">
      <c r="A117" s="3263"/>
      <c r="B117" s="3264"/>
      <c r="C117" s="3264"/>
      <c r="D117" s="3271"/>
      <c r="E117" s="3265">
        <f t="shared" si="61"/>
        <v>0</v>
      </c>
      <c r="F117" s="3266"/>
      <c r="G117" s="3267">
        <f t="shared" si="36"/>
        <v>0</v>
      </c>
      <c r="H117" s="3268">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5">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1051">
        <f t="shared" si="62"/>
        <v>0</v>
      </c>
      <c r="AW117" s="1051">
        <f t="shared" si="63"/>
        <v>0</v>
      </c>
      <c r="AX117" s="1051">
        <f t="shared" si="64"/>
        <v>0</v>
      </c>
      <c r="AY117" s="3313">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20">
        <f t="shared" si="60"/>
        <v>0</v>
      </c>
    </row>
    <row r="118" spans="1:72">
      <c r="A118" s="3263"/>
      <c r="B118" s="3264"/>
      <c r="C118" s="3264"/>
      <c r="D118" s="3271"/>
      <c r="E118" s="3265">
        <f t="shared" si="61"/>
        <v>0</v>
      </c>
      <c r="F118" s="3266"/>
      <c r="G118" s="3267">
        <f t="shared" si="36"/>
        <v>0</v>
      </c>
      <c r="H118" s="3268">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5">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1051">
        <f t="shared" si="62"/>
        <v>0</v>
      </c>
      <c r="AW118" s="1051">
        <f t="shared" si="63"/>
        <v>0</v>
      </c>
      <c r="AX118" s="1051">
        <f t="shared" si="64"/>
        <v>0</v>
      </c>
      <c r="AY118" s="3313">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20">
        <f t="shared" si="60"/>
        <v>0</v>
      </c>
    </row>
    <row r="119" spans="1:72">
      <c r="A119" s="3263"/>
      <c r="B119" s="3264"/>
      <c r="C119" s="3264"/>
      <c r="D119" s="3271"/>
      <c r="E119" s="3265">
        <f t="shared" si="61"/>
        <v>0</v>
      </c>
      <c r="F119" s="3266"/>
      <c r="G119" s="3267">
        <f t="shared" si="36"/>
        <v>0</v>
      </c>
      <c r="H119" s="3268">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5">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1051">
        <f t="shared" si="62"/>
        <v>0</v>
      </c>
      <c r="AW119" s="1051">
        <f t="shared" si="63"/>
        <v>0</v>
      </c>
      <c r="AX119" s="1051">
        <f t="shared" si="64"/>
        <v>0</v>
      </c>
      <c r="AY119" s="3313">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20">
        <f t="shared" si="60"/>
        <v>0</v>
      </c>
    </row>
    <row r="120" spans="1:72">
      <c r="A120" s="3263"/>
      <c r="B120" s="3264"/>
      <c r="C120" s="3264"/>
      <c r="D120" s="3271"/>
      <c r="E120" s="3265">
        <f t="shared" si="61"/>
        <v>0</v>
      </c>
      <c r="F120" s="3266"/>
      <c r="G120" s="3267">
        <f t="shared" si="36"/>
        <v>0</v>
      </c>
      <c r="H120" s="3268">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5">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1051">
        <f t="shared" si="62"/>
        <v>0</v>
      </c>
      <c r="AW120" s="1051">
        <f t="shared" si="63"/>
        <v>0</v>
      </c>
      <c r="AX120" s="1051">
        <f t="shared" si="64"/>
        <v>0</v>
      </c>
      <c r="AY120" s="3313">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20">
        <f t="shared" si="60"/>
        <v>0</v>
      </c>
    </row>
    <row r="121" spans="1:72">
      <c r="A121" s="3263"/>
      <c r="B121" s="3264"/>
      <c r="C121" s="3264"/>
      <c r="D121" s="3271"/>
      <c r="E121" s="3265">
        <f t="shared" si="61"/>
        <v>0</v>
      </c>
      <c r="F121" s="3266"/>
      <c r="G121" s="3267">
        <f t="shared" si="36"/>
        <v>0</v>
      </c>
      <c r="H121" s="3268">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5">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1051">
        <f t="shared" si="62"/>
        <v>0</v>
      </c>
      <c r="AW121" s="1051">
        <f t="shared" si="63"/>
        <v>0</v>
      </c>
      <c r="AX121" s="1051">
        <f t="shared" si="64"/>
        <v>0</v>
      </c>
      <c r="AY121" s="3313">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20">
        <f t="shared" si="60"/>
        <v>0</v>
      </c>
    </row>
    <row r="122" spans="1:72">
      <c r="A122" s="3263"/>
      <c r="B122" s="3264"/>
      <c r="C122" s="3264"/>
      <c r="D122" s="3271"/>
      <c r="E122" s="3265">
        <f t="shared" si="61"/>
        <v>0</v>
      </c>
      <c r="F122" s="3266"/>
      <c r="G122" s="3267">
        <f t="shared" si="36"/>
        <v>0</v>
      </c>
      <c r="H122" s="3268">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5">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1051">
        <f t="shared" si="62"/>
        <v>0</v>
      </c>
      <c r="AW122" s="1051">
        <f t="shared" si="63"/>
        <v>0</v>
      </c>
      <c r="AX122" s="1051">
        <f t="shared" si="64"/>
        <v>0</v>
      </c>
      <c r="AY122" s="3313">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20">
        <f t="shared" si="60"/>
        <v>0</v>
      </c>
    </row>
    <row r="123" spans="1:72">
      <c r="A123" s="3263"/>
      <c r="B123" s="3264"/>
      <c r="C123" s="3264"/>
      <c r="D123" s="3271"/>
      <c r="E123" s="3265">
        <f t="shared" si="61"/>
        <v>0</v>
      </c>
      <c r="F123" s="3266"/>
      <c r="G123" s="3267">
        <f t="shared" si="36"/>
        <v>0</v>
      </c>
      <c r="H123" s="3268">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5">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1051">
        <f t="shared" si="62"/>
        <v>0</v>
      </c>
      <c r="AW123" s="1051">
        <f t="shared" si="63"/>
        <v>0</v>
      </c>
      <c r="AX123" s="1051">
        <f t="shared" si="64"/>
        <v>0</v>
      </c>
      <c r="AY123" s="3313">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20">
        <f t="shared" si="60"/>
        <v>0</v>
      </c>
    </row>
    <row r="124" spans="1:72">
      <c r="A124" s="3263"/>
      <c r="B124" s="3264"/>
      <c r="C124" s="3264"/>
      <c r="D124" s="3271"/>
      <c r="E124" s="3265">
        <f t="shared" si="61"/>
        <v>0</v>
      </c>
      <c r="F124" s="3266"/>
      <c r="G124" s="3267">
        <f t="shared" si="36"/>
        <v>0</v>
      </c>
      <c r="H124" s="3268">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5">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1051">
        <f t="shared" si="62"/>
        <v>0</v>
      </c>
      <c r="AW124" s="1051">
        <f t="shared" si="63"/>
        <v>0</v>
      </c>
      <c r="AX124" s="1051">
        <f t="shared" si="64"/>
        <v>0</v>
      </c>
      <c r="AY124" s="3313">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20">
        <f t="shared" si="60"/>
        <v>0</v>
      </c>
    </row>
    <row r="125" spans="1:72">
      <c r="A125" s="3263"/>
      <c r="B125" s="3264"/>
      <c r="C125" s="3264"/>
      <c r="D125" s="3271"/>
      <c r="E125" s="3265">
        <f t="shared" si="61"/>
        <v>0</v>
      </c>
      <c r="F125" s="3266"/>
      <c r="G125" s="3267">
        <f t="shared" si="36"/>
        <v>0</v>
      </c>
      <c r="H125" s="3268">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5">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1051">
        <f t="shared" si="62"/>
        <v>0</v>
      </c>
      <c r="AW125" s="1051">
        <f t="shared" si="63"/>
        <v>0</v>
      </c>
      <c r="AX125" s="1051">
        <f t="shared" si="64"/>
        <v>0</v>
      </c>
      <c r="AY125" s="3313">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20">
        <f t="shared" si="60"/>
        <v>0</v>
      </c>
    </row>
    <row r="126" spans="1:72">
      <c r="A126" s="3263"/>
      <c r="B126" s="3264"/>
      <c r="C126" s="3264"/>
      <c r="D126" s="3271"/>
      <c r="E126" s="3265">
        <f t="shared" si="61"/>
        <v>0</v>
      </c>
      <c r="F126" s="3266"/>
      <c r="G126" s="3267">
        <f t="shared" si="36"/>
        <v>0</v>
      </c>
      <c r="H126" s="3268">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5">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1051">
        <f t="shared" si="62"/>
        <v>0</v>
      </c>
      <c r="AW126" s="1051">
        <f t="shared" si="63"/>
        <v>0</v>
      </c>
      <c r="AX126" s="1051">
        <f t="shared" si="64"/>
        <v>0</v>
      </c>
      <c r="AY126" s="3313">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20">
        <f t="shared" si="60"/>
        <v>0</v>
      </c>
    </row>
    <row r="127" spans="1:72">
      <c r="A127" s="3263"/>
      <c r="B127" s="3264"/>
      <c r="C127" s="3264"/>
      <c r="D127" s="3271"/>
      <c r="E127" s="3265">
        <f t="shared" si="61"/>
        <v>0</v>
      </c>
      <c r="F127" s="3266"/>
      <c r="G127" s="3267">
        <f t="shared" si="36"/>
        <v>0</v>
      </c>
      <c r="H127" s="3268">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5">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1051">
        <f t="shared" si="62"/>
        <v>0</v>
      </c>
      <c r="AW127" s="1051">
        <f t="shared" si="63"/>
        <v>0</v>
      </c>
      <c r="AX127" s="1051">
        <f t="shared" si="64"/>
        <v>0</v>
      </c>
      <c r="AY127" s="3313">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20">
        <f t="shared" si="60"/>
        <v>0</v>
      </c>
    </row>
    <row r="128" spans="1:72">
      <c r="A128" s="3263"/>
      <c r="B128" s="3264"/>
      <c r="C128" s="3264"/>
      <c r="D128" s="3271"/>
      <c r="E128" s="3265">
        <f t="shared" si="61"/>
        <v>0</v>
      </c>
      <c r="F128" s="3266"/>
      <c r="G128" s="3267">
        <f t="shared" si="36"/>
        <v>0</v>
      </c>
      <c r="H128" s="3268">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5">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1051">
        <f t="shared" si="62"/>
        <v>0</v>
      </c>
      <c r="AW128" s="1051">
        <f t="shared" si="63"/>
        <v>0</v>
      </c>
      <c r="AX128" s="1051">
        <f t="shared" si="64"/>
        <v>0</v>
      </c>
      <c r="AY128" s="3313">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20">
        <f t="shared" si="60"/>
        <v>0</v>
      </c>
    </row>
    <row r="129" spans="1:72">
      <c r="A129" s="3263"/>
      <c r="B129" s="3264"/>
      <c r="C129" s="3264"/>
      <c r="D129" s="3271"/>
      <c r="E129" s="3265">
        <f t="shared" si="61"/>
        <v>0</v>
      </c>
      <c r="F129" s="3266"/>
      <c r="G129" s="3267">
        <f t="shared" si="36"/>
        <v>0</v>
      </c>
      <c r="H129" s="3268">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5">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1051">
        <f t="shared" si="62"/>
        <v>0</v>
      </c>
      <c r="AW129" s="1051">
        <f t="shared" si="63"/>
        <v>0</v>
      </c>
      <c r="AX129" s="1051">
        <f t="shared" si="64"/>
        <v>0</v>
      </c>
      <c r="AY129" s="3313">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20">
        <f t="shared" si="60"/>
        <v>0</v>
      </c>
    </row>
    <row r="130" spans="1:72">
      <c r="A130" s="3263"/>
      <c r="B130" s="3264"/>
      <c r="C130" s="3264"/>
      <c r="D130" s="3271"/>
      <c r="E130" s="3265">
        <f t="shared" si="61"/>
        <v>0</v>
      </c>
      <c r="F130" s="3266"/>
      <c r="G130" s="3267">
        <f t="shared" si="36"/>
        <v>0</v>
      </c>
      <c r="H130" s="3268">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5">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1051">
        <f t="shared" si="62"/>
        <v>0</v>
      </c>
      <c r="AW130" s="1051">
        <f t="shared" si="63"/>
        <v>0</v>
      </c>
      <c r="AX130" s="1051">
        <f t="shared" si="64"/>
        <v>0</v>
      </c>
      <c r="AY130" s="3313">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20">
        <f t="shared" si="60"/>
        <v>0</v>
      </c>
    </row>
    <row r="131" spans="1:72">
      <c r="A131" s="3263"/>
      <c r="B131" s="3264"/>
      <c r="C131" s="3264"/>
      <c r="D131" s="3271"/>
      <c r="E131" s="3265">
        <f t="shared" si="61"/>
        <v>0</v>
      </c>
      <c r="F131" s="3266"/>
      <c r="G131" s="3267">
        <f t="shared" si="36"/>
        <v>0</v>
      </c>
      <c r="H131" s="3268">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5">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1051">
        <f t="shared" si="62"/>
        <v>0</v>
      </c>
      <c r="AW131" s="1051">
        <f t="shared" si="63"/>
        <v>0</v>
      </c>
      <c r="AX131" s="1051">
        <f t="shared" si="64"/>
        <v>0</v>
      </c>
      <c r="AY131" s="3313">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20">
        <f t="shared" si="60"/>
        <v>0</v>
      </c>
    </row>
    <row r="132" spans="1:72">
      <c r="A132" s="3263"/>
      <c r="B132" s="3264"/>
      <c r="C132" s="3264"/>
      <c r="D132" s="3271"/>
      <c r="E132" s="3265">
        <f t="shared" si="61"/>
        <v>0</v>
      </c>
      <c r="F132" s="3266"/>
      <c r="G132" s="3267">
        <f t="shared" si="36"/>
        <v>0</v>
      </c>
      <c r="H132" s="3268">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5">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1051">
        <f t="shared" si="62"/>
        <v>0</v>
      </c>
      <c r="AW132" s="1051">
        <f t="shared" si="63"/>
        <v>0</v>
      </c>
      <c r="AX132" s="1051">
        <f t="shared" si="64"/>
        <v>0</v>
      </c>
      <c r="AY132" s="3313">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20">
        <f t="shared" si="60"/>
        <v>0</v>
      </c>
    </row>
    <row r="133" spans="1:72">
      <c r="A133" s="3263"/>
      <c r="B133" s="3264"/>
      <c r="C133" s="3264"/>
      <c r="D133" s="3271"/>
      <c r="E133" s="3265">
        <f t="shared" si="61"/>
        <v>0</v>
      </c>
      <c r="F133" s="3266"/>
      <c r="G133" s="3267">
        <f t="shared" si="36"/>
        <v>0</v>
      </c>
      <c r="H133" s="3268">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5">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1051">
        <f t="shared" si="62"/>
        <v>0</v>
      </c>
      <c r="AW133" s="1051">
        <f t="shared" si="63"/>
        <v>0</v>
      </c>
      <c r="AX133" s="1051">
        <f t="shared" si="64"/>
        <v>0</v>
      </c>
      <c r="AY133" s="3313">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20">
        <f t="shared" si="60"/>
        <v>0</v>
      </c>
    </row>
    <row r="134" spans="1:72">
      <c r="A134" s="3263"/>
      <c r="B134" s="3264"/>
      <c r="C134" s="3264"/>
      <c r="D134" s="3271"/>
      <c r="E134" s="3265">
        <f t="shared" si="61"/>
        <v>0</v>
      </c>
      <c r="F134" s="3266"/>
      <c r="G134" s="3267">
        <f t="shared" si="36"/>
        <v>0</v>
      </c>
      <c r="H134" s="3268">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5">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1051">
        <f t="shared" si="62"/>
        <v>0</v>
      </c>
      <c r="AW134" s="1051">
        <f t="shared" si="63"/>
        <v>0</v>
      </c>
      <c r="AX134" s="1051">
        <f t="shared" si="64"/>
        <v>0</v>
      </c>
      <c r="AY134" s="3313">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20">
        <f t="shared" si="60"/>
        <v>0</v>
      </c>
    </row>
    <row r="135" spans="1:72">
      <c r="A135" s="3263"/>
      <c r="B135" s="3264"/>
      <c r="C135" s="3264"/>
      <c r="D135" s="3271"/>
      <c r="E135" s="3265">
        <f t="shared" si="61"/>
        <v>0</v>
      </c>
      <c r="F135" s="3266"/>
      <c r="G135" s="3267">
        <f t="shared" si="36"/>
        <v>0</v>
      </c>
      <c r="H135" s="3268">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5">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1051">
        <f t="shared" si="62"/>
        <v>0</v>
      </c>
      <c r="AW135" s="1051">
        <f t="shared" si="63"/>
        <v>0</v>
      </c>
      <c r="AX135" s="1051">
        <f t="shared" si="64"/>
        <v>0</v>
      </c>
      <c r="AY135" s="3313">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20">
        <f t="shared" si="60"/>
        <v>0</v>
      </c>
    </row>
    <row r="136" spans="1:72">
      <c r="A136" s="3263"/>
      <c r="B136" s="3264"/>
      <c r="C136" s="3264"/>
      <c r="D136" s="3271"/>
      <c r="E136" s="3265">
        <f t="shared" si="61"/>
        <v>0</v>
      </c>
      <c r="F136" s="3266"/>
      <c r="G136" s="3267">
        <f t="shared" si="36"/>
        <v>0</v>
      </c>
      <c r="H136" s="3268">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5">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1051">
        <f t="shared" si="62"/>
        <v>0</v>
      </c>
      <c r="AW136" s="1051">
        <f t="shared" si="63"/>
        <v>0</v>
      </c>
      <c r="AX136" s="1051">
        <f t="shared" si="64"/>
        <v>0</v>
      </c>
      <c r="AY136" s="3313">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20">
        <f t="shared" si="60"/>
        <v>0</v>
      </c>
    </row>
    <row r="137" spans="1:72">
      <c r="A137" s="3263"/>
      <c r="B137" s="3264"/>
      <c r="C137" s="3264"/>
      <c r="D137" s="3271"/>
      <c r="E137" s="3265">
        <f t="shared" si="61"/>
        <v>0</v>
      </c>
      <c r="F137" s="3266"/>
      <c r="G137" s="3267">
        <f t="shared" si="36"/>
        <v>0</v>
      </c>
      <c r="H137" s="3268">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5">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1051">
        <f t="shared" si="62"/>
        <v>0</v>
      </c>
      <c r="AW137" s="1051">
        <f t="shared" si="63"/>
        <v>0</v>
      </c>
      <c r="AX137" s="1051">
        <f t="shared" si="64"/>
        <v>0</v>
      </c>
      <c r="AY137" s="3313">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20">
        <f t="shared" si="60"/>
        <v>0</v>
      </c>
    </row>
    <row r="138" spans="1:72">
      <c r="A138" s="3263"/>
      <c r="B138" s="3264"/>
      <c r="C138" s="3264"/>
      <c r="D138" s="3271"/>
      <c r="E138" s="3265">
        <f t="shared" si="61"/>
        <v>0</v>
      </c>
      <c r="F138" s="3266"/>
      <c r="G138" s="3267">
        <f t="shared" si="36"/>
        <v>0</v>
      </c>
      <c r="H138" s="3268">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5">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1051">
        <f t="shared" si="62"/>
        <v>0</v>
      </c>
      <c r="AW138" s="1051">
        <f t="shared" si="63"/>
        <v>0</v>
      </c>
      <c r="AX138" s="1051">
        <f t="shared" si="64"/>
        <v>0</v>
      </c>
      <c r="AY138" s="3313">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20">
        <f t="shared" si="60"/>
        <v>0</v>
      </c>
    </row>
    <row r="139" spans="1:72">
      <c r="A139" s="3263"/>
      <c r="B139" s="3264"/>
      <c r="C139" s="3264"/>
      <c r="D139" s="3271"/>
      <c r="E139" s="3265">
        <f t="shared" si="61"/>
        <v>0</v>
      </c>
      <c r="F139" s="3266"/>
      <c r="G139" s="3267">
        <f t="shared" si="36"/>
        <v>0</v>
      </c>
      <c r="H139" s="3268">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5">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1051">
        <f t="shared" si="62"/>
        <v>0</v>
      </c>
      <c r="AW139" s="1051">
        <f t="shared" si="63"/>
        <v>0</v>
      </c>
      <c r="AX139" s="1051">
        <f t="shared" si="64"/>
        <v>0</v>
      </c>
      <c r="AY139" s="3313">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20">
        <f t="shared" si="60"/>
        <v>0</v>
      </c>
    </row>
    <row r="140" spans="1:72">
      <c r="A140" s="3263"/>
      <c r="B140" s="3264"/>
      <c r="C140" s="3264"/>
      <c r="D140" s="3271"/>
      <c r="E140" s="3265">
        <f t="shared" si="61"/>
        <v>0</v>
      </c>
      <c r="F140" s="3266"/>
      <c r="G140" s="3267">
        <f t="shared" si="36"/>
        <v>0</v>
      </c>
      <c r="H140" s="3268">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5">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1051">
        <f t="shared" si="62"/>
        <v>0</v>
      </c>
      <c r="AW140" s="1051">
        <f t="shared" si="63"/>
        <v>0</v>
      </c>
      <c r="AX140" s="1051">
        <f t="shared" si="64"/>
        <v>0</v>
      </c>
      <c r="AY140" s="3313">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20">
        <f t="shared" si="60"/>
        <v>0</v>
      </c>
    </row>
    <row r="141" spans="1:72">
      <c r="A141" s="3263"/>
      <c r="B141" s="3264"/>
      <c r="C141" s="3264"/>
      <c r="D141" s="3271"/>
      <c r="E141" s="3265">
        <f t="shared" si="61"/>
        <v>0</v>
      </c>
      <c r="F141" s="3266"/>
      <c r="G141" s="3267">
        <f t="shared" si="36"/>
        <v>0</v>
      </c>
      <c r="H141" s="3268">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5">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1051">
        <f t="shared" si="62"/>
        <v>0</v>
      </c>
      <c r="AW141" s="1051">
        <f t="shared" si="63"/>
        <v>0</v>
      </c>
      <c r="AX141" s="1051">
        <f t="shared" si="64"/>
        <v>0</v>
      </c>
      <c r="AY141" s="3313">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20">
        <f t="shared" si="60"/>
        <v>0</v>
      </c>
    </row>
    <row r="142" spans="1:72">
      <c r="A142" s="3263"/>
      <c r="B142" s="3264"/>
      <c r="C142" s="3264"/>
      <c r="D142" s="3271"/>
      <c r="E142" s="3265">
        <f t="shared" si="61"/>
        <v>0</v>
      </c>
      <c r="F142" s="3266"/>
      <c r="G142" s="3267">
        <f t="shared" ref="G142:G173" si="65">H142+AC142+AT142</f>
        <v>0</v>
      </c>
      <c r="H142" s="3268">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5">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1051">
        <f t="shared" si="62"/>
        <v>0</v>
      </c>
      <c r="AW142" s="1051">
        <f t="shared" si="63"/>
        <v>0</v>
      </c>
      <c r="AX142" s="1051">
        <f t="shared" si="64"/>
        <v>0</v>
      </c>
      <c r="AY142" s="3313">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20">
        <f t="shared" ref="BT142:BT173" si="89">IF($D142="是",AR142-AS142,0)</f>
        <v>0</v>
      </c>
    </row>
    <row r="143" spans="1:72">
      <c r="A143" s="3263"/>
      <c r="B143" s="3264"/>
      <c r="C143" s="3264"/>
      <c r="D143" s="3271"/>
      <c r="E143" s="3265">
        <f t="shared" si="61"/>
        <v>0</v>
      </c>
      <c r="F143" s="3266"/>
      <c r="G143" s="3267">
        <f t="shared" si="65"/>
        <v>0</v>
      </c>
      <c r="H143" s="3268">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5">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1051">
        <f t="shared" si="62"/>
        <v>0</v>
      </c>
      <c r="AW143" s="1051">
        <f t="shared" si="63"/>
        <v>0</v>
      </c>
      <c r="AX143" s="1051">
        <f t="shared" si="64"/>
        <v>0</v>
      </c>
      <c r="AY143" s="3313">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20">
        <f t="shared" si="89"/>
        <v>0</v>
      </c>
    </row>
    <row r="144" spans="1:72">
      <c r="A144" s="3263"/>
      <c r="B144" s="3264"/>
      <c r="C144" s="3264"/>
      <c r="D144" s="3271"/>
      <c r="E144" s="3265">
        <f t="shared" si="61"/>
        <v>0</v>
      </c>
      <c r="F144" s="3266"/>
      <c r="G144" s="3267">
        <f t="shared" si="65"/>
        <v>0</v>
      </c>
      <c r="H144" s="3268">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5">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1051">
        <f t="shared" si="62"/>
        <v>0</v>
      </c>
      <c r="AW144" s="1051">
        <f t="shared" si="63"/>
        <v>0</v>
      </c>
      <c r="AX144" s="1051">
        <f t="shared" si="64"/>
        <v>0</v>
      </c>
      <c r="AY144" s="3313">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20">
        <f t="shared" si="89"/>
        <v>0</v>
      </c>
    </row>
    <row r="145" spans="1:72">
      <c r="A145" s="3263"/>
      <c r="B145" s="3264"/>
      <c r="C145" s="3264"/>
      <c r="D145" s="3271"/>
      <c r="E145" s="3265">
        <f t="shared" ref="E145:E176" si="90">IF($C$3="是",ROUND($A$3*G145/$B$3,2),ROUND($A$3*(G145-AT145)/$B$3,2))</f>
        <v>0</v>
      </c>
      <c r="F145" s="3266"/>
      <c r="G145" s="3267">
        <f t="shared" si="65"/>
        <v>0</v>
      </c>
      <c r="H145" s="3268">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5">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1051">
        <f t="shared" ref="AV145:AV176" si="91">A145</f>
        <v>0</v>
      </c>
      <c r="AW145" s="1051">
        <f t="shared" ref="AW145:AW176" si="92">B145</f>
        <v>0</v>
      </c>
      <c r="AX145" s="1051">
        <f t="shared" ref="AX145:AX176" si="93">C145</f>
        <v>0</v>
      </c>
      <c r="AY145" s="3313">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20">
        <f t="shared" si="89"/>
        <v>0</v>
      </c>
    </row>
    <row r="146" spans="1:72">
      <c r="A146" s="3263"/>
      <c r="B146" s="3264"/>
      <c r="C146" s="3264"/>
      <c r="D146" s="3271"/>
      <c r="E146" s="3265">
        <f t="shared" si="90"/>
        <v>0</v>
      </c>
      <c r="F146" s="3266"/>
      <c r="G146" s="3267">
        <f t="shared" si="65"/>
        <v>0</v>
      </c>
      <c r="H146" s="3268">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5">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1051">
        <f t="shared" si="91"/>
        <v>0</v>
      </c>
      <c r="AW146" s="1051">
        <f t="shared" si="92"/>
        <v>0</v>
      </c>
      <c r="AX146" s="1051">
        <f t="shared" si="93"/>
        <v>0</v>
      </c>
      <c r="AY146" s="3313">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20">
        <f t="shared" si="89"/>
        <v>0</v>
      </c>
    </row>
    <row r="147" spans="1:72">
      <c r="A147" s="3263"/>
      <c r="B147" s="3264"/>
      <c r="C147" s="3264"/>
      <c r="D147" s="3271"/>
      <c r="E147" s="3265">
        <f t="shared" si="90"/>
        <v>0</v>
      </c>
      <c r="F147" s="3266"/>
      <c r="G147" s="3267">
        <f t="shared" si="65"/>
        <v>0</v>
      </c>
      <c r="H147" s="3268">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5">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1051">
        <f t="shared" si="91"/>
        <v>0</v>
      </c>
      <c r="AW147" s="1051">
        <f t="shared" si="92"/>
        <v>0</v>
      </c>
      <c r="AX147" s="1051">
        <f t="shared" si="93"/>
        <v>0</v>
      </c>
      <c r="AY147" s="3313">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20">
        <f t="shared" si="89"/>
        <v>0</v>
      </c>
    </row>
    <row r="148" spans="1:72">
      <c r="A148" s="3263"/>
      <c r="B148" s="3264"/>
      <c r="C148" s="3264"/>
      <c r="D148" s="3271"/>
      <c r="E148" s="3265">
        <f t="shared" si="90"/>
        <v>0</v>
      </c>
      <c r="F148" s="3266"/>
      <c r="G148" s="3267">
        <f t="shared" si="65"/>
        <v>0</v>
      </c>
      <c r="H148" s="3268">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5">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1051">
        <f t="shared" si="91"/>
        <v>0</v>
      </c>
      <c r="AW148" s="1051">
        <f t="shared" si="92"/>
        <v>0</v>
      </c>
      <c r="AX148" s="1051">
        <f t="shared" si="93"/>
        <v>0</v>
      </c>
      <c r="AY148" s="3313">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20">
        <f t="shared" si="89"/>
        <v>0</v>
      </c>
    </row>
    <row r="149" spans="1:72">
      <c r="A149" s="3263"/>
      <c r="B149" s="3264"/>
      <c r="C149" s="3264"/>
      <c r="D149" s="3271"/>
      <c r="E149" s="3265">
        <f t="shared" si="90"/>
        <v>0</v>
      </c>
      <c r="F149" s="3266"/>
      <c r="G149" s="3267">
        <f t="shared" si="65"/>
        <v>0</v>
      </c>
      <c r="H149" s="3268">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5">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1051">
        <f t="shared" si="91"/>
        <v>0</v>
      </c>
      <c r="AW149" s="1051">
        <f t="shared" si="92"/>
        <v>0</v>
      </c>
      <c r="AX149" s="1051">
        <f t="shared" si="93"/>
        <v>0</v>
      </c>
      <c r="AY149" s="3313">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20">
        <f t="shared" si="89"/>
        <v>0</v>
      </c>
    </row>
    <row r="150" spans="1:72">
      <c r="A150" s="3263"/>
      <c r="B150" s="3264"/>
      <c r="C150" s="3264"/>
      <c r="D150" s="3271"/>
      <c r="E150" s="3265">
        <f t="shared" si="90"/>
        <v>0</v>
      </c>
      <c r="F150" s="3266"/>
      <c r="G150" s="3267">
        <f t="shared" si="65"/>
        <v>0</v>
      </c>
      <c r="H150" s="3268">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5">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1051">
        <f t="shared" si="91"/>
        <v>0</v>
      </c>
      <c r="AW150" s="1051">
        <f t="shared" si="92"/>
        <v>0</v>
      </c>
      <c r="AX150" s="1051">
        <f t="shared" si="93"/>
        <v>0</v>
      </c>
      <c r="AY150" s="3313">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20">
        <f t="shared" si="89"/>
        <v>0</v>
      </c>
    </row>
    <row r="151" spans="1:72">
      <c r="A151" s="3263"/>
      <c r="B151" s="3264"/>
      <c r="C151" s="3264"/>
      <c r="D151" s="3271"/>
      <c r="E151" s="3265">
        <f t="shared" si="90"/>
        <v>0</v>
      </c>
      <c r="F151" s="3266"/>
      <c r="G151" s="3267">
        <f t="shared" si="65"/>
        <v>0</v>
      </c>
      <c r="H151" s="3268">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5">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1051">
        <f t="shared" si="91"/>
        <v>0</v>
      </c>
      <c r="AW151" s="1051">
        <f t="shared" si="92"/>
        <v>0</v>
      </c>
      <c r="AX151" s="1051">
        <f t="shared" si="93"/>
        <v>0</v>
      </c>
      <c r="AY151" s="3313">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20">
        <f t="shared" si="89"/>
        <v>0</v>
      </c>
    </row>
    <row r="152" spans="1:72">
      <c r="A152" s="3263"/>
      <c r="B152" s="3264"/>
      <c r="C152" s="3264"/>
      <c r="D152" s="3271"/>
      <c r="E152" s="3265">
        <f t="shared" si="90"/>
        <v>0</v>
      </c>
      <c r="F152" s="3266"/>
      <c r="G152" s="3267">
        <f t="shared" si="65"/>
        <v>0</v>
      </c>
      <c r="H152" s="3268">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5">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1051">
        <f t="shared" si="91"/>
        <v>0</v>
      </c>
      <c r="AW152" s="1051">
        <f t="shared" si="92"/>
        <v>0</v>
      </c>
      <c r="AX152" s="1051">
        <f t="shared" si="93"/>
        <v>0</v>
      </c>
      <c r="AY152" s="3313">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20">
        <f t="shared" si="89"/>
        <v>0</v>
      </c>
    </row>
    <row r="153" spans="1:72">
      <c r="A153" s="3263"/>
      <c r="B153" s="3264"/>
      <c r="C153" s="3264"/>
      <c r="D153" s="3271"/>
      <c r="E153" s="3265">
        <f t="shared" si="90"/>
        <v>0</v>
      </c>
      <c r="F153" s="3266"/>
      <c r="G153" s="3267">
        <f t="shared" si="65"/>
        <v>0</v>
      </c>
      <c r="H153" s="3268">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5">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1051">
        <f t="shared" si="91"/>
        <v>0</v>
      </c>
      <c r="AW153" s="1051">
        <f t="shared" si="92"/>
        <v>0</v>
      </c>
      <c r="AX153" s="1051">
        <f t="shared" si="93"/>
        <v>0</v>
      </c>
      <c r="AY153" s="3313">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20">
        <f t="shared" si="89"/>
        <v>0</v>
      </c>
    </row>
    <row r="154" spans="1:72">
      <c r="A154" s="3263"/>
      <c r="B154" s="3264"/>
      <c r="C154" s="3264"/>
      <c r="D154" s="3271"/>
      <c r="E154" s="3265">
        <f t="shared" si="90"/>
        <v>0</v>
      </c>
      <c r="F154" s="3266"/>
      <c r="G154" s="3267">
        <f t="shared" si="65"/>
        <v>0</v>
      </c>
      <c r="H154" s="3268">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5">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1051">
        <f t="shared" si="91"/>
        <v>0</v>
      </c>
      <c r="AW154" s="1051">
        <f t="shared" si="92"/>
        <v>0</v>
      </c>
      <c r="AX154" s="1051">
        <f t="shared" si="93"/>
        <v>0</v>
      </c>
      <c r="AY154" s="3313">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20">
        <f t="shared" si="89"/>
        <v>0</v>
      </c>
    </row>
    <row r="155" spans="1:72">
      <c r="A155" s="3263"/>
      <c r="B155" s="3264"/>
      <c r="C155" s="3264"/>
      <c r="D155" s="3271"/>
      <c r="E155" s="3265">
        <f t="shared" si="90"/>
        <v>0</v>
      </c>
      <c r="F155" s="3266"/>
      <c r="G155" s="3267">
        <f t="shared" si="65"/>
        <v>0</v>
      </c>
      <c r="H155" s="3268">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5">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1051">
        <f t="shared" si="91"/>
        <v>0</v>
      </c>
      <c r="AW155" s="1051">
        <f t="shared" si="92"/>
        <v>0</v>
      </c>
      <c r="AX155" s="1051">
        <f t="shared" si="93"/>
        <v>0</v>
      </c>
      <c r="AY155" s="3313">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20">
        <f t="shared" si="89"/>
        <v>0</v>
      </c>
    </row>
    <row r="156" spans="1:72">
      <c r="A156" s="3263"/>
      <c r="B156" s="3264"/>
      <c r="C156" s="3264"/>
      <c r="D156" s="3271"/>
      <c r="E156" s="3265">
        <f t="shared" si="90"/>
        <v>0</v>
      </c>
      <c r="F156" s="3266"/>
      <c r="G156" s="3267">
        <f t="shared" si="65"/>
        <v>0</v>
      </c>
      <c r="H156" s="3268">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5">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1051">
        <f t="shared" si="91"/>
        <v>0</v>
      </c>
      <c r="AW156" s="1051">
        <f t="shared" si="92"/>
        <v>0</v>
      </c>
      <c r="AX156" s="1051">
        <f t="shared" si="93"/>
        <v>0</v>
      </c>
      <c r="AY156" s="3313">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20">
        <f t="shared" si="89"/>
        <v>0</v>
      </c>
    </row>
    <row r="157" spans="1:72">
      <c r="A157" s="3263"/>
      <c r="B157" s="3264"/>
      <c r="C157" s="3264"/>
      <c r="D157" s="3271"/>
      <c r="E157" s="3265">
        <f t="shared" si="90"/>
        <v>0</v>
      </c>
      <c r="F157" s="3266"/>
      <c r="G157" s="3267">
        <f t="shared" si="65"/>
        <v>0</v>
      </c>
      <c r="H157" s="3268">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5">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1051">
        <f t="shared" si="91"/>
        <v>0</v>
      </c>
      <c r="AW157" s="1051">
        <f t="shared" si="92"/>
        <v>0</v>
      </c>
      <c r="AX157" s="1051">
        <f t="shared" si="93"/>
        <v>0</v>
      </c>
      <c r="AY157" s="3313">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20">
        <f t="shared" si="89"/>
        <v>0</v>
      </c>
    </row>
    <row r="158" spans="1:72">
      <c r="A158" s="3263"/>
      <c r="B158" s="3264"/>
      <c r="C158" s="3264"/>
      <c r="D158" s="3271"/>
      <c r="E158" s="3265">
        <f t="shared" si="90"/>
        <v>0</v>
      </c>
      <c r="F158" s="3266"/>
      <c r="G158" s="3267">
        <f t="shared" si="65"/>
        <v>0</v>
      </c>
      <c r="H158" s="3268">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5">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1051">
        <f t="shared" si="91"/>
        <v>0</v>
      </c>
      <c r="AW158" s="1051">
        <f t="shared" si="92"/>
        <v>0</v>
      </c>
      <c r="AX158" s="1051">
        <f t="shared" si="93"/>
        <v>0</v>
      </c>
      <c r="AY158" s="3313">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20">
        <f t="shared" si="89"/>
        <v>0</v>
      </c>
    </row>
    <row r="159" spans="1:72">
      <c r="A159" s="3263"/>
      <c r="B159" s="3264"/>
      <c r="C159" s="3264"/>
      <c r="D159" s="3271"/>
      <c r="E159" s="3265">
        <f t="shared" si="90"/>
        <v>0</v>
      </c>
      <c r="F159" s="3266"/>
      <c r="G159" s="3267">
        <f t="shared" si="65"/>
        <v>0</v>
      </c>
      <c r="H159" s="3268">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5">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1051">
        <f t="shared" si="91"/>
        <v>0</v>
      </c>
      <c r="AW159" s="1051">
        <f t="shared" si="92"/>
        <v>0</v>
      </c>
      <c r="AX159" s="1051">
        <f t="shared" si="93"/>
        <v>0</v>
      </c>
      <c r="AY159" s="3313">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20">
        <f t="shared" si="89"/>
        <v>0</v>
      </c>
    </row>
    <row r="160" spans="1:72">
      <c r="A160" s="3263"/>
      <c r="B160" s="3264"/>
      <c r="C160" s="3264"/>
      <c r="D160" s="3271"/>
      <c r="E160" s="3265">
        <f t="shared" si="90"/>
        <v>0</v>
      </c>
      <c r="F160" s="3266"/>
      <c r="G160" s="3267">
        <f t="shared" si="65"/>
        <v>0</v>
      </c>
      <c r="H160" s="3268">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5">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1051">
        <f t="shared" si="91"/>
        <v>0</v>
      </c>
      <c r="AW160" s="1051">
        <f t="shared" si="92"/>
        <v>0</v>
      </c>
      <c r="AX160" s="1051">
        <f t="shared" si="93"/>
        <v>0</v>
      </c>
      <c r="AY160" s="3313">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20">
        <f t="shared" si="89"/>
        <v>0</v>
      </c>
    </row>
    <row r="161" spans="1:72">
      <c r="A161" s="3263"/>
      <c r="B161" s="3264"/>
      <c r="C161" s="3264"/>
      <c r="D161" s="3271"/>
      <c r="E161" s="3265">
        <f t="shared" si="90"/>
        <v>0</v>
      </c>
      <c r="F161" s="3266"/>
      <c r="G161" s="3267">
        <f t="shared" si="65"/>
        <v>0</v>
      </c>
      <c r="H161" s="3268">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5">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1051">
        <f t="shared" si="91"/>
        <v>0</v>
      </c>
      <c r="AW161" s="1051">
        <f t="shared" si="92"/>
        <v>0</v>
      </c>
      <c r="AX161" s="1051">
        <f t="shared" si="93"/>
        <v>0</v>
      </c>
      <c r="AY161" s="3313">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20">
        <f t="shared" si="89"/>
        <v>0</v>
      </c>
    </row>
    <row r="162" spans="1:72">
      <c r="A162" s="3263"/>
      <c r="B162" s="3264"/>
      <c r="C162" s="3264"/>
      <c r="D162" s="3271"/>
      <c r="E162" s="3265">
        <f t="shared" si="90"/>
        <v>0</v>
      </c>
      <c r="F162" s="3266"/>
      <c r="G162" s="3267">
        <f t="shared" si="65"/>
        <v>0</v>
      </c>
      <c r="H162" s="3268">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5">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1051">
        <f t="shared" si="91"/>
        <v>0</v>
      </c>
      <c r="AW162" s="1051">
        <f t="shared" si="92"/>
        <v>0</v>
      </c>
      <c r="AX162" s="1051">
        <f t="shared" si="93"/>
        <v>0</v>
      </c>
      <c r="AY162" s="3313">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20">
        <f t="shared" si="89"/>
        <v>0</v>
      </c>
    </row>
    <row r="163" spans="1:72">
      <c r="A163" s="3263"/>
      <c r="B163" s="3264"/>
      <c r="C163" s="3264"/>
      <c r="D163" s="3271"/>
      <c r="E163" s="3265">
        <f t="shared" si="90"/>
        <v>0</v>
      </c>
      <c r="F163" s="3266"/>
      <c r="G163" s="3267">
        <f t="shared" si="65"/>
        <v>0</v>
      </c>
      <c r="H163" s="3268">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5">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1051">
        <f t="shared" si="91"/>
        <v>0</v>
      </c>
      <c r="AW163" s="1051">
        <f t="shared" si="92"/>
        <v>0</v>
      </c>
      <c r="AX163" s="1051">
        <f t="shared" si="93"/>
        <v>0</v>
      </c>
      <c r="AY163" s="3313">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20">
        <f t="shared" si="89"/>
        <v>0</v>
      </c>
    </row>
    <row r="164" spans="1:72">
      <c r="A164" s="3263"/>
      <c r="B164" s="3264"/>
      <c r="C164" s="3264"/>
      <c r="D164" s="3271"/>
      <c r="E164" s="3265">
        <f t="shared" si="90"/>
        <v>0</v>
      </c>
      <c r="F164" s="3266"/>
      <c r="G164" s="3267">
        <f t="shared" si="65"/>
        <v>0</v>
      </c>
      <c r="H164" s="3268">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5">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1051">
        <f t="shared" si="91"/>
        <v>0</v>
      </c>
      <c r="AW164" s="1051">
        <f t="shared" si="92"/>
        <v>0</v>
      </c>
      <c r="AX164" s="1051">
        <f t="shared" si="93"/>
        <v>0</v>
      </c>
      <c r="AY164" s="3313">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20">
        <f t="shared" si="89"/>
        <v>0</v>
      </c>
    </row>
    <row r="165" spans="1:72">
      <c r="A165" s="3263"/>
      <c r="B165" s="3264"/>
      <c r="C165" s="3264"/>
      <c r="D165" s="3271"/>
      <c r="E165" s="3265">
        <f t="shared" si="90"/>
        <v>0</v>
      </c>
      <c r="F165" s="3266"/>
      <c r="G165" s="3267">
        <f t="shared" si="65"/>
        <v>0</v>
      </c>
      <c r="H165" s="3268">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5">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1051">
        <f t="shared" si="91"/>
        <v>0</v>
      </c>
      <c r="AW165" s="1051">
        <f t="shared" si="92"/>
        <v>0</v>
      </c>
      <c r="AX165" s="1051">
        <f t="shared" si="93"/>
        <v>0</v>
      </c>
      <c r="AY165" s="3313">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20">
        <f t="shared" si="89"/>
        <v>0</v>
      </c>
    </row>
    <row r="166" spans="1:72">
      <c r="A166" s="3263"/>
      <c r="B166" s="3264"/>
      <c r="C166" s="3264"/>
      <c r="D166" s="3271"/>
      <c r="E166" s="3265">
        <f t="shared" si="90"/>
        <v>0</v>
      </c>
      <c r="F166" s="3266"/>
      <c r="G166" s="3267">
        <f t="shared" si="65"/>
        <v>0</v>
      </c>
      <c r="H166" s="3268">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5">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1051">
        <f t="shared" si="91"/>
        <v>0</v>
      </c>
      <c r="AW166" s="1051">
        <f t="shared" si="92"/>
        <v>0</v>
      </c>
      <c r="AX166" s="1051">
        <f t="shared" si="93"/>
        <v>0</v>
      </c>
      <c r="AY166" s="3313">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20">
        <f t="shared" si="89"/>
        <v>0</v>
      </c>
    </row>
    <row r="167" spans="1:72">
      <c r="A167" s="3263"/>
      <c r="B167" s="3264"/>
      <c r="C167" s="3264"/>
      <c r="D167" s="3271"/>
      <c r="E167" s="3265">
        <f t="shared" si="90"/>
        <v>0</v>
      </c>
      <c r="F167" s="3266"/>
      <c r="G167" s="3267">
        <f t="shared" si="65"/>
        <v>0</v>
      </c>
      <c r="H167" s="3268">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5">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1051">
        <f t="shared" si="91"/>
        <v>0</v>
      </c>
      <c r="AW167" s="1051">
        <f t="shared" si="92"/>
        <v>0</v>
      </c>
      <c r="AX167" s="1051">
        <f t="shared" si="93"/>
        <v>0</v>
      </c>
      <c r="AY167" s="3313">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20">
        <f t="shared" si="89"/>
        <v>0</v>
      </c>
    </row>
    <row r="168" spans="1:72">
      <c r="A168" s="3263"/>
      <c r="B168" s="3264"/>
      <c r="C168" s="3264"/>
      <c r="D168" s="3271"/>
      <c r="E168" s="3265">
        <f t="shared" si="90"/>
        <v>0</v>
      </c>
      <c r="F168" s="3266"/>
      <c r="G168" s="3267">
        <f t="shared" si="65"/>
        <v>0</v>
      </c>
      <c r="H168" s="3268">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5">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1051">
        <f t="shared" si="91"/>
        <v>0</v>
      </c>
      <c r="AW168" s="1051">
        <f t="shared" si="92"/>
        <v>0</v>
      </c>
      <c r="AX168" s="1051">
        <f t="shared" si="93"/>
        <v>0</v>
      </c>
      <c r="AY168" s="3313">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20">
        <f t="shared" si="89"/>
        <v>0</v>
      </c>
    </row>
    <row r="169" spans="1:72">
      <c r="A169" s="3263"/>
      <c r="B169" s="3264"/>
      <c r="C169" s="3264"/>
      <c r="D169" s="3271"/>
      <c r="E169" s="3265">
        <f t="shared" si="90"/>
        <v>0</v>
      </c>
      <c r="F169" s="3266"/>
      <c r="G169" s="3267">
        <f t="shared" si="65"/>
        <v>0</v>
      </c>
      <c r="H169" s="3268">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5">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1051">
        <f t="shared" si="91"/>
        <v>0</v>
      </c>
      <c r="AW169" s="1051">
        <f t="shared" si="92"/>
        <v>0</v>
      </c>
      <c r="AX169" s="1051">
        <f t="shared" si="93"/>
        <v>0</v>
      </c>
      <c r="AY169" s="3313">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20">
        <f t="shared" si="89"/>
        <v>0</v>
      </c>
    </row>
    <row r="170" spans="1:72">
      <c r="A170" s="3263"/>
      <c r="B170" s="3264"/>
      <c r="C170" s="3264"/>
      <c r="D170" s="3271"/>
      <c r="E170" s="3265">
        <f t="shared" si="90"/>
        <v>0</v>
      </c>
      <c r="F170" s="3266"/>
      <c r="G170" s="3267">
        <f t="shared" si="65"/>
        <v>0</v>
      </c>
      <c r="H170" s="3268">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5">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1051">
        <f t="shared" si="91"/>
        <v>0</v>
      </c>
      <c r="AW170" s="1051">
        <f t="shared" si="92"/>
        <v>0</v>
      </c>
      <c r="AX170" s="1051">
        <f t="shared" si="93"/>
        <v>0</v>
      </c>
      <c r="AY170" s="3313">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20">
        <f t="shared" si="89"/>
        <v>0</v>
      </c>
    </row>
    <row r="171" spans="1:72">
      <c r="A171" s="3263"/>
      <c r="B171" s="3264"/>
      <c r="C171" s="3264"/>
      <c r="D171" s="3271"/>
      <c r="E171" s="3265">
        <f t="shared" si="90"/>
        <v>0</v>
      </c>
      <c r="F171" s="3266"/>
      <c r="G171" s="3267">
        <f t="shared" si="65"/>
        <v>0</v>
      </c>
      <c r="H171" s="3268">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5">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1051">
        <f t="shared" si="91"/>
        <v>0</v>
      </c>
      <c r="AW171" s="1051">
        <f t="shared" si="92"/>
        <v>0</v>
      </c>
      <c r="AX171" s="1051">
        <f t="shared" si="93"/>
        <v>0</v>
      </c>
      <c r="AY171" s="3313">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20">
        <f t="shared" si="89"/>
        <v>0</v>
      </c>
    </row>
    <row r="172" spans="1:72">
      <c r="A172" s="3263"/>
      <c r="B172" s="3264"/>
      <c r="C172" s="3264"/>
      <c r="D172" s="3271"/>
      <c r="E172" s="3265">
        <f t="shared" si="90"/>
        <v>0</v>
      </c>
      <c r="F172" s="3266"/>
      <c r="G172" s="3267">
        <f t="shared" si="65"/>
        <v>0</v>
      </c>
      <c r="H172" s="3268">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5">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1051">
        <f t="shared" si="91"/>
        <v>0</v>
      </c>
      <c r="AW172" s="1051">
        <f t="shared" si="92"/>
        <v>0</v>
      </c>
      <c r="AX172" s="1051">
        <f t="shared" si="93"/>
        <v>0</v>
      </c>
      <c r="AY172" s="3313">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20">
        <f t="shared" si="89"/>
        <v>0</v>
      </c>
    </row>
    <row r="173" spans="1:72">
      <c r="A173" s="3263"/>
      <c r="B173" s="3264"/>
      <c r="C173" s="3264"/>
      <c r="D173" s="3271"/>
      <c r="E173" s="3265">
        <f t="shared" si="90"/>
        <v>0</v>
      </c>
      <c r="F173" s="3266"/>
      <c r="G173" s="3267">
        <f t="shared" si="65"/>
        <v>0</v>
      </c>
      <c r="H173" s="3268">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5">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1051">
        <f t="shared" si="91"/>
        <v>0</v>
      </c>
      <c r="AW173" s="1051">
        <f t="shared" si="92"/>
        <v>0</v>
      </c>
      <c r="AX173" s="1051">
        <f t="shared" si="93"/>
        <v>0</v>
      </c>
      <c r="AY173" s="3313">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20">
        <f t="shared" si="89"/>
        <v>0</v>
      </c>
    </row>
    <row r="174" spans="1:72">
      <c r="A174" s="3263"/>
      <c r="B174" s="3264"/>
      <c r="C174" s="3264"/>
      <c r="D174" s="3271"/>
      <c r="E174" s="3265">
        <f t="shared" si="90"/>
        <v>0</v>
      </c>
      <c r="F174" s="3266"/>
      <c r="G174" s="3267">
        <f t="shared" ref="G174:G207" si="94">H174+AC174+AT174</f>
        <v>0</v>
      </c>
      <c r="H174" s="3268">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5">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1051">
        <f t="shared" si="91"/>
        <v>0</v>
      </c>
      <c r="AW174" s="1051">
        <f t="shared" si="92"/>
        <v>0</v>
      </c>
      <c r="AX174" s="1051">
        <f t="shared" si="93"/>
        <v>0</v>
      </c>
      <c r="AY174" s="3313">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20">
        <f t="shared" ref="BT174:BT207" si="118">IF($D174="是",AR174-AS174,0)</f>
        <v>0</v>
      </c>
    </row>
    <row r="175" spans="1:72">
      <c r="A175" s="3263"/>
      <c r="B175" s="3264"/>
      <c r="C175" s="3264"/>
      <c r="D175" s="3271"/>
      <c r="E175" s="3265">
        <f t="shared" si="90"/>
        <v>0</v>
      </c>
      <c r="F175" s="3266"/>
      <c r="G175" s="3267">
        <f t="shared" si="94"/>
        <v>0</v>
      </c>
      <c r="H175" s="3268">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5">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1051">
        <f t="shared" si="91"/>
        <v>0</v>
      </c>
      <c r="AW175" s="1051">
        <f t="shared" si="92"/>
        <v>0</v>
      </c>
      <c r="AX175" s="1051">
        <f t="shared" si="93"/>
        <v>0</v>
      </c>
      <c r="AY175" s="3313">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20">
        <f t="shared" si="118"/>
        <v>0</v>
      </c>
    </row>
    <row r="176" spans="1:72">
      <c r="A176" s="3263"/>
      <c r="B176" s="3264"/>
      <c r="C176" s="3264"/>
      <c r="D176" s="3271"/>
      <c r="E176" s="3265">
        <f t="shared" si="90"/>
        <v>0</v>
      </c>
      <c r="F176" s="3266"/>
      <c r="G176" s="3267">
        <f t="shared" si="94"/>
        <v>0</v>
      </c>
      <c r="H176" s="3268">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5">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1051">
        <f t="shared" si="91"/>
        <v>0</v>
      </c>
      <c r="AW176" s="1051">
        <f t="shared" si="92"/>
        <v>0</v>
      </c>
      <c r="AX176" s="1051">
        <f t="shared" si="93"/>
        <v>0</v>
      </c>
      <c r="AY176" s="3313">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20">
        <f t="shared" si="118"/>
        <v>0</v>
      </c>
    </row>
    <row r="177" spans="1:72">
      <c r="A177" s="3263"/>
      <c r="B177" s="3264"/>
      <c r="C177" s="3264"/>
      <c r="D177" s="3271"/>
      <c r="E177" s="3265">
        <f t="shared" ref="E177:E207" si="119">IF($C$3="是",ROUND($A$3*G177/$B$3,2),ROUND($A$3*(G177-AT177)/$B$3,2))</f>
        <v>0</v>
      </c>
      <c r="F177" s="3266"/>
      <c r="G177" s="3267">
        <f t="shared" si="94"/>
        <v>0</v>
      </c>
      <c r="H177" s="3268">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5">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1051">
        <f t="shared" ref="AV177:AV207" si="120">A177</f>
        <v>0</v>
      </c>
      <c r="AW177" s="1051">
        <f t="shared" ref="AW177:AW207" si="121">B177</f>
        <v>0</v>
      </c>
      <c r="AX177" s="1051">
        <f t="shared" ref="AX177:AX207" si="122">C177</f>
        <v>0</v>
      </c>
      <c r="AY177" s="3313">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20">
        <f t="shared" si="118"/>
        <v>0</v>
      </c>
    </row>
    <row r="178" spans="1:72">
      <c r="A178" s="3263"/>
      <c r="B178" s="3264"/>
      <c r="C178" s="3264"/>
      <c r="D178" s="3271"/>
      <c r="E178" s="3265">
        <f t="shared" si="119"/>
        <v>0</v>
      </c>
      <c r="F178" s="3266"/>
      <c r="G178" s="3267">
        <f t="shared" si="94"/>
        <v>0</v>
      </c>
      <c r="H178" s="3268">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5">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1051">
        <f t="shared" si="120"/>
        <v>0</v>
      </c>
      <c r="AW178" s="1051">
        <f t="shared" si="121"/>
        <v>0</v>
      </c>
      <c r="AX178" s="1051">
        <f t="shared" si="122"/>
        <v>0</v>
      </c>
      <c r="AY178" s="3313">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20">
        <f t="shared" si="118"/>
        <v>0</v>
      </c>
    </row>
    <row r="179" spans="1:72">
      <c r="A179" s="3263"/>
      <c r="B179" s="3264"/>
      <c r="C179" s="3264"/>
      <c r="D179" s="3271"/>
      <c r="E179" s="3265">
        <f t="shared" si="119"/>
        <v>0</v>
      </c>
      <c r="F179" s="3266"/>
      <c r="G179" s="3267">
        <f t="shared" si="94"/>
        <v>0</v>
      </c>
      <c r="H179" s="3268">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5">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1051">
        <f t="shared" si="120"/>
        <v>0</v>
      </c>
      <c r="AW179" s="1051">
        <f t="shared" si="121"/>
        <v>0</v>
      </c>
      <c r="AX179" s="1051">
        <f t="shared" si="122"/>
        <v>0</v>
      </c>
      <c r="AY179" s="3313">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20">
        <f t="shared" si="118"/>
        <v>0</v>
      </c>
    </row>
    <row r="180" spans="1:72">
      <c r="A180" s="3263"/>
      <c r="B180" s="3264"/>
      <c r="C180" s="3264"/>
      <c r="D180" s="3271"/>
      <c r="E180" s="3265">
        <f t="shared" si="119"/>
        <v>0</v>
      </c>
      <c r="F180" s="3266"/>
      <c r="G180" s="3267">
        <f t="shared" si="94"/>
        <v>0</v>
      </c>
      <c r="H180" s="3268">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5">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1051">
        <f t="shared" si="120"/>
        <v>0</v>
      </c>
      <c r="AW180" s="1051">
        <f t="shared" si="121"/>
        <v>0</v>
      </c>
      <c r="AX180" s="1051">
        <f t="shared" si="122"/>
        <v>0</v>
      </c>
      <c r="AY180" s="3313">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20">
        <f t="shared" si="118"/>
        <v>0</v>
      </c>
    </row>
    <row r="181" spans="1:72">
      <c r="A181" s="3263"/>
      <c r="B181" s="3264"/>
      <c r="C181" s="3264"/>
      <c r="D181" s="3271"/>
      <c r="E181" s="3265">
        <f t="shared" si="119"/>
        <v>0</v>
      </c>
      <c r="F181" s="3266"/>
      <c r="G181" s="3267">
        <f t="shared" si="94"/>
        <v>0</v>
      </c>
      <c r="H181" s="3268">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5">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1051">
        <f t="shared" si="120"/>
        <v>0</v>
      </c>
      <c r="AW181" s="1051">
        <f t="shared" si="121"/>
        <v>0</v>
      </c>
      <c r="AX181" s="1051">
        <f t="shared" si="122"/>
        <v>0</v>
      </c>
      <c r="AY181" s="3313">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20">
        <f t="shared" si="118"/>
        <v>0</v>
      </c>
    </row>
    <row r="182" spans="1:72">
      <c r="A182" s="3263"/>
      <c r="B182" s="3264"/>
      <c r="C182" s="3264"/>
      <c r="D182" s="3271"/>
      <c r="E182" s="3265">
        <f t="shared" si="119"/>
        <v>0</v>
      </c>
      <c r="F182" s="3266"/>
      <c r="G182" s="3267">
        <f t="shared" si="94"/>
        <v>0</v>
      </c>
      <c r="H182" s="3268">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5">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1051">
        <f t="shared" si="120"/>
        <v>0</v>
      </c>
      <c r="AW182" s="1051">
        <f t="shared" si="121"/>
        <v>0</v>
      </c>
      <c r="AX182" s="1051">
        <f t="shared" si="122"/>
        <v>0</v>
      </c>
      <c r="AY182" s="3313">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20">
        <f t="shared" si="118"/>
        <v>0</v>
      </c>
    </row>
    <row r="183" spans="1:72">
      <c r="A183" s="3263"/>
      <c r="B183" s="3264"/>
      <c r="C183" s="3264"/>
      <c r="D183" s="3271"/>
      <c r="E183" s="3265">
        <f t="shared" si="119"/>
        <v>0</v>
      </c>
      <c r="F183" s="3266"/>
      <c r="G183" s="3267">
        <f t="shared" si="94"/>
        <v>0</v>
      </c>
      <c r="H183" s="3268">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5">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1051">
        <f t="shared" si="120"/>
        <v>0</v>
      </c>
      <c r="AW183" s="1051">
        <f t="shared" si="121"/>
        <v>0</v>
      </c>
      <c r="AX183" s="1051">
        <f t="shared" si="122"/>
        <v>0</v>
      </c>
      <c r="AY183" s="3313">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20">
        <f t="shared" si="118"/>
        <v>0</v>
      </c>
    </row>
    <row r="184" spans="1:72">
      <c r="A184" s="3263"/>
      <c r="B184" s="3264"/>
      <c r="C184" s="3264"/>
      <c r="D184" s="3271"/>
      <c r="E184" s="3265">
        <f t="shared" si="119"/>
        <v>0</v>
      </c>
      <c r="F184" s="3266"/>
      <c r="G184" s="3267">
        <f t="shared" si="94"/>
        <v>0</v>
      </c>
      <c r="H184" s="3268">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5">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1051">
        <f t="shared" si="120"/>
        <v>0</v>
      </c>
      <c r="AW184" s="1051">
        <f t="shared" si="121"/>
        <v>0</v>
      </c>
      <c r="AX184" s="1051">
        <f t="shared" si="122"/>
        <v>0</v>
      </c>
      <c r="AY184" s="3313">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20">
        <f t="shared" si="118"/>
        <v>0</v>
      </c>
    </row>
    <row r="185" spans="1:72">
      <c r="A185" s="3263"/>
      <c r="B185" s="3264"/>
      <c r="C185" s="3264"/>
      <c r="D185" s="3271"/>
      <c r="E185" s="3265">
        <f t="shared" si="119"/>
        <v>0</v>
      </c>
      <c r="F185" s="3266"/>
      <c r="G185" s="3267">
        <f t="shared" si="94"/>
        <v>0</v>
      </c>
      <c r="H185" s="3268">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5">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1051">
        <f t="shared" si="120"/>
        <v>0</v>
      </c>
      <c r="AW185" s="1051">
        <f t="shared" si="121"/>
        <v>0</v>
      </c>
      <c r="AX185" s="1051">
        <f t="shared" si="122"/>
        <v>0</v>
      </c>
      <c r="AY185" s="3313">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20">
        <f t="shared" si="118"/>
        <v>0</v>
      </c>
    </row>
    <row r="186" spans="1:72">
      <c r="A186" s="3263"/>
      <c r="B186" s="3264"/>
      <c r="C186" s="3264"/>
      <c r="D186" s="3271"/>
      <c r="E186" s="3265">
        <f t="shared" si="119"/>
        <v>0</v>
      </c>
      <c r="F186" s="3266"/>
      <c r="G186" s="3267">
        <f t="shared" si="94"/>
        <v>0</v>
      </c>
      <c r="H186" s="3268">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5">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1051">
        <f t="shared" si="120"/>
        <v>0</v>
      </c>
      <c r="AW186" s="1051">
        <f t="shared" si="121"/>
        <v>0</v>
      </c>
      <c r="AX186" s="1051">
        <f t="shared" si="122"/>
        <v>0</v>
      </c>
      <c r="AY186" s="3313">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20">
        <f t="shared" si="118"/>
        <v>0</v>
      </c>
    </row>
    <row r="187" spans="1:72">
      <c r="A187" s="3263"/>
      <c r="B187" s="3264"/>
      <c r="C187" s="3264"/>
      <c r="D187" s="3271"/>
      <c r="E187" s="3265">
        <f t="shared" si="119"/>
        <v>0</v>
      </c>
      <c r="F187" s="3266"/>
      <c r="G187" s="3267">
        <f t="shared" si="94"/>
        <v>0</v>
      </c>
      <c r="H187" s="3268">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5">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1051">
        <f t="shared" si="120"/>
        <v>0</v>
      </c>
      <c r="AW187" s="1051">
        <f t="shared" si="121"/>
        <v>0</v>
      </c>
      <c r="AX187" s="1051">
        <f t="shared" si="122"/>
        <v>0</v>
      </c>
      <c r="AY187" s="3313">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20">
        <f t="shared" si="118"/>
        <v>0</v>
      </c>
    </row>
    <row r="188" spans="1:72">
      <c r="A188" s="3263"/>
      <c r="B188" s="3264"/>
      <c r="C188" s="3264"/>
      <c r="D188" s="3271"/>
      <c r="E188" s="3265">
        <f t="shared" si="119"/>
        <v>0</v>
      </c>
      <c r="F188" s="3266"/>
      <c r="G188" s="3267">
        <f t="shared" si="94"/>
        <v>0</v>
      </c>
      <c r="H188" s="3268">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5">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1051">
        <f t="shared" si="120"/>
        <v>0</v>
      </c>
      <c r="AW188" s="1051">
        <f t="shared" si="121"/>
        <v>0</v>
      </c>
      <c r="AX188" s="1051">
        <f t="shared" si="122"/>
        <v>0</v>
      </c>
      <c r="AY188" s="3313">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20">
        <f t="shared" si="118"/>
        <v>0</v>
      </c>
    </row>
    <row r="189" spans="1:72">
      <c r="A189" s="3263"/>
      <c r="B189" s="3264"/>
      <c r="C189" s="3264"/>
      <c r="D189" s="3271"/>
      <c r="E189" s="3265">
        <f t="shared" si="119"/>
        <v>0</v>
      </c>
      <c r="F189" s="3266"/>
      <c r="G189" s="3267">
        <f t="shared" si="94"/>
        <v>0</v>
      </c>
      <c r="H189" s="3268">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5">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1051">
        <f t="shared" si="120"/>
        <v>0</v>
      </c>
      <c r="AW189" s="1051">
        <f t="shared" si="121"/>
        <v>0</v>
      </c>
      <c r="AX189" s="1051">
        <f t="shared" si="122"/>
        <v>0</v>
      </c>
      <c r="AY189" s="3313">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20">
        <f t="shared" si="118"/>
        <v>0</v>
      </c>
    </row>
    <row r="190" spans="1:72">
      <c r="A190" s="3263"/>
      <c r="B190" s="3264"/>
      <c r="C190" s="3264"/>
      <c r="D190" s="3271"/>
      <c r="E190" s="3265">
        <f t="shared" si="119"/>
        <v>0</v>
      </c>
      <c r="F190" s="3266"/>
      <c r="G190" s="3267">
        <f t="shared" si="94"/>
        <v>0</v>
      </c>
      <c r="H190" s="3268">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5">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1051">
        <f t="shared" si="120"/>
        <v>0</v>
      </c>
      <c r="AW190" s="1051">
        <f t="shared" si="121"/>
        <v>0</v>
      </c>
      <c r="AX190" s="1051">
        <f t="shared" si="122"/>
        <v>0</v>
      </c>
      <c r="AY190" s="3313">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20">
        <f t="shared" si="118"/>
        <v>0</v>
      </c>
    </row>
    <row r="191" spans="1:72">
      <c r="A191" s="3263"/>
      <c r="B191" s="3264"/>
      <c r="C191" s="3264"/>
      <c r="D191" s="3271"/>
      <c r="E191" s="3265">
        <f t="shared" si="119"/>
        <v>0</v>
      </c>
      <c r="F191" s="3266"/>
      <c r="G191" s="3267">
        <f t="shared" si="94"/>
        <v>0</v>
      </c>
      <c r="H191" s="3268">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5">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1051">
        <f t="shared" si="120"/>
        <v>0</v>
      </c>
      <c r="AW191" s="1051">
        <f t="shared" si="121"/>
        <v>0</v>
      </c>
      <c r="AX191" s="1051">
        <f t="shared" si="122"/>
        <v>0</v>
      </c>
      <c r="AY191" s="3313">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20">
        <f t="shared" si="118"/>
        <v>0</v>
      </c>
    </row>
    <row r="192" spans="1:72">
      <c r="A192" s="3263"/>
      <c r="B192" s="3264"/>
      <c r="C192" s="3264"/>
      <c r="D192" s="3271"/>
      <c r="E192" s="3265">
        <f t="shared" si="119"/>
        <v>0</v>
      </c>
      <c r="F192" s="3266"/>
      <c r="G192" s="3267">
        <f t="shared" si="94"/>
        <v>0</v>
      </c>
      <c r="H192" s="3268">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5">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1051">
        <f t="shared" si="120"/>
        <v>0</v>
      </c>
      <c r="AW192" s="1051">
        <f t="shared" si="121"/>
        <v>0</v>
      </c>
      <c r="AX192" s="1051">
        <f t="shared" si="122"/>
        <v>0</v>
      </c>
      <c r="AY192" s="3313">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20">
        <f t="shared" si="118"/>
        <v>0</v>
      </c>
    </row>
    <row r="193" spans="1:72">
      <c r="A193" s="3263"/>
      <c r="B193" s="3264"/>
      <c r="C193" s="3264"/>
      <c r="D193" s="3271"/>
      <c r="E193" s="3265">
        <f t="shared" si="119"/>
        <v>0</v>
      </c>
      <c r="F193" s="3266"/>
      <c r="G193" s="3267">
        <f t="shared" si="94"/>
        <v>0</v>
      </c>
      <c r="H193" s="3268">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5">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1051">
        <f t="shared" si="120"/>
        <v>0</v>
      </c>
      <c r="AW193" s="1051">
        <f t="shared" si="121"/>
        <v>0</v>
      </c>
      <c r="AX193" s="1051">
        <f t="shared" si="122"/>
        <v>0</v>
      </c>
      <c r="AY193" s="3313">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20">
        <f t="shared" si="118"/>
        <v>0</v>
      </c>
    </row>
    <row r="194" spans="1:72">
      <c r="A194" s="3263"/>
      <c r="B194" s="3264"/>
      <c r="C194" s="3264"/>
      <c r="D194" s="3271"/>
      <c r="E194" s="3265">
        <f t="shared" si="119"/>
        <v>0</v>
      </c>
      <c r="F194" s="3266"/>
      <c r="G194" s="3267">
        <f t="shared" si="94"/>
        <v>0</v>
      </c>
      <c r="H194" s="3268">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5">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1051">
        <f t="shared" si="120"/>
        <v>0</v>
      </c>
      <c r="AW194" s="1051">
        <f t="shared" si="121"/>
        <v>0</v>
      </c>
      <c r="AX194" s="1051">
        <f t="shared" si="122"/>
        <v>0</v>
      </c>
      <c r="AY194" s="3313">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20">
        <f t="shared" si="118"/>
        <v>0</v>
      </c>
    </row>
    <row r="195" spans="1:72">
      <c r="A195" s="3263"/>
      <c r="B195" s="3264"/>
      <c r="C195" s="3264"/>
      <c r="D195" s="3271"/>
      <c r="E195" s="3265">
        <f t="shared" si="119"/>
        <v>0</v>
      </c>
      <c r="F195" s="3266"/>
      <c r="G195" s="3267">
        <f t="shared" si="94"/>
        <v>0</v>
      </c>
      <c r="H195" s="3268">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5">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1051">
        <f t="shared" si="120"/>
        <v>0</v>
      </c>
      <c r="AW195" s="1051">
        <f t="shared" si="121"/>
        <v>0</v>
      </c>
      <c r="AX195" s="1051">
        <f t="shared" si="122"/>
        <v>0</v>
      </c>
      <c r="AY195" s="3313">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20">
        <f t="shared" si="118"/>
        <v>0</v>
      </c>
    </row>
    <row r="196" spans="1:72">
      <c r="A196" s="3263"/>
      <c r="B196" s="3264"/>
      <c r="C196" s="3264"/>
      <c r="D196" s="3271"/>
      <c r="E196" s="3265">
        <f t="shared" si="119"/>
        <v>0</v>
      </c>
      <c r="F196" s="3266"/>
      <c r="G196" s="3267">
        <f t="shared" si="94"/>
        <v>0</v>
      </c>
      <c r="H196" s="3268">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5">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1051">
        <f t="shared" si="120"/>
        <v>0</v>
      </c>
      <c r="AW196" s="1051">
        <f t="shared" si="121"/>
        <v>0</v>
      </c>
      <c r="AX196" s="1051">
        <f t="shared" si="122"/>
        <v>0</v>
      </c>
      <c r="AY196" s="3313">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20">
        <f t="shared" si="118"/>
        <v>0</v>
      </c>
    </row>
    <row r="197" spans="1:72">
      <c r="A197" s="3263"/>
      <c r="B197" s="3264"/>
      <c r="C197" s="3264"/>
      <c r="D197" s="3271"/>
      <c r="E197" s="3265">
        <f t="shared" si="119"/>
        <v>0</v>
      </c>
      <c r="F197" s="3266"/>
      <c r="G197" s="3267">
        <f t="shared" si="94"/>
        <v>0</v>
      </c>
      <c r="H197" s="3268">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5">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1051">
        <f t="shared" si="120"/>
        <v>0</v>
      </c>
      <c r="AW197" s="1051">
        <f t="shared" si="121"/>
        <v>0</v>
      </c>
      <c r="AX197" s="1051">
        <f t="shared" si="122"/>
        <v>0</v>
      </c>
      <c r="AY197" s="3313">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20">
        <f t="shared" si="118"/>
        <v>0</v>
      </c>
    </row>
    <row r="198" spans="1:72">
      <c r="A198" s="3263"/>
      <c r="B198" s="3264"/>
      <c r="C198" s="3264"/>
      <c r="D198" s="3271"/>
      <c r="E198" s="3265">
        <f t="shared" si="119"/>
        <v>0</v>
      </c>
      <c r="F198" s="3266"/>
      <c r="G198" s="3267">
        <f t="shared" si="94"/>
        <v>0</v>
      </c>
      <c r="H198" s="3268">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5">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1051">
        <f t="shared" si="120"/>
        <v>0</v>
      </c>
      <c r="AW198" s="1051">
        <f t="shared" si="121"/>
        <v>0</v>
      </c>
      <c r="AX198" s="1051">
        <f t="shared" si="122"/>
        <v>0</v>
      </c>
      <c r="AY198" s="3313">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20">
        <f t="shared" si="118"/>
        <v>0</v>
      </c>
    </row>
    <row r="199" spans="1:72">
      <c r="A199" s="3263"/>
      <c r="B199" s="3264"/>
      <c r="C199" s="3264"/>
      <c r="D199" s="3271"/>
      <c r="E199" s="3265">
        <f t="shared" si="119"/>
        <v>0</v>
      </c>
      <c r="F199" s="3266"/>
      <c r="G199" s="3267">
        <f t="shared" si="94"/>
        <v>0</v>
      </c>
      <c r="H199" s="3268">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5">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1051">
        <f t="shared" si="120"/>
        <v>0</v>
      </c>
      <c r="AW199" s="1051">
        <f t="shared" si="121"/>
        <v>0</v>
      </c>
      <c r="AX199" s="1051">
        <f t="shared" si="122"/>
        <v>0</v>
      </c>
      <c r="AY199" s="3313">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20">
        <f t="shared" si="118"/>
        <v>0</v>
      </c>
    </row>
    <row r="200" spans="1:72">
      <c r="A200" s="3263"/>
      <c r="B200" s="3264"/>
      <c r="C200" s="3264"/>
      <c r="D200" s="3271"/>
      <c r="E200" s="3265">
        <f t="shared" si="119"/>
        <v>0</v>
      </c>
      <c r="F200" s="3266"/>
      <c r="G200" s="3267">
        <f t="shared" si="94"/>
        <v>0</v>
      </c>
      <c r="H200" s="3268">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5">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1051">
        <f t="shared" si="120"/>
        <v>0</v>
      </c>
      <c r="AW200" s="1051">
        <f t="shared" si="121"/>
        <v>0</v>
      </c>
      <c r="AX200" s="1051">
        <f t="shared" si="122"/>
        <v>0</v>
      </c>
      <c r="AY200" s="3313">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20">
        <f t="shared" si="118"/>
        <v>0</v>
      </c>
    </row>
    <row r="201" spans="1:72">
      <c r="A201" s="3263"/>
      <c r="B201" s="3264"/>
      <c r="C201" s="3264"/>
      <c r="D201" s="3271"/>
      <c r="E201" s="3265">
        <f t="shared" si="119"/>
        <v>0</v>
      </c>
      <c r="F201" s="3266"/>
      <c r="G201" s="3267">
        <f t="shared" si="94"/>
        <v>0</v>
      </c>
      <c r="H201" s="3268">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5">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1051">
        <f t="shared" si="120"/>
        <v>0</v>
      </c>
      <c r="AW201" s="1051">
        <f t="shared" si="121"/>
        <v>0</v>
      </c>
      <c r="AX201" s="1051">
        <f t="shared" si="122"/>
        <v>0</v>
      </c>
      <c r="AY201" s="3313">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20">
        <f t="shared" si="118"/>
        <v>0</v>
      </c>
    </row>
    <row r="202" spans="1:72">
      <c r="A202" s="3263"/>
      <c r="B202" s="3264"/>
      <c r="C202" s="3264"/>
      <c r="D202" s="3271"/>
      <c r="E202" s="3265">
        <f t="shared" si="119"/>
        <v>0</v>
      </c>
      <c r="F202" s="3266"/>
      <c r="G202" s="3267">
        <f t="shared" si="94"/>
        <v>0</v>
      </c>
      <c r="H202" s="3268">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5">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1051">
        <f t="shared" si="120"/>
        <v>0</v>
      </c>
      <c r="AW202" s="1051">
        <f t="shared" si="121"/>
        <v>0</v>
      </c>
      <c r="AX202" s="1051">
        <f t="shared" si="122"/>
        <v>0</v>
      </c>
      <c r="AY202" s="3313">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20">
        <f t="shared" si="118"/>
        <v>0</v>
      </c>
    </row>
    <row r="203" spans="1:72">
      <c r="A203" s="3263"/>
      <c r="B203" s="3264"/>
      <c r="C203" s="3264"/>
      <c r="D203" s="3271"/>
      <c r="E203" s="3265">
        <f t="shared" si="119"/>
        <v>0</v>
      </c>
      <c r="F203" s="3266"/>
      <c r="G203" s="3267">
        <f t="shared" si="94"/>
        <v>0</v>
      </c>
      <c r="H203" s="3268">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5">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1051">
        <f t="shared" si="120"/>
        <v>0</v>
      </c>
      <c r="AW203" s="1051">
        <f t="shared" si="121"/>
        <v>0</v>
      </c>
      <c r="AX203" s="1051">
        <f t="shared" si="122"/>
        <v>0</v>
      </c>
      <c r="AY203" s="3313">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20">
        <f t="shared" si="118"/>
        <v>0</v>
      </c>
    </row>
    <row r="204" spans="1:72">
      <c r="A204" s="3263"/>
      <c r="B204" s="3264"/>
      <c r="C204" s="3264"/>
      <c r="D204" s="3271"/>
      <c r="E204" s="3265">
        <f t="shared" si="119"/>
        <v>0</v>
      </c>
      <c r="F204" s="3266"/>
      <c r="G204" s="3267">
        <f t="shared" si="94"/>
        <v>0</v>
      </c>
      <c r="H204" s="3268">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5">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1051">
        <f t="shared" si="120"/>
        <v>0</v>
      </c>
      <c r="AW204" s="1051">
        <f t="shared" si="121"/>
        <v>0</v>
      </c>
      <c r="AX204" s="1051">
        <f t="shared" si="122"/>
        <v>0</v>
      </c>
      <c r="AY204" s="3313">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20">
        <f t="shared" si="118"/>
        <v>0</v>
      </c>
    </row>
    <row r="205" spans="1:72">
      <c r="A205" s="3263"/>
      <c r="B205" s="3263"/>
      <c r="C205" s="3263"/>
      <c r="D205" s="3271"/>
      <c r="E205" s="3265">
        <f t="shared" si="119"/>
        <v>0</v>
      </c>
      <c r="F205" s="3321"/>
      <c r="G205" s="3267">
        <f t="shared" si="94"/>
        <v>0</v>
      </c>
      <c r="H205" s="3268">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5">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1051">
        <f t="shared" si="120"/>
        <v>0</v>
      </c>
      <c r="AW205" s="1051">
        <f t="shared" si="121"/>
        <v>0</v>
      </c>
      <c r="AX205" s="1051">
        <f t="shared" si="122"/>
        <v>0</v>
      </c>
      <c r="AY205" s="3313">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20">
        <f t="shared" si="118"/>
        <v>0</v>
      </c>
    </row>
    <row r="206" spans="1:72">
      <c r="A206" s="3263"/>
      <c r="B206" s="3263"/>
      <c r="C206" s="3263"/>
      <c r="D206" s="3271"/>
      <c r="E206" s="3265">
        <f t="shared" si="119"/>
        <v>0</v>
      </c>
      <c r="F206" s="3321"/>
      <c r="G206" s="3267">
        <f t="shared" si="94"/>
        <v>0</v>
      </c>
      <c r="H206" s="3268">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5">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1051">
        <f t="shared" si="120"/>
        <v>0</v>
      </c>
      <c r="AW206" s="1051">
        <f t="shared" si="121"/>
        <v>0</v>
      </c>
      <c r="AX206" s="1051">
        <f t="shared" si="122"/>
        <v>0</v>
      </c>
      <c r="AY206" s="3313">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20">
        <f t="shared" si="118"/>
        <v>0</v>
      </c>
    </row>
    <row r="207" spans="1:72">
      <c r="A207" s="3263"/>
      <c r="B207" s="3263"/>
      <c r="C207" s="3263"/>
      <c r="D207" s="3271"/>
      <c r="E207" s="3265">
        <f t="shared" si="119"/>
        <v>0</v>
      </c>
      <c r="F207" s="3321"/>
      <c r="G207" s="3267">
        <f t="shared" si="94"/>
        <v>0</v>
      </c>
      <c r="H207" s="3268">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5">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1051">
        <f t="shared" si="120"/>
        <v>0</v>
      </c>
      <c r="AW207" s="1051">
        <f t="shared" si="121"/>
        <v>0</v>
      </c>
      <c r="AX207" s="1051">
        <f t="shared" si="122"/>
        <v>0</v>
      </c>
      <c r="AY207" s="3313">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20">
        <f t="shared" si="118"/>
        <v>0</v>
      </c>
    </row>
    <row r="208" spans="1:72">
      <c r="A208" s="3263"/>
      <c r="B208" s="3264"/>
      <c r="C208" s="3264"/>
      <c r="D208" s="3271"/>
      <c r="E208" s="3265">
        <f t="shared" ref="E208:E302" si="123">IF($C$3="是",ROUND($A$3*G208/$B$3,2),ROUND($A$3*(G208-AT208)/$B$3,2))</f>
        <v>0</v>
      </c>
      <c r="F208" s="3266"/>
      <c r="G208" s="3267">
        <f t="shared" ref="G208:G299" si="124">H208+AC208+AT208</f>
        <v>0</v>
      </c>
      <c r="H208" s="3268">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5">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1051">
        <f t="shared" ref="AV208:AV302" si="127">A208</f>
        <v>0</v>
      </c>
      <c r="AW208" s="1051">
        <f t="shared" ref="AW208:AW302" si="128">B208</f>
        <v>0</v>
      </c>
      <c r="AX208" s="1051">
        <f t="shared" ref="AX208:AX302" si="129">C208</f>
        <v>0</v>
      </c>
      <c r="AY208" s="3313">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20">
        <f t="shared" ref="BT208:BT299" si="151">IF($D208="是",AR208-AS208,0)</f>
        <v>0</v>
      </c>
    </row>
    <row r="209" spans="1:72">
      <c r="A209" s="3263"/>
      <c r="B209" s="3264"/>
      <c r="C209" s="3264"/>
      <c r="D209" s="3271"/>
      <c r="E209" s="3265">
        <f t="shared" si="123"/>
        <v>0</v>
      </c>
      <c r="F209" s="3266"/>
      <c r="G209" s="3267">
        <f t="shared" si="124"/>
        <v>0</v>
      </c>
      <c r="H209" s="3268">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5">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1051">
        <f t="shared" si="127"/>
        <v>0</v>
      </c>
      <c r="AW209" s="1051">
        <f t="shared" si="128"/>
        <v>0</v>
      </c>
      <c r="AX209" s="1051">
        <f t="shared" si="129"/>
        <v>0</v>
      </c>
      <c r="AY209" s="3313">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20">
        <f t="shared" si="151"/>
        <v>0</v>
      </c>
    </row>
    <row r="210" spans="1:72">
      <c r="A210" s="3263"/>
      <c r="B210" s="3264"/>
      <c r="C210" s="3264"/>
      <c r="D210" s="3271"/>
      <c r="E210" s="3265">
        <f t="shared" si="123"/>
        <v>0</v>
      </c>
      <c r="F210" s="3266"/>
      <c r="G210" s="3267">
        <f t="shared" si="124"/>
        <v>0</v>
      </c>
      <c r="H210" s="3268">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5">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1051">
        <f t="shared" si="127"/>
        <v>0</v>
      </c>
      <c r="AW210" s="1051">
        <f t="shared" si="128"/>
        <v>0</v>
      </c>
      <c r="AX210" s="1051">
        <f t="shared" si="129"/>
        <v>0</v>
      </c>
      <c r="AY210" s="3313">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20">
        <f t="shared" si="151"/>
        <v>0</v>
      </c>
    </row>
    <row r="211" spans="1:72">
      <c r="A211" s="3263"/>
      <c r="B211" s="3264"/>
      <c r="C211" s="3264"/>
      <c r="D211" s="3271"/>
      <c r="E211" s="3265">
        <f t="shared" si="123"/>
        <v>0</v>
      </c>
      <c r="F211" s="3266"/>
      <c r="G211" s="3267">
        <f t="shared" si="124"/>
        <v>0</v>
      </c>
      <c r="H211" s="3268">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5">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1051">
        <f t="shared" si="127"/>
        <v>0</v>
      </c>
      <c r="AW211" s="1051">
        <f t="shared" si="128"/>
        <v>0</v>
      </c>
      <c r="AX211" s="1051">
        <f t="shared" si="129"/>
        <v>0</v>
      </c>
      <c r="AY211" s="3313">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20">
        <f t="shared" si="151"/>
        <v>0</v>
      </c>
    </row>
    <row r="212" spans="1:72">
      <c r="A212" s="3263"/>
      <c r="B212" s="3264"/>
      <c r="C212" s="3264"/>
      <c r="D212" s="3271"/>
      <c r="E212" s="3265">
        <f t="shared" si="123"/>
        <v>0</v>
      </c>
      <c r="F212" s="3266"/>
      <c r="G212" s="3267">
        <f t="shared" si="124"/>
        <v>0</v>
      </c>
      <c r="H212" s="3268">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5">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1051">
        <f t="shared" si="127"/>
        <v>0</v>
      </c>
      <c r="AW212" s="1051">
        <f t="shared" si="128"/>
        <v>0</v>
      </c>
      <c r="AX212" s="1051">
        <f t="shared" si="129"/>
        <v>0</v>
      </c>
      <c r="AY212" s="3313">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20">
        <f t="shared" si="151"/>
        <v>0</v>
      </c>
    </row>
    <row r="213" spans="1:72">
      <c r="A213" s="3263"/>
      <c r="B213" s="3264"/>
      <c r="C213" s="3264"/>
      <c r="D213" s="3271"/>
      <c r="E213" s="3265">
        <f t="shared" si="123"/>
        <v>0</v>
      </c>
      <c r="F213" s="3266"/>
      <c r="G213" s="3267">
        <f t="shared" si="124"/>
        <v>0</v>
      </c>
      <c r="H213" s="3268">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5">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1051">
        <f t="shared" si="127"/>
        <v>0</v>
      </c>
      <c r="AW213" s="1051">
        <f t="shared" si="128"/>
        <v>0</v>
      </c>
      <c r="AX213" s="1051">
        <f t="shared" si="129"/>
        <v>0</v>
      </c>
      <c r="AY213" s="3313">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20">
        <f t="shared" si="151"/>
        <v>0</v>
      </c>
    </row>
    <row r="214" spans="1:72">
      <c r="A214" s="3263"/>
      <c r="B214" s="3264"/>
      <c r="C214" s="3264"/>
      <c r="D214" s="3271"/>
      <c r="E214" s="3265">
        <f t="shared" si="123"/>
        <v>0</v>
      </c>
      <c r="F214" s="3266"/>
      <c r="G214" s="3267">
        <f t="shared" si="124"/>
        <v>0</v>
      </c>
      <c r="H214" s="3268">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5">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1051">
        <f t="shared" si="127"/>
        <v>0</v>
      </c>
      <c r="AW214" s="1051">
        <f t="shared" si="128"/>
        <v>0</v>
      </c>
      <c r="AX214" s="1051">
        <f t="shared" si="129"/>
        <v>0</v>
      </c>
      <c r="AY214" s="3313">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20">
        <f t="shared" si="151"/>
        <v>0</v>
      </c>
    </row>
    <row r="215" spans="1:72">
      <c r="A215" s="3263"/>
      <c r="B215" s="3264"/>
      <c r="C215" s="3264"/>
      <c r="D215" s="3271"/>
      <c r="E215" s="3265">
        <f t="shared" si="123"/>
        <v>0</v>
      </c>
      <c r="F215" s="3266"/>
      <c r="G215" s="3267">
        <f t="shared" si="124"/>
        <v>0</v>
      </c>
      <c r="H215" s="3268">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5">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1051">
        <f t="shared" si="127"/>
        <v>0</v>
      </c>
      <c r="AW215" s="1051">
        <f t="shared" si="128"/>
        <v>0</v>
      </c>
      <c r="AX215" s="1051">
        <f t="shared" si="129"/>
        <v>0</v>
      </c>
      <c r="AY215" s="3313">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20">
        <f t="shared" si="151"/>
        <v>0</v>
      </c>
    </row>
    <row r="216" spans="1:72">
      <c r="A216" s="3263"/>
      <c r="B216" s="3264"/>
      <c r="C216" s="3264"/>
      <c r="D216" s="3271"/>
      <c r="E216" s="3265">
        <f t="shared" si="123"/>
        <v>0</v>
      </c>
      <c r="F216" s="3266"/>
      <c r="G216" s="3267">
        <f t="shared" si="124"/>
        <v>0</v>
      </c>
      <c r="H216" s="3268">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5">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1051">
        <f t="shared" si="127"/>
        <v>0</v>
      </c>
      <c r="AW216" s="1051">
        <f t="shared" si="128"/>
        <v>0</v>
      </c>
      <c r="AX216" s="1051">
        <f t="shared" si="129"/>
        <v>0</v>
      </c>
      <c r="AY216" s="3313">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20">
        <f t="shared" si="151"/>
        <v>0</v>
      </c>
    </row>
    <row r="217" spans="1:72">
      <c r="A217" s="3263"/>
      <c r="B217" s="3264"/>
      <c r="C217" s="3264"/>
      <c r="D217" s="3271"/>
      <c r="E217" s="3265">
        <f t="shared" si="123"/>
        <v>0</v>
      </c>
      <c r="F217" s="3266"/>
      <c r="G217" s="3267">
        <f t="shared" si="124"/>
        <v>0</v>
      </c>
      <c r="H217" s="3268">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5">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1051">
        <f t="shared" si="127"/>
        <v>0</v>
      </c>
      <c r="AW217" s="1051">
        <f t="shared" si="128"/>
        <v>0</v>
      </c>
      <c r="AX217" s="1051">
        <f t="shared" si="129"/>
        <v>0</v>
      </c>
      <c r="AY217" s="3313">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20">
        <f t="shared" si="151"/>
        <v>0</v>
      </c>
    </row>
    <row r="218" spans="1:72">
      <c r="A218" s="3263"/>
      <c r="B218" s="3264"/>
      <c r="C218" s="3264"/>
      <c r="D218" s="3271"/>
      <c r="E218" s="3265">
        <f t="shared" si="123"/>
        <v>0</v>
      </c>
      <c r="F218" s="3266"/>
      <c r="G218" s="3267">
        <f t="shared" si="124"/>
        <v>0</v>
      </c>
      <c r="H218" s="3268">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5">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1051">
        <f t="shared" si="127"/>
        <v>0</v>
      </c>
      <c r="AW218" s="1051">
        <f t="shared" si="128"/>
        <v>0</v>
      </c>
      <c r="AX218" s="1051">
        <f t="shared" si="129"/>
        <v>0</v>
      </c>
      <c r="AY218" s="3313">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20">
        <f t="shared" si="151"/>
        <v>0</v>
      </c>
    </row>
    <row r="219" spans="1:72">
      <c r="A219" s="3263"/>
      <c r="B219" s="3264"/>
      <c r="C219" s="3264"/>
      <c r="D219" s="3271"/>
      <c r="E219" s="3265">
        <f t="shared" si="123"/>
        <v>0</v>
      </c>
      <c r="F219" s="3266"/>
      <c r="G219" s="3267">
        <f t="shared" si="124"/>
        <v>0</v>
      </c>
      <c r="H219" s="3268">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5">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1051">
        <f t="shared" si="127"/>
        <v>0</v>
      </c>
      <c r="AW219" s="1051">
        <f t="shared" si="128"/>
        <v>0</v>
      </c>
      <c r="AX219" s="1051">
        <f t="shared" si="129"/>
        <v>0</v>
      </c>
      <c r="AY219" s="3313">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20">
        <f t="shared" si="151"/>
        <v>0</v>
      </c>
    </row>
    <row r="220" spans="1:72">
      <c r="A220" s="3263"/>
      <c r="B220" s="3264"/>
      <c r="C220" s="3264"/>
      <c r="D220" s="3271"/>
      <c r="E220" s="3265">
        <f t="shared" si="123"/>
        <v>0</v>
      </c>
      <c r="F220" s="3266"/>
      <c r="G220" s="3267">
        <f t="shared" si="124"/>
        <v>0</v>
      </c>
      <c r="H220" s="3268">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5">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1051">
        <f t="shared" si="127"/>
        <v>0</v>
      </c>
      <c r="AW220" s="1051">
        <f t="shared" si="128"/>
        <v>0</v>
      </c>
      <c r="AX220" s="1051">
        <f t="shared" si="129"/>
        <v>0</v>
      </c>
      <c r="AY220" s="3313">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20">
        <f t="shared" si="151"/>
        <v>0</v>
      </c>
    </row>
    <row r="221" spans="1:72">
      <c r="A221" s="3263"/>
      <c r="B221" s="3264"/>
      <c r="C221" s="3264"/>
      <c r="D221" s="3271"/>
      <c r="E221" s="3265">
        <f t="shared" si="123"/>
        <v>0</v>
      </c>
      <c r="F221" s="3266"/>
      <c r="G221" s="3267">
        <f t="shared" si="124"/>
        <v>0</v>
      </c>
      <c r="H221" s="3268">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5">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1051">
        <f t="shared" si="127"/>
        <v>0</v>
      </c>
      <c r="AW221" s="1051">
        <f t="shared" si="128"/>
        <v>0</v>
      </c>
      <c r="AX221" s="1051">
        <f t="shared" si="129"/>
        <v>0</v>
      </c>
      <c r="AY221" s="3313">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20">
        <f t="shared" si="151"/>
        <v>0</v>
      </c>
    </row>
    <row r="222" spans="1:72">
      <c r="A222" s="3263"/>
      <c r="B222" s="3264"/>
      <c r="C222" s="3264"/>
      <c r="D222" s="3271"/>
      <c r="E222" s="3265">
        <f t="shared" si="123"/>
        <v>0</v>
      </c>
      <c r="F222" s="3266"/>
      <c r="G222" s="3267">
        <f t="shared" si="124"/>
        <v>0</v>
      </c>
      <c r="H222" s="3268">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5">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1051">
        <f t="shared" si="127"/>
        <v>0</v>
      </c>
      <c r="AW222" s="1051">
        <f t="shared" si="128"/>
        <v>0</v>
      </c>
      <c r="AX222" s="1051">
        <f t="shared" si="129"/>
        <v>0</v>
      </c>
      <c r="AY222" s="3313">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20">
        <f t="shared" si="151"/>
        <v>0</v>
      </c>
    </row>
    <row r="223" spans="1:72">
      <c r="A223" s="3263"/>
      <c r="B223" s="3264"/>
      <c r="C223" s="3264"/>
      <c r="D223" s="3271"/>
      <c r="E223" s="3265">
        <f t="shared" si="123"/>
        <v>0</v>
      </c>
      <c r="F223" s="3266"/>
      <c r="G223" s="3267">
        <f t="shared" si="124"/>
        <v>0</v>
      </c>
      <c r="H223" s="3268">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5">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1051">
        <f t="shared" si="127"/>
        <v>0</v>
      </c>
      <c r="AW223" s="1051">
        <f t="shared" si="128"/>
        <v>0</v>
      </c>
      <c r="AX223" s="1051">
        <f t="shared" si="129"/>
        <v>0</v>
      </c>
      <c r="AY223" s="3313">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20">
        <f t="shared" si="151"/>
        <v>0</v>
      </c>
    </row>
    <row r="224" spans="1:72">
      <c r="A224" s="3263"/>
      <c r="B224" s="3264"/>
      <c r="C224" s="3264"/>
      <c r="D224" s="3271"/>
      <c r="E224" s="3265">
        <f t="shared" si="123"/>
        <v>0</v>
      </c>
      <c r="F224" s="3266"/>
      <c r="G224" s="3267">
        <f t="shared" si="124"/>
        <v>0</v>
      </c>
      <c r="H224" s="3268">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5">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1051">
        <f t="shared" si="127"/>
        <v>0</v>
      </c>
      <c r="AW224" s="1051">
        <f t="shared" si="128"/>
        <v>0</v>
      </c>
      <c r="AX224" s="1051">
        <f t="shared" si="129"/>
        <v>0</v>
      </c>
      <c r="AY224" s="3313">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20">
        <f t="shared" si="151"/>
        <v>0</v>
      </c>
    </row>
    <row r="225" spans="1:72">
      <c r="A225" s="3263"/>
      <c r="B225" s="3264"/>
      <c r="C225" s="3264"/>
      <c r="D225" s="3271"/>
      <c r="E225" s="3265">
        <f t="shared" si="123"/>
        <v>0</v>
      </c>
      <c r="F225" s="3266"/>
      <c r="G225" s="3267">
        <f t="shared" si="124"/>
        <v>0</v>
      </c>
      <c r="H225" s="3268">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5">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1051">
        <f t="shared" si="127"/>
        <v>0</v>
      </c>
      <c r="AW225" s="1051">
        <f t="shared" si="128"/>
        <v>0</v>
      </c>
      <c r="AX225" s="1051">
        <f t="shared" si="129"/>
        <v>0</v>
      </c>
      <c r="AY225" s="3313">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20">
        <f t="shared" si="151"/>
        <v>0</v>
      </c>
    </row>
    <row r="226" spans="1:72">
      <c r="A226" s="3263"/>
      <c r="B226" s="3264"/>
      <c r="C226" s="3264"/>
      <c r="D226" s="3271"/>
      <c r="E226" s="3265">
        <f t="shared" si="123"/>
        <v>0</v>
      </c>
      <c r="F226" s="3266"/>
      <c r="G226" s="3267">
        <f t="shared" si="124"/>
        <v>0</v>
      </c>
      <c r="H226" s="3268">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5">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1051">
        <f t="shared" si="127"/>
        <v>0</v>
      </c>
      <c r="AW226" s="1051">
        <f t="shared" si="128"/>
        <v>0</v>
      </c>
      <c r="AX226" s="1051">
        <f t="shared" si="129"/>
        <v>0</v>
      </c>
      <c r="AY226" s="3313">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20">
        <f t="shared" si="151"/>
        <v>0</v>
      </c>
    </row>
    <row r="227" spans="1:72">
      <c r="A227" s="3263"/>
      <c r="B227" s="3264"/>
      <c r="C227" s="3264"/>
      <c r="D227" s="3271"/>
      <c r="E227" s="3265">
        <f t="shared" si="123"/>
        <v>0</v>
      </c>
      <c r="F227" s="3266"/>
      <c r="G227" s="3267">
        <f t="shared" si="124"/>
        <v>0</v>
      </c>
      <c r="H227" s="3268">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5">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1051">
        <f t="shared" si="127"/>
        <v>0</v>
      </c>
      <c r="AW227" s="1051">
        <f t="shared" si="128"/>
        <v>0</v>
      </c>
      <c r="AX227" s="1051">
        <f t="shared" si="129"/>
        <v>0</v>
      </c>
      <c r="AY227" s="3313">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20">
        <f t="shared" si="151"/>
        <v>0</v>
      </c>
    </row>
    <row r="228" spans="1:72">
      <c r="A228" s="3263"/>
      <c r="B228" s="3264"/>
      <c r="C228" s="3264"/>
      <c r="D228" s="3271"/>
      <c r="E228" s="3265">
        <f t="shared" si="123"/>
        <v>0</v>
      </c>
      <c r="F228" s="3266"/>
      <c r="G228" s="3267">
        <f t="shared" si="124"/>
        <v>0</v>
      </c>
      <c r="H228" s="3268">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5">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1051">
        <f t="shared" si="127"/>
        <v>0</v>
      </c>
      <c r="AW228" s="1051">
        <f t="shared" si="128"/>
        <v>0</v>
      </c>
      <c r="AX228" s="1051">
        <f t="shared" si="129"/>
        <v>0</v>
      </c>
      <c r="AY228" s="3313">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20">
        <f t="shared" si="151"/>
        <v>0</v>
      </c>
    </row>
    <row r="229" spans="1:72">
      <c r="A229" s="3263"/>
      <c r="B229" s="3264"/>
      <c r="C229" s="3264"/>
      <c r="D229" s="3271"/>
      <c r="E229" s="3265">
        <f t="shared" si="123"/>
        <v>0</v>
      </c>
      <c r="F229" s="3266"/>
      <c r="G229" s="3267">
        <f t="shared" si="124"/>
        <v>0</v>
      </c>
      <c r="H229" s="3268">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5">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1051">
        <f t="shared" si="127"/>
        <v>0</v>
      </c>
      <c r="AW229" s="1051">
        <f t="shared" si="128"/>
        <v>0</v>
      </c>
      <c r="AX229" s="1051">
        <f t="shared" si="129"/>
        <v>0</v>
      </c>
      <c r="AY229" s="3313">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20">
        <f t="shared" si="151"/>
        <v>0</v>
      </c>
    </row>
    <row r="230" spans="1:72">
      <c r="A230" s="3263"/>
      <c r="B230" s="3264"/>
      <c r="C230" s="3264"/>
      <c r="D230" s="3271"/>
      <c r="E230" s="3265">
        <f t="shared" si="123"/>
        <v>0</v>
      </c>
      <c r="F230" s="3266"/>
      <c r="G230" s="3267">
        <f t="shared" si="124"/>
        <v>0</v>
      </c>
      <c r="H230" s="3268">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5">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1051">
        <f t="shared" si="127"/>
        <v>0</v>
      </c>
      <c r="AW230" s="1051">
        <f t="shared" si="128"/>
        <v>0</v>
      </c>
      <c r="AX230" s="1051">
        <f t="shared" si="129"/>
        <v>0</v>
      </c>
      <c r="AY230" s="3313">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20">
        <f t="shared" si="151"/>
        <v>0</v>
      </c>
    </row>
    <row r="231" spans="1:72">
      <c r="A231" s="3263"/>
      <c r="B231" s="3264"/>
      <c r="C231" s="3264"/>
      <c r="D231" s="3271"/>
      <c r="E231" s="3265">
        <f t="shared" si="123"/>
        <v>0</v>
      </c>
      <c r="F231" s="3266"/>
      <c r="G231" s="3267">
        <f t="shared" si="124"/>
        <v>0</v>
      </c>
      <c r="H231" s="3268">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5">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1051">
        <f t="shared" si="127"/>
        <v>0</v>
      </c>
      <c r="AW231" s="1051">
        <f t="shared" si="128"/>
        <v>0</v>
      </c>
      <c r="AX231" s="1051">
        <f t="shared" si="129"/>
        <v>0</v>
      </c>
      <c r="AY231" s="3313">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20">
        <f t="shared" si="151"/>
        <v>0</v>
      </c>
    </row>
    <row r="232" spans="1:72">
      <c r="A232" s="3263"/>
      <c r="B232" s="3264"/>
      <c r="C232" s="3264"/>
      <c r="D232" s="3271"/>
      <c r="E232" s="3265">
        <f t="shared" si="123"/>
        <v>0</v>
      </c>
      <c r="F232" s="3266"/>
      <c r="G232" s="3267">
        <f t="shared" si="124"/>
        <v>0</v>
      </c>
      <c r="H232" s="3268">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5">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1051">
        <f t="shared" si="127"/>
        <v>0</v>
      </c>
      <c r="AW232" s="1051">
        <f t="shared" si="128"/>
        <v>0</v>
      </c>
      <c r="AX232" s="1051">
        <f t="shared" si="129"/>
        <v>0</v>
      </c>
      <c r="AY232" s="3313">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20">
        <f t="shared" si="151"/>
        <v>0</v>
      </c>
    </row>
    <row r="233" spans="1:72">
      <c r="A233" s="3263"/>
      <c r="B233" s="3264"/>
      <c r="C233" s="3264"/>
      <c r="D233" s="3271"/>
      <c r="E233" s="3265">
        <f t="shared" si="123"/>
        <v>0</v>
      </c>
      <c r="F233" s="3266"/>
      <c r="G233" s="3267">
        <f t="shared" si="124"/>
        <v>0</v>
      </c>
      <c r="H233" s="3268">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5">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1051">
        <f t="shared" si="127"/>
        <v>0</v>
      </c>
      <c r="AW233" s="1051">
        <f t="shared" si="128"/>
        <v>0</v>
      </c>
      <c r="AX233" s="1051">
        <f t="shared" si="129"/>
        <v>0</v>
      </c>
      <c r="AY233" s="3313">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20">
        <f t="shared" si="151"/>
        <v>0</v>
      </c>
    </row>
    <row r="234" spans="1:72">
      <c r="A234" s="3263"/>
      <c r="B234" s="3264"/>
      <c r="C234" s="3264"/>
      <c r="D234" s="3271"/>
      <c r="E234" s="3265">
        <f t="shared" si="123"/>
        <v>0</v>
      </c>
      <c r="F234" s="3266"/>
      <c r="G234" s="3267">
        <f t="shared" si="124"/>
        <v>0</v>
      </c>
      <c r="H234" s="3268">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5">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1051">
        <f t="shared" si="127"/>
        <v>0</v>
      </c>
      <c r="AW234" s="1051">
        <f t="shared" si="128"/>
        <v>0</v>
      </c>
      <c r="AX234" s="1051">
        <f t="shared" si="129"/>
        <v>0</v>
      </c>
      <c r="AY234" s="3313">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20">
        <f t="shared" si="151"/>
        <v>0</v>
      </c>
    </row>
    <row r="235" spans="1:72">
      <c r="A235" s="3263"/>
      <c r="B235" s="3264"/>
      <c r="C235" s="3264"/>
      <c r="D235" s="3271"/>
      <c r="E235" s="3265">
        <f t="shared" si="123"/>
        <v>0</v>
      </c>
      <c r="F235" s="3266"/>
      <c r="G235" s="3267">
        <f t="shared" si="124"/>
        <v>0</v>
      </c>
      <c r="H235" s="3268">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5">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1051">
        <f t="shared" si="127"/>
        <v>0</v>
      </c>
      <c r="AW235" s="1051">
        <f t="shared" si="128"/>
        <v>0</v>
      </c>
      <c r="AX235" s="1051">
        <f t="shared" si="129"/>
        <v>0</v>
      </c>
      <c r="AY235" s="3313">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20">
        <f t="shared" si="151"/>
        <v>0</v>
      </c>
    </row>
    <row r="236" spans="1:72">
      <c r="A236" s="3263"/>
      <c r="B236" s="3264"/>
      <c r="C236" s="3264"/>
      <c r="D236" s="3271"/>
      <c r="E236" s="3265">
        <f t="shared" si="123"/>
        <v>0</v>
      </c>
      <c r="F236" s="3266"/>
      <c r="G236" s="3267">
        <f t="shared" si="124"/>
        <v>0</v>
      </c>
      <c r="H236" s="3268">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5">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1051">
        <f t="shared" si="127"/>
        <v>0</v>
      </c>
      <c r="AW236" s="1051">
        <f t="shared" si="128"/>
        <v>0</v>
      </c>
      <c r="AX236" s="1051">
        <f t="shared" si="129"/>
        <v>0</v>
      </c>
      <c r="AY236" s="3313">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20">
        <f t="shared" si="151"/>
        <v>0</v>
      </c>
    </row>
    <row r="237" spans="1:72">
      <c r="A237" s="3263"/>
      <c r="B237" s="3264"/>
      <c r="C237" s="3264"/>
      <c r="D237" s="3271"/>
      <c r="E237" s="3265">
        <f t="shared" si="123"/>
        <v>0</v>
      </c>
      <c r="F237" s="3266"/>
      <c r="G237" s="3267">
        <f t="shared" si="124"/>
        <v>0</v>
      </c>
      <c r="H237" s="3268">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5">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1051">
        <f t="shared" si="127"/>
        <v>0</v>
      </c>
      <c r="AW237" s="1051">
        <f t="shared" si="128"/>
        <v>0</v>
      </c>
      <c r="AX237" s="1051">
        <f t="shared" si="129"/>
        <v>0</v>
      </c>
      <c r="AY237" s="3313">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20">
        <f t="shared" si="151"/>
        <v>0</v>
      </c>
    </row>
    <row r="238" spans="1:72">
      <c r="A238" s="3263"/>
      <c r="B238" s="3264"/>
      <c r="C238" s="3264"/>
      <c r="D238" s="3271"/>
      <c r="E238" s="3265">
        <f t="shared" si="123"/>
        <v>0</v>
      </c>
      <c r="F238" s="3266"/>
      <c r="G238" s="3267">
        <f t="shared" si="124"/>
        <v>0</v>
      </c>
      <c r="H238" s="3268">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5">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1051">
        <f t="shared" si="127"/>
        <v>0</v>
      </c>
      <c r="AW238" s="1051">
        <f t="shared" si="128"/>
        <v>0</v>
      </c>
      <c r="AX238" s="1051">
        <f t="shared" si="129"/>
        <v>0</v>
      </c>
      <c r="AY238" s="3313">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20">
        <f t="shared" si="151"/>
        <v>0</v>
      </c>
    </row>
    <row r="239" spans="1:72">
      <c r="A239" s="3263"/>
      <c r="B239" s="3264"/>
      <c r="C239" s="3264"/>
      <c r="D239" s="3271"/>
      <c r="E239" s="3265">
        <f t="shared" si="123"/>
        <v>0</v>
      </c>
      <c r="F239" s="3266"/>
      <c r="G239" s="3267">
        <f t="shared" si="124"/>
        <v>0</v>
      </c>
      <c r="H239" s="3268">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5">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1051">
        <f t="shared" si="127"/>
        <v>0</v>
      </c>
      <c r="AW239" s="1051">
        <f t="shared" si="128"/>
        <v>0</v>
      </c>
      <c r="AX239" s="1051">
        <f t="shared" si="129"/>
        <v>0</v>
      </c>
      <c r="AY239" s="3313">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20">
        <f t="shared" si="151"/>
        <v>0</v>
      </c>
    </row>
    <row r="240" spans="1:72">
      <c r="A240" s="3263"/>
      <c r="B240" s="3264"/>
      <c r="C240" s="3264"/>
      <c r="D240" s="3271"/>
      <c r="E240" s="3265">
        <f t="shared" si="123"/>
        <v>0</v>
      </c>
      <c r="F240" s="3266"/>
      <c r="G240" s="3267">
        <f t="shared" si="124"/>
        <v>0</v>
      </c>
      <c r="H240" s="3268">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5">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1051">
        <f t="shared" si="127"/>
        <v>0</v>
      </c>
      <c r="AW240" s="1051">
        <f t="shared" si="128"/>
        <v>0</v>
      </c>
      <c r="AX240" s="1051">
        <f t="shared" si="129"/>
        <v>0</v>
      </c>
      <c r="AY240" s="3313">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20">
        <f t="shared" si="151"/>
        <v>0</v>
      </c>
    </row>
    <row r="241" spans="1:72">
      <c r="A241" s="3263"/>
      <c r="B241" s="3264"/>
      <c r="C241" s="3264"/>
      <c r="D241" s="3271"/>
      <c r="E241" s="3265">
        <f t="shared" si="123"/>
        <v>0</v>
      </c>
      <c r="F241" s="3266"/>
      <c r="G241" s="3267">
        <f t="shared" si="124"/>
        <v>0</v>
      </c>
      <c r="H241" s="3268">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5">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1051">
        <f t="shared" si="127"/>
        <v>0</v>
      </c>
      <c r="AW241" s="1051">
        <f t="shared" si="128"/>
        <v>0</v>
      </c>
      <c r="AX241" s="1051">
        <f t="shared" si="129"/>
        <v>0</v>
      </c>
      <c r="AY241" s="3313">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20">
        <f t="shared" si="151"/>
        <v>0</v>
      </c>
    </row>
    <row r="242" spans="1:72">
      <c r="A242" s="3263"/>
      <c r="B242" s="3264"/>
      <c r="C242" s="3264"/>
      <c r="D242" s="3271"/>
      <c r="E242" s="3265">
        <f t="shared" si="123"/>
        <v>0</v>
      </c>
      <c r="F242" s="3266"/>
      <c r="G242" s="3267">
        <f t="shared" si="124"/>
        <v>0</v>
      </c>
      <c r="H242" s="3268">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5">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1051">
        <f t="shared" si="127"/>
        <v>0</v>
      </c>
      <c r="AW242" s="1051">
        <f t="shared" si="128"/>
        <v>0</v>
      </c>
      <c r="AX242" s="1051">
        <f t="shared" si="129"/>
        <v>0</v>
      </c>
      <c r="AY242" s="3313">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20">
        <f t="shared" si="151"/>
        <v>0</v>
      </c>
    </row>
    <row r="243" spans="1:72">
      <c r="A243" s="3263"/>
      <c r="B243" s="3264"/>
      <c r="C243" s="3264"/>
      <c r="D243" s="3271"/>
      <c r="E243" s="3265">
        <f t="shared" si="123"/>
        <v>0</v>
      </c>
      <c r="F243" s="3266"/>
      <c r="G243" s="3267">
        <f t="shared" si="124"/>
        <v>0</v>
      </c>
      <c r="H243" s="3268">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5">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1051">
        <f t="shared" si="127"/>
        <v>0</v>
      </c>
      <c r="AW243" s="1051">
        <f t="shared" si="128"/>
        <v>0</v>
      </c>
      <c r="AX243" s="1051">
        <f t="shared" si="129"/>
        <v>0</v>
      </c>
      <c r="AY243" s="3313">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20">
        <f t="shared" si="151"/>
        <v>0</v>
      </c>
    </row>
    <row r="244" spans="1:72">
      <c r="A244" s="3263"/>
      <c r="B244" s="3264"/>
      <c r="C244" s="3264"/>
      <c r="D244" s="3271"/>
      <c r="E244" s="3265">
        <f t="shared" si="123"/>
        <v>0</v>
      </c>
      <c r="F244" s="3266"/>
      <c r="G244" s="3267">
        <f t="shared" si="124"/>
        <v>0</v>
      </c>
      <c r="H244" s="3268">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5">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1051">
        <f t="shared" si="127"/>
        <v>0</v>
      </c>
      <c r="AW244" s="1051">
        <f t="shared" si="128"/>
        <v>0</v>
      </c>
      <c r="AX244" s="1051">
        <f t="shared" si="129"/>
        <v>0</v>
      </c>
      <c r="AY244" s="3313">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20">
        <f t="shared" si="151"/>
        <v>0</v>
      </c>
    </row>
    <row r="245" spans="1:72">
      <c r="A245" s="3263"/>
      <c r="B245" s="3264"/>
      <c r="C245" s="3264"/>
      <c r="D245" s="3271"/>
      <c r="E245" s="3265">
        <f t="shared" si="123"/>
        <v>0</v>
      </c>
      <c r="F245" s="3266"/>
      <c r="G245" s="3267">
        <f t="shared" si="124"/>
        <v>0</v>
      </c>
      <c r="H245" s="3268">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5">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1051">
        <f t="shared" si="127"/>
        <v>0</v>
      </c>
      <c r="AW245" s="1051">
        <f t="shared" si="128"/>
        <v>0</v>
      </c>
      <c r="AX245" s="1051">
        <f t="shared" si="129"/>
        <v>0</v>
      </c>
      <c r="AY245" s="3313">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20">
        <f t="shared" si="151"/>
        <v>0</v>
      </c>
    </row>
    <row r="246" spans="1:72">
      <c r="A246" s="3263"/>
      <c r="B246" s="3264"/>
      <c r="C246" s="3264"/>
      <c r="D246" s="3271"/>
      <c r="E246" s="3265">
        <f t="shared" si="123"/>
        <v>0</v>
      </c>
      <c r="F246" s="3266"/>
      <c r="G246" s="3267">
        <f t="shared" si="124"/>
        <v>0</v>
      </c>
      <c r="H246" s="3268">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5">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1051">
        <f t="shared" si="127"/>
        <v>0</v>
      </c>
      <c r="AW246" s="1051">
        <f t="shared" si="128"/>
        <v>0</v>
      </c>
      <c r="AX246" s="1051">
        <f t="shared" si="129"/>
        <v>0</v>
      </c>
      <c r="AY246" s="3313">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20">
        <f t="shared" si="151"/>
        <v>0</v>
      </c>
    </row>
    <row r="247" spans="1:72">
      <c r="A247" s="3263"/>
      <c r="B247" s="3264"/>
      <c r="C247" s="3264"/>
      <c r="D247" s="3271"/>
      <c r="E247" s="3265">
        <f t="shared" si="123"/>
        <v>0</v>
      </c>
      <c r="F247" s="3266"/>
      <c r="G247" s="3267">
        <f t="shared" si="124"/>
        <v>0</v>
      </c>
      <c r="H247" s="3268">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5">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1051">
        <f t="shared" si="127"/>
        <v>0</v>
      </c>
      <c r="AW247" s="1051">
        <f t="shared" si="128"/>
        <v>0</v>
      </c>
      <c r="AX247" s="1051">
        <f t="shared" si="129"/>
        <v>0</v>
      </c>
      <c r="AY247" s="3313">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20">
        <f t="shared" si="151"/>
        <v>0</v>
      </c>
    </row>
    <row r="248" spans="1:72">
      <c r="A248" s="3263"/>
      <c r="B248" s="3264"/>
      <c r="C248" s="3264"/>
      <c r="D248" s="3271"/>
      <c r="E248" s="3265">
        <f t="shared" si="123"/>
        <v>0</v>
      </c>
      <c r="F248" s="3266"/>
      <c r="G248" s="3267">
        <f t="shared" si="124"/>
        <v>0</v>
      </c>
      <c r="H248" s="3268">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5">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1051">
        <f t="shared" si="127"/>
        <v>0</v>
      </c>
      <c r="AW248" s="1051">
        <f t="shared" si="128"/>
        <v>0</v>
      </c>
      <c r="AX248" s="1051">
        <f t="shared" si="129"/>
        <v>0</v>
      </c>
      <c r="AY248" s="3313">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20">
        <f t="shared" si="151"/>
        <v>0</v>
      </c>
    </row>
    <row r="249" spans="1:72">
      <c r="A249" s="3263"/>
      <c r="B249" s="3264"/>
      <c r="C249" s="3264"/>
      <c r="D249" s="3271"/>
      <c r="E249" s="3265">
        <f t="shared" si="123"/>
        <v>0</v>
      </c>
      <c r="F249" s="3266"/>
      <c r="G249" s="3267">
        <f t="shared" si="124"/>
        <v>0</v>
      </c>
      <c r="H249" s="3268">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5">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1051">
        <f t="shared" si="127"/>
        <v>0</v>
      </c>
      <c r="AW249" s="1051">
        <f t="shared" si="128"/>
        <v>0</v>
      </c>
      <c r="AX249" s="1051">
        <f t="shared" si="129"/>
        <v>0</v>
      </c>
      <c r="AY249" s="3313">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20">
        <f t="shared" si="151"/>
        <v>0</v>
      </c>
    </row>
    <row r="250" spans="1:72">
      <c r="A250" s="3263"/>
      <c r="B250" s="3264"/>
      <c r="C250" s="3264"/>
      <c r="D250" s="3271"/>
      <c r="E250" s="3265">
        <f t="shared" si="123"/>
        <v>0</v>
      </c>
      <c r="F250" s="3266"/>
      <c r="G250" s="3267">
        <f t="shared" si="124"/>
        <v>0</v>
      </c>
      <c r="H250" s="3268">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5">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1051">
        <f t="shared" si="127"/>
        <v>0</v>
      </c>
      <c r="AW250" s="1051">
        <f t="shared" si="128"/>
        <v>0</v>
      </c>
      <c r="AX250" s="1051">
        <f t="shared" si="129"/>
        <v>0</v>
      </c>
      <c r="AY250" s="3313">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20">
        <f t="shared" si="151"/>
        <v>0</v>
      </c>
    </row>
    <row r="251" spans="1:72">
      <c r="A251" s="3263"/>
      <c r="B251" s="3264"/>
      <c r="C251" s="3264"/>
      <c r="D251" s="3271"/>
      <c r="E251" s="3265">
        <f t="shared" si="123"/>
        <v>0</v>
      </c>
      <c r="F251" s="3266"/>
      <c r="G251" s="3267">
        <f t="shared" si="124"/>
        <v>0</v>
      </c>
      <c r="H251" s="3268">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5">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1051">
        <f t="shared" si="127"/>
        <v>0</v>
      </c>
      <c r="AW251" s="1051">
        <f t="shared" si="128"/>
        <v>0</v>
      </c>
      <c r="AX251" s="1051">
        <f t="shared" si="129"/>
        <v>0</v>
      </c>
      <c r="AY251" s="3313">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20">
        <f t="shared" si="151"/>
        <v>0</v>
      </c>
    </row>
    <row r="252" spans="1:72">
      <c r="A252" s="3263"/>
      <c r="B252" s="3264"/>
      <c r="C252" s="3264"/>
      <c r="D252" s="3271"/>
      <c r="E252" s="3265">
        <f t="shared" si="123"/>
        <v>0</v>
      </c>
      <c r="F252" s="3266"/>
      <c r="G252" s="3267">
        <f t="shared" si="124"/>
        <v>0</v>
      </c>
      <c r="H252" s="3268">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5">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1051">
        <f t="shared" si="127"/>
        <v>0</v>
      </c>
      <c r="AW252" s="1051">
        <f t="shared" si="128"/>
        <v>0</v>
      </c>
      <c r="AX252" s="1051">
        <f t="shared" si="129"/>
        <v>0</v>
      </c>
      <c r="AY252" s="3313">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20">
        <f t="shared" si="151"/>
        <v>0</v>
      </c>
    </row>
    <row r="253" spans="1:72">
      <c r="A253" s="3263"/>
      <c r="B253" s="3264"/>
      <c r="C253" s="3264"/>
      <c r="D253" s="3271"/>
      <c r="E253" s="3265">
        <f t="shared" si="123"/>
        <v>0</v>
      </c>
      <c r="F253" s="3266"/>
      <c r="G253" s="3267">
        <f t="shared" si="124"/>
        <v>0</v>
      </c>
      <c r="H253" s="3268">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5">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1051">
        <f t="shared" si="127"/>
        <v>0</v>
      </c>
      <c r="AW253" s="1051">
        <f t="shared" si="128"/>
        <v>0</v>
      </c>
      <c r="AX253" s="1051">
        <f t="shared" si="129"/>
        <v>0</v>
      </c>
      <c r="AY253" s="3313">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20">
        <f t="shared" si="151"/>
        <v>0</v>
      </c>
    </row>
    <row r="254" spans="1:72">
      <c r="A254" s="3263"/>
      <c r="B254" s="3264"/>
      <c r="C254" s="3264"/>
      <c r="D254" s="3271"/>
      <c r="E254" s="3265">
        <f t="shared" si="123"/>
        <v>0</v>
      </c>
      <c r="F254" s="3266"/>
      <c r="G254" s="3267">
        <f t="shared" si="124"/>
        <v>0</v>
      </c>
      <c r="H254" s="3268">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5">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1051">
        <f t="shared" si="127"/>
        <v>0</v>
      </c>
      <c r="AW254" s="1051">
        <f t="shared" si="128"/>
        <v>0</v>
      </c>
      <c r="AX254" s="1051">
        <f t="shared" si="129"/>
        <v>0</v>
      </c>
      <c r="AY254" s="3313">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20">
        <f t="shared" si="151"/>
        <v>0</v>
      </c>
    </row>
    <row r="255" spans="1:72">
      <c r="A255" s="3263"/>
      <c r="B255" s="3264"/>
      <c r="C255" s="3264"/>
      <c r="D255" s="3271"/>
      <c r="E255" s="3265">
        <f t="shared" si="123"/>
        <v>0</v>
      </c>
      <c r="F255" s="3266"/>
      <c r="G255" s="3267">
        <f t="shared" si="124"/>
        <v>0</v>
      </c>
      <c r="H255" s="3268">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5">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1051">
        <f t="shared" si="127"/>
        <v>0</v>
      </c>
      <c r="AW255" s="1051">
        <f t="shared" si="128"/>
        <v>0</v>
      </c>
      <c r="AX255" s="1051">
        <f t="shared" si="129"/>
        <v>0</v>
      </c>
      <c r="AY255" s="3313">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20">
        <f t="shared" si="151"/>
        <v>0</v>
      </c>
    </row>
    <row r="256" spans="1:72">
      <c r="A256" s="3263"/>
      <c r="B256" s="3264"/>
      <c r="C256" s="3264"/>
      <c r="D256" s="3271"/>
      <c r="E256" s="3265">
        <f t="shared" si="123"/>
        <v>0</v>
      </c>
      <c r="F256" s="3266"/>
      <c r="G256" s="3267">
        <f t="shared" si="124"/>
        <v>0</v>
      </c>
      <c r="H256" s="3268">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5">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1051">
        <f t="shared" si="127"/>
        <v>0</v>
      </c>
      <c r="AW256" s="1051">
        <f t="shared" si="128"/>
        <v>0</v>
      </c>
      <c r="AX256" s="1051">
        <f t="shared" si="129"/>
        <v>0</v>
      </c>
      <c r="AY256" s="3313">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20">
        <f t="shared" si="151"/>
        <v>0</v>
      </c>
    </row>
    <row r="257" spans="1:72">
      <c r="A257" s="3263"/>
      <c r="B257" s="3264"/>
      <c r="C257" s="3264"/>
      <c r="D257" s="3271"/>
      <c r="E257" s="3265">
        <f t="shared" si="123"/>
        <v>0</v>
      </c>
      <c r="F257" s="3266"/>
      <c r="G257" s="3267">
        <f t="shared" si="124"/>
        <v>0</v>
      </c>
      <c r="H257" s="3268">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5">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1051">
        <f t="shared" si="127"/>
        <v>0</v>
      </c>
      <c r="AW257" s="1051">
        <f t="shared" si="128"/>
        <v>0</v>
      </c>
      <c r="AX257" s="1051">
        <f t="shared" si="129"/>
        <v>0</v>
      </c>
      <c r="AY257" s="3313">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20">
        <f t="shared" si="151"/>
        <v>0</v>
      </c>
    </row>
    <row r="258" spans="1:72">
      <c r="A258" s="3263"/>
      <c r="B258" s="3264"/>
      <c r="C258" s="3264"/>
      <c r="D258" s="3271"/>
      <c r="E258" s="3265">
        <f t="shared" si="123"/>
        <v>0</v>
      </c>
      <c r="F258" s="3266"/>
      <c r="G258" s="3267">
        <f t="shared" si="124"/>
        <v>0</v>
      </c>
      <c r="H258" s="3268">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5">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1051">
        <f t="shared" si="127"/>
        <v>0</v>
      </c>
      <c r="AW258" s="1051">
        <f t="shared" si="128"/>
        <v>0</v>
      </c>
      <c r="AX258" s="1051">
        <f t="shared" si="129"/>
        <v>0</v>
      </c>
      <c r="AY258" s="3313">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20">
        <f t="shared" si="151"/>
        <v>0</v>
      </c>
    </row>
    <row r="259" spans="1:72">
      <c r="A259" s="3263"/>
      <c r="B259" s="3264"/>
      <c r="C259" s="3264"/>
      <c r="D259" s="3271"/>
      <c r="E259" s="3265">
        <f t="shared" si="123"/>
        <v>0</v>
      </c>
      <c r="F259" s="3266"/>
      <c r="G259" s="3267">
        <f t="shared" si="124"/>
        <v>0</v>
      </c>
      <c r="H259" s="3268">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5">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1051">
        <f t="shared" si="127"/>
        <v>0</v>
      </c>
      <c r="AW259" s="1051">
        <f t="shared" si="128"/>
        <v>0</v>
      </c>
      <c r="AX259" s="1051">
        <f t="shared" si="129"/>
        <v>0</v>
      </c>
      <c r="AY259" s="3313">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20">
        <f t="shared" si="151"/>
        <v>0</v>
      </c>
    </row>
    <row r="260" spans="1:72">
      <c r="A260" s="3263"/>
      <c r="B260" s="3264"/>
      <c r="C260" s="3264"/>
      <c r="D260" s="3271"/>
      <c r="E260" s="3265">
        <f t="shared" si="123"/>
        <v>0</v>
      </c>
      <c r="F260" s="3266"/>
      <c r="G260" s="3267">
        <f t="shared" si="124"/>
        <v>0</v>
      </c>
      <c r="H260" s="3268">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5">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1051">
        <f t="shared" si="127"/>
        <v>0</v>
      </c>
      <c r="AW260" s="1051">
        <f t="shared" si="128"/>
        <v>0</v>
      </c>
      <c r="AX260" s="1051">
        <f t="shared" si="129"/>
        <v>0</v>
      </c>
      <c r="AY260" s="3313">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20">
        <f t="shared" si="151"/>
        <v>0</v>
      </c>
    </row>
    <row r="261" spans="1:72">
      <c r="A261" s="3263"/>
      <c r="B261" s="3264"/>
      <c r="C261" s="3264"/>
      <c r="D261" s="3271"/>
      <c r="E261" s="3265">
        <f t="shared" si="123"/>
        <v>0</v>
      </c>
      <c r="F261" s="3266"/>
      <c r="G261" s="3267">
        <f t="shared" si="124"/>
        <v>0</v>
      </c>
      <c r="H261" s="3268">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5">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1051">
        <f t="shared" si="127"/>
        <v>0</v>
      </c>
      <c r="AW261" s="1051">
        <f t="shared" si="128"/>
        <v>0</v>
      </c>
      <c r="AX261" s="1051">
        <f t="shared" si="129"/>
        <v>0</v>
      </c>
      <c r="AY261" s="3313">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20">
        <f t="shared" si="151"/>
        <v>0</v>
      </c>
    </row>
    <row r="262" spans="1:72">
      <c r="A262" s="3263"/>
      <c r="B262" s="3264"/>
      <c r="C262" s="3264"/>
      <c r="D262" s="3271"/>
      <c r="E262" s="3265">
        <f t="shared" si="123"/>
        <v>0</v>
      </c>
      <c r="F262" s="3266"/>
      <c r="G262" s="3267">
        <f t="shared" si="124"/>
        <v>0</v>
      </c>
      <c r="H262" s="3268">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5">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1051">
        <f t="shared" si="127"/>
        <v>0</v>
      </c>
      <c r="AW262" s="1051">
        <f t="shared" si="128"/>
        <v>0</v>
      </c>
      <c r="AX262" s="1051">
        <f t="shared" si="129"/>
        <v>0</v>
      </c>
      <c r="AY262" s="3313">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20">
        <f t="shared" si="151"/>
        <v>0</v>
      </c>
    </row>
    <row r="263" spans="1:72">
      <c r="A263" s="3263"/>
      <c r="B263" s="3264"/>
      <c r="C263" s="3264"/>
      <c r="D263" s="3271"/>
      <c r="E263" s="3265">
        <f t="shared" si="123"/>
        <v>0</v>
      </c>
      <c r="F263" s="3266"/>
      <c r="G263" s="3267">
        <f t="shared" si="124"/>
        <v>0</v>
      </c>
      <c r="H263" s="3268">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5">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1051">
        <f t="shared" si="127"/>
        <v>0</v>
      </c>
      <c r="AW263" s="1051">
        <f t="shared" si="128"/>
        <v>0</v>
      </c>
      <c r="AX263" s="1051">
        <f t="shared" si="129"/>
        <v>0</v>
      </c>
      <c r="AY263" s="3313">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20">
        <f t="shared" si="151"/>
        <v>0</v>
      </c>
    </row>
    <row r="264" spans="1:72">
      <c r="A264" s="3263"/>
      <c r="B264" s="3264"/>
      <c r="C264" s="3264"/>
      <c r="D264" s="3271"/>
      <c r="E264" s="3265">
        <f t="shared" si="123"/>
        <v>0</v>
      </c>
      <c r="F264" s="3266"/>
      <c r="G264" s="3267">
        <f t="shared" si="124"/>
        <v>0</v>
      </c>
      <c r="H264" s="3268">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5">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1051">
        <f t="shared" si="127"/>
        <v>0</v>
      </c>
      <c r="AW264" s="1051">
        <f t="shared" si="128"/>
        <v>0</v>
      </c>
      <c r="AX264" s="1051">
        <f t="shared" si="129"/>
        <v>0</v>
      </c>
      <c r="AY264" s="3313">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20">
        <f t="shared" si="151"/>
        <v>0</v>
      </c>
    </row>
    <row r="265" spans="1:72">
      <c r="A265" s="3263"/>
      <c r="B265" s="3264"/>
      <c r="C265" s="3264"/>
      <c r="D265" s="3271"/>
      <c r="E265" s="3265">
        <f t="shared" si="123"/>
        <v>0</v>
      </c>
      <c r="F265" s="3266"/>
      <c r="G265" s="3267">
        <f t="shared" si="124"/>
        <v>0</v>
      </c>
      <c r="H265" s="3268">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5">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1051">
        <f t="shared" si="127"/>
        <v>0</v>
      </c>
      <c r="AW265" s="1051">
        <f t="shared" si="128"/>
        <v>0</v>
      </c>
      <c r="AX265" s="1051">
        <f t="shared" si="129"/>
        <v>0</v>
      </c>
      <c r="AY265" s="3313">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20">
        <f t="shared" si="151"/>
        <v>0</v>
      </c>
    </row>
    <row r="266" spans="1:72">
      <c r="A266" s="3263"/>
      <c r="B266" s="3264"/>
      <c r="C266" s="3264"/>
      <c r="D266" s="3271"/>
      <c r="E266" s="3265">
        <f t="shared" si="123"/>
        <v>0</v>
      </c>
      <c r="F266" s="3266"/>
      <c r="G266" s="3267">
        <f t="shared" si="124"/>
        <v>0</v>
      </c>
      <c r="H266" s="3268">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5">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1051">
        <f t="shared" si="127"/>
        <v>0</v>
      </c>
      <c r="AW266" s="1051">
        <f t="shared" si="128"/>
        <v>0</v>
      </c>
      <c r="AX266" s="1051">
        <f t="shared" si="129"/>
        <v>0</v>
      </c>
      <c r="AY266" s="3313">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20">
        <f t="shared" si="151"/>
        <v>0</v>
      </c>
    </row>
    <row r="267" spans="1:72">
      <c r="A267" s="3263"/>
      <c r="B267" s="3264"/>
      <c r="C267" s="3264"/>
      <c r="D267" s="3271"/>
      <c r="E267" s="3265">
        <f t="shared" si="123"/>
        <v>0</v>
      </c>
      <c r="F267" s="3266"/>
      <c r="G267" s="3267">
        <f t="shared" si="124"/>
        <v>0</v>
      </c>
      <c r="H267" s="3268">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5">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1051">
        <f t="shared" si="127"/>
        <v>0</v>
      </c>
      <c r="AW267" s="1051">
        <f t="shared" si="128"/>
        <v>0</v>
      </c>
      <c r="AX267" s="1051">
        <f t="shared" si="129"/>
        <v>0</v>
      </c>
      <c r="AY267" s="3313">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20">
        <f t="shared" si="151"/>
        <v>0</v>
      </c>
    </row>
    <row r="268" spans="1:72">
      <c r="A268" s="3263"/>
      <c r="B268" s="3264"/>
      <c r="C268" s="3264"/>
      <c r="D268" s="3271"/>
      <c r="E268" s="3265">
        <f t="shared" si="123"/>
        <v>0</v>
      </c>
      <c r="F268" s="3266"/>
      <c r="G268" s="3267">
        <f t="shared" si="124"/>
        <v>0</v>
      </c>
      <c r="H268" s="3268">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5">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1051">
        <f t="shared" si="127"/>
        <v>0</v>
      </c>
      <c r="AW268" s="1051">
        <f t="shared" si="128"/>
        <v>0</v>
      </c>
      <c r="AX268" s="1051">
        <f t="shared" si="129"/>
        <v>0</v>
      </c>
      <c r="AY268" s="3313">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20">
        <f t="shared" si="151"/>
        <v>0</v>
      </c>
    </row>
    <row r="269" spans="1:72">
      <c r="A269" s="3263"/>
      <c r="B269" s="3264"/>
      <c r="C269" s="3264"/>
      <c r="D269" s="3271"/>
      <c r="E269" s="3265">
        <f t="shared" si="123"/>
        <v>0</v>
      </c>
      <c r="F269" s="3266"/>
      <c r="G269" s="3267">
        <f t="shared" si="124"/>
        <v>0</v>
      </c>
      <c r="H269" s="3268">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5">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1051">
        <f t="shared" si="127"/>
        <v>0</v>
      </c>
      <c r="AW269" s="1051">
        <f t="shared" si="128"/>
        <v>0</v>
      </c>
      <c r="AX269" s="1051">
        <f t="shared" si="129"/>
        <v>0</v>
      </c>
      <c r="AY269" s="3313">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20">
        <f t="shared" si="151"/>
        <v>0</v>
      </c>
    </row>
    <row r="270" spans="1:72">
      <c r="A270" s="3263"/>
      <c r="B270" s="3264"/>
      <c r="C270" s="3264"/>
      <c r="D270" s="3271"/>
      <c r="E270" s="3265">
        <f t="shared" si="123"/>
        <v>0</v>
      </c>
      <c r="F270" s="3266"/>
      <c r="G270" s="3267">
        <f t="shared" si="124"/>
        <v>0</v>
      </c>
      <c r="H270" s="3268">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5">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1051">
        <f t="shared" si="127"/>
        <v>0</v>
      </c>
      <c r="AW270" s="1051">
        <f t="shared" si="128"/>
        <v>0</v>
      </c>
      <c r="AX270" s="1051">
        <f t="shared" si="129"/>
        <v>0</v>
      </c>
      <c r="AY270" s="3313">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20">
        <f t="shared" si="151"/>
        <v>0</v>
      </c>
    </row>
    <row r="271" spans="1:72">
      <c r="A271" s="3263"/>
      <c r="B271" s="3264"/>
      <c r="C271" s="3264"/>
      <c r="D271" s="3271"/>
      <c r="E271" s="3265">
        <f t="shared" si="123"/>
        <v>0</v>
      </c>
      <c r="F271" s="3266"/>
      <c r="G271" s="3267">
        <f t="shared" si="124"/>
        <v>0</v>
      </c>
      <c r="H271" s="3268">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5">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1051">
        <f t="shared" si="127"/>
        <v>0</v>
      </c>
      <c r="AW271" s="1051">
        <f t="shared" si="128"/>
        <v>0</v>
      </c>
      <c r="AX271" s="1051">
        <f t="shared" si="129"/>
        <v>0</v>
      </c>
      <c r="AY271" s="3313">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20">
        <f t="shared" si="151"/>
        <v>0</v>
      </c>
    </row>
    <row r="272" spans="1:72">
      <c r="A272" s="3263"/>
      <c r="B272" s="3264"/>
      <c r="C272" s="3264"/>
      <c r="D272" s="3271"/>
      <c r="E272" s="3265">
        <f t="shared" si="123"/>
        <v>0</v>
      </c>
      <c r="F272" s="3266"/>
      <c r="G272" s="3267">
        <f t="shared" si="124"/>
        <v>0</v>
      </c>
      <c r="H272" s="3268">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5">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1051">
        <f t="shared" si="127"/>
        <v>0</v>
      </c>
      <c r="AW272" s="1051">
        <f t="shared" si="128"/>
        <v>0</v>
      </c>
      <c r="AX272" s="1051">
        <f t="shared" si="129"/>
        <v>0</v>
      </c>
      <c r="AY272" s="3313">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20">
        <f t="shared" si="151"/>
        <v>0</v>
      </c>
    </row>
    <row r="273" spans="1:72">
      <c r="A273" s="3263"/>
      <c r="B273" s="3264"/>
      <c r="C273" s="3264"/>
      <c r="D273" s="3271"/>
      <c r="E273" s="3265">
        <f t="shared" si="123"/>
        <v>0</v>
      </c>
      <c r="F273" s="3266"/>
      <c r="G273" s="3267">
        <f t="shared" si="124"/>
        <v>0</v>
      </c>
      <c r="H273" s="3268">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5">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1051">
        <f t="shared" si="127"/>
        <v>0</v>
      </c>
      <c r="AW273" s="1051">
        <f t="shared" si="128"/>
        <v>0</v>
      </c>
      <c r="AX273" s="1051">
        <f t="shared" si="129"/>
        <v>0</v>
      </c>
      <c r="AY273" s="3313">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20">
        <f t="shared" si="151"/>
        <v>0</v>
      </c>
    </row>
    <row r="274" spans="1:72">
      <c r="A274" s="3263"/>
      <c r="B274" s="3264"/>
      <c r="C274" s="3264"/>
      <c r="D274" s="3271"/>
      <c r="E274" s="3265">
        <f t="shared" si="123"/>
        <v>0</v>
      </c>
      <c r="F274" s="3266"/>
      <c r="G274" s="3267">
        <f t="shared" si="124"/>
        <v>0</v>
      </c>
      <c r="H274" s="3268">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5">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1051">
        <f t="shared" si="127"/>
        <v>0</v>
      </c>
      <c r="AW274" s="1051">
        <f t="shared" si="128"/>
        <v>0</v>
      </c>
      <c r="AX274" s="1051">
        <f t="shared" si="129"/>
        <v>0</v>
      </c>
      <c r="AY274" s="3313">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20">
        <f t="shared" si="151"/>
        <v>0</v>
      </c>
    </row>
    <row r="275" spans="1:72">
      <c r="A275" s="3263"/>
      <c r="B275" s="3264"/>
      <c r="C275" s="3264"/>
      <c r="D275" s="3271"/>
      <c r="E275" s="3265">
        <f t="shared" si="123"/>
        <v>0</v>
      </c>
      <c r="F275" s="3266"/>
      <c r="G275" s="3267">
        <f t="shared" si="124"/>
        <v>0</v>
      </c>
      <c r="H275" s="3268">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5">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1051">
        <f t="shared" si="127"/>
        <v>0</v>
      </c>
      <c r="AW275" s="1051">
        <f t="shared" si="128"/>
        <v>0</v>
      </c>
      <c r="AX275" s="1051">
        <f t="shared" si="129"/>
        <v>0</v>
      </c>
      <c r="AY275" s="3313">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20">
        <f t="shared" si="151"/>
        <v>0</v>
      </c>
    </row>
    <row r="276" spans="1:72">
      <c r="A276" s="3263"/>
      <c r="B276" s="3264"/>
      <c r="C276" s="3264"/>
      <c r="D276" s="3271"/>
      <c r="E276" s="3265">
        <f t="shared" si="123"/>
        <v>0</v>
      </c>
      <c r="F276" s="3266"/>
      <c r="G276" s="3267">
        <f t="shared" si="124"/>
        <v>0</v>
      </c>
      <c r="H276" s="3268">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5">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1051">
        <f t="shared" si="127"/>
        <v>0</v>
      </c>
      <c r="AW276" s="1051">
        <f t="shared" si="128"/>
        <v>0</v>
      </c>
      <c r="AX276" s="1051">
        <f t="shared" si="129"/>
        <v>0</v>
      </c>
      <c r="AY276" s="3313">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20">
        <f t="shared" si="151"/>
        <v>0</v>
      </c>
    </row>
    <row r="277" spans="1:72">
      <c r="A277" s="3263"/>
      <c r="B277" s="3264"/>
      <c r="C277" s="3264"/>
      <c r="D277" s="3271"/>
      <c r="E277" s="3265">
        <f t="shared" si="123"/>
        <v>0</v>
      </c>
      <c r="F277" s="3266"/>
      <c r="G277" s="3267">
        <f t="shared" si="124"/>
        <v>0</v>
      </c>
      <c r="H277" s="3268">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5">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1051">
        <f t="shared" si="127"/>
        <v>0</v>
      </c>
      <c r="AW277" s="1051">
        <f t="shared" si="128"/>
        <v>0</v>
      </c>
      <c r="AX277" s="1051">
        <f t="shared" si="129"/>
        <v>0</v>
      </c>
      <c r="AY277" s="3313">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20">
        <f t="shared" si="151"/>
        <v>0</v>
      </c>
    </row>
    <row r="278" spans="1:72">
      <c r="A278" s="3263"/>
      <c r="B278" s="3264"/>
      <c r="C278" s="3264"/>
      <c r="D278" s="3271"/>
      <c r="E278" s="3265">
        <f t="shared" si="123"/>
        <v>0</v>
      </c>
      <c r="F278" s="3266"/>
      <c r="G278" s="3267">
        <f t="shared" si="124"/>
        <v>0</v>
      </c>
      <c r="H278" s="3268">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5">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1051">
        <f t="shared" si="127"/>
        <v>0</v>
      </c>
      <c r="AW278" s="1051">
        <f t="shared" si="128"/>
        <v>0</v>
      </c>
      <c r="AX278" s="1051">
        <f t="shared" si="129"/>
        <v>0</v>
      </c>
      <c r="AY278" s="3313">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20">
        <f t="shared" si="151"/>
        <v>0</v>
      </c>
    </row>
    <row r="279" spans="1:72">
      <c r="A279" s="3263"/>
      <c r="B279" s="3264"/>
      <c r="C279" s="3264"/>
      <c r="D279" s="3271"/>
      <c r="E279" s="3265">
        <f t="shared" si="123"/>
        <v>0</v>
      </c>
      <c r="F279" s="3266"/>
      <c r="G279" s="3267">
        <f t="shared" si="124"/>
        <v>0</v>
      </c>
      <c r="H279" s="3268">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5">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1051">
        <f t="shared" si="127"/>
        <v>0</v>
      </c>
      <c r="AW279" s="1051">
        <f t="shared" si="128"/>
        <v>0</v>
      </c>
      <c r="AX279" s="1051">
        <f t="shared" si="129"/>
        <v>0</v>
      </c>
      <c r="AY279" s="3313">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20">
        <f t="shared" si="151"/>
        <v>0</v>
      </c>
    </row>
    <row r="280" spans="1:72">
      <c r="A280" s="3263"/>
      <c r="B280" s="3264"/>
      <c r="C280" s="3264"/>
      <c r="D280" s="3271"/>
      <c r="E280" s="3265">
        <f t="shared" si="123"/>
        <v>0</v>
      </c>
      <c r="F280" s="3266"/>
      <c r="G280" s="3267">
        <f t="shared" si="124"/>
        <v>0</v>
      </c>
      <c r="H280" s="3268">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5">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1051">
        <f t="shared" si="127"/>
        <v>0</v>
      </c>
      <c r="AW280" s="1051">
        <f t="shared" si="128"/>
        <v>0</v>
      </c>
      <c r="AX280" s="1051">
        <f t="shared" si="129"/>
        <v>0</v>
      </c>
      <c r="AY280" s="3313">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20">
        <f t="shared" si="151"/>
        <v>0</v>
      </c>
    </row>
    <row r="281" spans="1:72">
      <c r="A281" s="3263"/>
      <c r="B281" s="3264"/>
      <c r="C281" s="3264"/>
      <c r="D281" s="3271"/>
      <c r="E281" s="3265">
        <f t="shared" si="123"/>
        <v>0</v>
      </c>
      <c r="F281" s="3266"/>
      <c r="G281" s="3267">
        <f t="shared" si="124"/>
        <v>0</v>
      </c>
      <c r="H281" s="3268">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5">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1051">
        <f t="shared" si="127"/>
        <v>0</v>
      </c>
      <c r="AW281" s="1051">
        <f t="shared" si="128"/>
        <v>0</v>
      </c>
      <c r="AX281" s="1051">
        <f t="shared" si="129"/>
        <v>0</v>
      </c>
      <c r="AY281" s="3313">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20">
        <f t="shared" si="151"/>
        <v>0</v>
      </c>
    </row>
    <row r="282" spans="1:72">
      <c r="A282" s="3263"/>
      <c r="B282" s="3264"/>
      <c r="C282" s="3264"/>
      <c r="D282" s="3271"/>
      <c r="E282" s="3265">
        <f t="shared" si="123"/>
        <v>0</v>
      </c>
      <c r="F282" s="3266"/>
      <c r="G282" s="3267">
        <f t="shared" si="124"/>
        <v>0</v>
      </c>
      <c r="H282" s="3268">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5">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1051">
        <f t="shared" si="127"/>
        <v>0</v>
      </c>
      <c r="AW282" s="1051">
        <f t="shared" si="128"/>
        <v>0</v>
      </c>
      <c r="AX282" s="1051">
        <f t="shared" si="129"/>
        <v>0</v>
      </c>
      <c r="AY282" s="3313">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20">
        <f t="shared" si="151"/>
        <v>0</v>
      </c>
    </row>
    <row r="283" spans="1:72">
      <c r="A283" s="3263"/>
      <c r="B283" s="3264"/>
      <c r="C283" s="3264"/>
      <c r="D283" s="3271"/>
      <c r="E283" s="3265">
        <f t="shared" si="123"/>
        <v>0</v>
      </c>
      <c r="F283" s="3266"/>
      <c r="G283" s="3267">
        <f t="shared" si="124"/>
        <v>0</v>
      </c>
      <c r="H283" s="3268">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5">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1051">
        <f t="shared" si="127"/>
        <v>0</v>
      </c>
      <c r="AW283" s="1051">
        <f t="shared" si="128"/>
        <v>0</v>
      </c>
      <c r="AX283" s="1051">
        <f t="shared" si="129"/>
        <v>0</v>
      </c>
      <c r="AY283" s="3313">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20">
        <f t="shared" si="151"/>
        <v>0</v>
      </c>
    </row>
    <row r="284" spans="1:72">
      <c r="A284" s="3263"/>
      <c r="B284" s="3264"/>
      <c r="C284" s="3264"/>
      <c r="D284" s="3271"/>
      <c r="E284" s="3265">
        <f t="shared" si="123"/>
        <v>0</v>
      </c>
      <c r="F284" s="3266"/>
      <c r="G284" s="3267">
        <f t="shared" si="124"/>
        <v>0</v>
      </c>
      <c r="H284" s="3268">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5">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1051">
        <f t="shared" si="127"/>
        <v>0</v>
      </c>
      <c r="AW284" s="1051">
        <f t="shared" si="128"/>
        <v>0</v>
      </c>
      <c r="AX284" s="1051">
        <f t="shared" si="129"/>
        <v>0</v>
      </c>
      <c r="AY284" s="3313">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20">
        <f t="shared" si="151"/>
        <v>0</v>
      </c>
    </row>
    <row r="285" spans="1:72">
      <c r="A285" s="3263"/>
      <c r="B285" s="3264"/>
      <c r="C285" s="3264"/>
      <c r="D285" s="3271"/>
      <c r="E285" s="3265">
        <f t="shared" si="123"/>
        <v>0</v>
      </c>
      <c r="F285" s="3266"/>
      <c r="G285" s="3267">
        <f t="shared" si="124"/>
        <v>0</v>
      </c>
      <c r="H285" s="3268">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5">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1051">
        <f t="shared" si="127"/>
        <v>0</v>
      </c>
      <c r="AW285" s="1051">
        <f t="shared" si="128"/>
        <v>0</v>
      </c>
      <c r="AX285" s="1051">
        <f t="shared" si="129"/>
        <v>0</v>
      </c>
      <c r="AY285" s="3313">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20">
        <f t="shared" si="151"/>
        <v>0</v>
      </c>
    </row>
    <row r="286" spans="1:72">
      <c r="A286" s="3263"/>
      <c r="B286" s="3264"/>
      <c r="C286" s="3264"/>
      <c r="D286" s="3271"/>
      <c r="E286" s="3265">
        <f t="shared" si="123"/>
        <v>0</v>
      </c>
      <c r="F286" s="3266"/>
      <c r="G286" s="3267">
        <f t="shared" si="124"/>
        <v>0</v>
      </c>
      <c r="H286" s="3268">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5">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1051">
        <f t="shared" si="127"/>
        <v>0</v>
      </c>
      <c r="AW286" s="1051">
        <f t="shared" si="128"/>
        <v>0</v>
      </c>
      <c r="AX286" s="1051">
        <f t="shared" si="129"/>
        <v>0</v>
      </c>
      <c r="AY286" s="3313">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20">
        <f t="shared" si="151"/>
        <v>0</v>
      </c>
    </row>
    <row r="287" spans="1:72">
      <c r="A287" s="3263"/>
      <c r="B287" s="3264"/>
      <c r="C287" s="3264"/>
      <c r="D287" s="3271"/>
      <c r="E287" s="3265">
        <f t="shared" si="123"/>
        <v>0</v>
      </c>
      <c r="F287" s="3266"/>
      <c r="G287" s="3267">
        <f t="shared" si="124"/>
        <v>0</v>
      </c>
      <c r="H287" s="3268">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5">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1051">
        <f t="shared" si="127"/>
        <v>0</v>
      </c>
      <c r="AW287" s="1051">
        <f t="shared" si="128"/>
        <v>0</v>
      </c>
      <c r="AX287" s="1051">
        <f t="shared" si="129"/>
        <v>0</v>
      </c>
      <c r="AY287" s="3313">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20">
        <f t="shared" si="151"/>
        <v>0</v>
      </c>
    </row>
    <row r="288" spans="1:72">
      <c r="A288" s="3263"/>
      <c r="B288" s="3264"/>
      <c r="C288" s="3264"/>
      <c r="D288" s="3271"/>
      <c r="E288" s="3265">
        <f t="shared" si="123"/>
        <v>0</v>
      </c>
      <c r="F288" s="3266"/>
      <c r="G288" s="3267">
        <f t="shared" si="124"/>
        <v>0</v>
      </c>
      <c r="H288" s="3268">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5">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1051">
        <f t="shared" si="127"/>
        <v>0</v>
      </c>
      <c r="AW288" s="1051">
        <f t="shared" si="128"/>
        <v>0</v>
      </c>
      <c r="AX288" s="1051">
        <f t="shared" si="129"/>
        <v>0</v>
      </c>
      <c r="AY288" s="3313">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20">
        <f t="shared" si="151"/>
        <v>0</v>
      </c>
    </row>
    <row r="289" spans="1:72">
      <c r="A289" s="3263"/>
      <c r="B289" s="3264"/>
      <c r="C289" s="3264"/>
      <c r="D289" s="3271"/>
      <c r="E289" s="3265">
        <f t="shared" si="123"/>
        <v>0</v>
      </c>
      <c r="F289" s="3266"/>
      <c r="G289" s="3267">
        <f t="shared" si="124"/>
        <v>0</v>
      </c>
      <c r="H289" s="3268">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5">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1051">
        <f t="shared" si="127"/>
        <v>0</v>
      </c>
      <c r="AW289" s="1051">
        <f t="shared" si="128"/>
        <v>0</v>
      </c>
      <c r="AX289" s="1051">
        <f t="shared" si="129"/>
        <v>0</v>
      </c>
      <c r="AY289" s="3313">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20">
        <f t="shared" si="151"/>
        <v>0</v>
      </c>
    </row>
    <row r="290" spans="1:72">
      <c r="A290" s="3263"/>
      <c r="B290" s="3264"/>
      <c r="C290" s="3264"/>
      <c r="D290" s="3271"/>
      <c r="E290" s="3265">
        <f t="shared" si="123"/>
        <v>0</v>
      </c>
      <c r="F290" s="3266"/>
      <c r="G290" s="3267">
        <f t="shared" si="124"/>
        <v>0</v>
      </c>
      <c r="H290" s="3268">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5">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1051">
        <f t="shared" si="127"/>
        <v>0</v>
      </c>
      <c r="AW290" s="1051">
        <f t="shared" si="128"/>
        <v>0</v>
      </c>
      <c r="AX290" s="1051">
        <f t="shared" si="129"/>
        <v>0</v>
      </c>
      <c r="AY290" s="3313">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20">
        <f t="shared" si="151"/>
        <v>0</v>
      </c>
    </row>
    <row r="291" spans="1:72">
      <c r="A291" s="3263"/>
      <c r="B291" s="3264"/>
      <c r="C291" s="3264"/>
      <c r="D291" s="3271"/>
      <c r="E291" s="3265">
        <f t="shared" si="123"/>
        <v>0</v>
      </c>
      <c r="F291" s="3266"/>
      <c r="G291" s="3267">
        <f t="shared" si="124"/>
        <v>0</v>
      </c>
      <c r="H291" s="3268">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5">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1051">
        <f t="shared" si="127"/>
        <v>0</v>
      </c>
      <c r="AW291" s="1051">
        <f t="shared" si="128"/>
        <v>0</v>
      </c>
      <c r="AX291" s="1051">
        <f t="shared" si="129"/>
        <v>0</v>
      </c>
      <c r="AY291" s="3313">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20">
        <f t="shared" si="151"/>
        <v>0</v>
      </c>
    </row>
    <row r="292" spans="1:72">
      <c r="A292" s="3263"/>
      <c r="B292" s="3264"/>
      <c r="C292" s="3264"/>
      <c r="D292" s="3271"/>
      <c r="E292" s="3265">
        <f t="shared" si="123"/>
        <v>0</v>
      </c>
      <c r="F292" s="3266"/>
      <c r="G292" s="3267">
        <f t="shared" si="124"/>
        <v>0</v>
      </c>
      <c r="H292" s="3268">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5">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1051">
        <f t="shared" si="127"/>
        <v>0</v>
      </c>
      <c r="AW292" s="1051">
        <f t="shared" si="128"/>
        <v>0</v>
      </c>
      <c r="AX292" s="1051">
        <f t="shared" si="129"/>
        <v>0</v>
      </c>
      <c r="AY292" s="3313">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20">
        <f t="shared" si="151"/>
        <v>0</v>
      </c>
    </row>
    <row r="293" spans="1:72">
      <c r="A293" s="3263"/>
      <c r="B293" s="3264"/>
      <c r="C293" s="3264"/>
      <c r="D293" s="3271"/>
      <c r="E293" s="3265">
        <f t="shared" si="123"/>
        <v>0</v>
      </c>
      <c r="F293" s="3266"/>
      <c r="G293" s="3267">
        <f t="shared" si="124"/>
        <v>0</v>
      </c>
      <c r="H293" s="3268">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5">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1051">
        <f t="shared" si="127"/>
        <v>0</v>
      </c>
      <c r="AW293" s="1051">
        <f t="shared" si="128"/>
        <v>0</v>
      </c>
      <c r="AX293" s="1051">
        <f t="shared" si="129"/>
        <v>0</v>
      </c>
      <c r="AY293" s="3313">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20">
        <f t="shared" si="151"/>
        <v>0</v>
      </c>
    </row>
    <row r="294" spans="1:72">
      <c r="A294" s="3263"/>
      <c r="B294" s="3264"/>
      <c r="C294" s="3264"/>
      <c r="D294" s="3271"/>
      <c r="E294" s="3265">
        <f t="shared" si="123"/>
        <v>0</v>
      </c>
      <c r="F294" s="3266"/>
      <c r="G294" s="3267">
        <f t="shared" si="124"/>
        <v>0</v>
      </c>
      <c r="H294" s="3268">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5">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1051">
        <f t="shared" si="127"/>
        <v>0</v>
      </c>
      <c r="AW294" s="1051">
        <f t="shared" si="128"/>
        <v>0</v>
      </c>
      <c r="AX294" s="1051">
        <f t="shared" si="129"/>
        <v>0</v>
      </c>
      <c r="AY294" s="3313">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20">
        <f t="shared" si="151"/>
        <v>0</v>
      </c>
    </row>
    <row r="295" spans="1:72">
      <c r="A295" s="3263"/>
      <c r="B295" s="3264"/>
      <c r="C295" s="3264"/>
      <c r="D295" s="3271"/>
      <c r="E295" s="3265">
        <f t="shared" si="123"/>
        <v>0</v>
      </c>
      <c r="F295" s="3266"/>
      <c r="G295" s="3267">
        <f t="shared" si="124"/>
        <v>0</v>
      </c>
      <c r="H295" s="3268">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5">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1051">
        <f t="shared" si="127"/>
        <v>0</v>
      </c>
      <c r="AW295" s="1051">
        <f t="shared" si="128"/>
        <v>0</v>
      </c>
      <c r="AX295" s="1051">
        <f t="shared" si="129"/>
        <v>0</v>
      </c>
      <c r="AY295" s="3313">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20">
        <f t="shared" si="151"/>
        <v>0</v>
      </c>
    </row>
    <row r="296" spans="1:72">
      <c r="A296" s="3263"/>
      <c r="B296" s="3264"/>
      <c r="C296" s="3264"/>
      <c r="D296" s="3271"/>
      <c r="E296" s="3265">
        <f t="shared" si="123"/>
        <v>0</v>
      </c>
      <c r="F296" s="3266"/>
      <c r="G296" s="3267">
        <f t="shared" si="124"/>
        <v>0</v>
      </c>
      <c r="H296" s="3268">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5">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1051">
        <f t="shared" si="127"/>
        <v>0</v>
      </c>
      <c r="AW296" s="1051">
        <f t="shared" si="128"/>
        <v>0</v>
      </c>
      <c r="AX296" s="1051">
        <f t="shared" si="129"/>
        <v>0</v>
      </c>
      <c r="AY296" s="3313">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20">
        <f t="shared" si="151"/>
        <v>0</v>
      </c>
    </row>
    <row r="297" spans="1:72">
      <c r="A297" s="3263"/>
      <c r="B297" s="3264"/>
      <c r="C297" s="3264"/>
      <c r="D297" s="3271"/>
      <c r="E297" s="3265">
        <f t="shared" si="123"/>
        <v>0</v>
      </c>
      <c r="F297" s="3266"/>
      <c r="G297" s="3267">
        <f t="shared" si="124"/>
        <v>0</v>
      </c>
      <c r="H297" s="3268">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5">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1051">
        <f t="shared" si="127"/>
        <v>0</v>
      </c>
      <c r="AW297" s="1051">
        <f t="shared" si="128"/>
        <v>0</v>
      </c>
      <c r="AX297" s="1051">
        <f t="shared" si="129"/>
        <v>0</v>
      </c>
      <c r="AY297" s="3313">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20">
        <f t="shared" si="151"/>
        <v>0</v>
      </c>
    </row>
    <row r="298" spans="1:72">
      <c r="A298" s="3263"/>
      <c r="B298" s="3264"/>
      <c r="C298" s="3264"/>
      <c r="D298" s="3271"/>
      <c r="E298" s="3265">
        <f t="shared" si="123"/>
        <v>0</v>
      </c>
      <c r="F298" s="3266"/>
      <c r="G298" s="3267">
        <f t="shared" si="124"/>
        <v>0</v>
      </c>
      <c r="H298" s="3268">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5">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1051">
        <f t="shared" si="127"/>
        <v>0</v>
      </c>
      <c r="AW298" s="1051">
        <f t="shared" si="128"/>
        <v>0</v>
      </c>
      <c r="AX298" s="1051">
        <f t="shared" si="129"/>
        <v>0</v>
      </c>
      <c r="AY298" s="3313">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20">
        <f t="shared" si="151"/>
        <v>0</v>
      </c>
    </row>
    <row r="299" spans="1:72">
      <c r="A299" s="3263"/>
      <c r="B299" s="3264"/>
      <c r="C299" s="3264"/>
      <c r="D299" s="3271"/>
      <c r="E299" s="3265">
        <f t="shared" si="123"/>
        <v>0</v>
      </c>
      <c r="F299" s="3266"/>
      <c r="G299" s="3267">
        <f t="shared" si="124"/>
        <v>0</v>
      </c>
      <c r="H299" s="3268">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5">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1051">
        <f t="shared" si="127"/>
        <v>0</v>
      </c>
      <c r="AW299" s="1051">
        <f t="shared" si="128"/>
        <v>0</v>
      </c>
      <c r="AX299" s="1051">
        <f t="shared" si="129"/>
        <v>0</v>
      </c>
      <c r="AY299" s="3313">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20">
        <f t="shared" si="151"/>
        <v>0</v>
      </c>
    </row>
    <row r="300" spans="1:72">
      <c r="A300" s="3263"/>
      <c r="B300" s="3263"/>
      <c r="C300" s="3263"/>
      <c r="D300" s="3271"/>
      <c r="E300" s="3265">
        <f t="shared" si="123"/>
        <v>0</v>
      </c>
      <c r="F300" s="3321"/>
      <c r="G300" s="3267">
        <f t="shared" ref="G300:G331" si="152">H300+AC300+AT300</f>
        <v>0</v>
      </c>
      <c r="H300" s="3268">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5">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1051">
        <f t="shared" si="127"/>
        <v>0</v>
      </c>
      <c r="AW300" s="1051">
        <f t="shared" si="128"/>
        <v>0</v>
      </c>
      <c r="AX300" s="1051">
        <f t="shared" si="129"/>
        <v>0</v>
      </c>
      <c r="AY300" s="3313">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20">
        <f t="shared" ref="BT300:BT331" si="176">IF($D300="是",AR300-AS300,0)</f>
        <v>0</v>
      </c>
    </row>
    <row r="301" spans="1:72">
      <c r="A301" s="3263"/>
      <c r="B301" s="3263"/>
      <c r="C301" s="3263"/>
      <c r="D301" s="3271"/>
      <c r="E301" s="3265">
        <f t="shared" si="123"/>
        <v>0</v>
      </c>
      <c r="F301" s="3321"/>
      <c r="G301" s="3267">
        <f t="shared" si="152"/>
        <v>0</v>
      </c>
      <c r="H301" s="3268">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5">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1051">
        <f t="shared" si="127"/>
        <v>0</v>
      </c>
      <c r="AW301" s="1051">
        <f t="shared" si="128"/>
        <v>0</v>
      </c>
      <c r="AX301" s="1051">
        <f t="shared" si="129"/>
        <v>0</v>
      </c>
      <c r="AY301" s="3313">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20">
        <f t="shared" si="176"/>
        <v>0</v>
      </c>
    </row>
    <row r="302" spans="1:72">
      <c r="A302" s="3263"/>
      <c r="B302" s="3263"/>
      <c r="C302" s="3263"/>
      <c r="D302" s="3271"/>
      <c r="E302" s="3265">
        <f t="shared" si="123"/>
        <v>0</v>
      </c>
      <c r="F302" s="3321"/>
      <c r="G302" s="3267">
        <f t="shared" si="152"/>
        <v>0</v>
      </c>
      <c r="H302" s="3268">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5">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1051">
        <f t="shared" si="127"/>
        <v>0</v>
      </c>
      <c r="AW302" s="1051">
        <f t="shared" si="128"/>
        <v>0</v>
      </c>
      <c r="AX302" s="1051">
        <f t="shared" si="129"/>
        <v>0</v>
      </c>
      <c r="AY302" s="3313">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20">
        <f t="shared" si="176"/>
        <v>0</v>
      </c>
    </row>
    <row r="303" spans="1:72">
      <c r="A303" s="3263"/>
      <c r="B303" s="3264"/>
      <c r="C303" s="3264"/>
      <c r="D303" s="3271"/>
      <c r="E303" s="3265">
        <f t="shared" ref="E303:E334" si="177">IF($C$3="是",ROUND($A$3*G303/$B$3,2),ROUND($A$3*(G303-AT303)/$B$3,2))</f>
        <v>0</v>
      </c>
      <c r="F303" s="3266"/>
      <c r="G303" s="3267">
        <f t="shared" si="152"/>
        <v>0</v>
      </c>
      <c r="H303" s="3268">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5">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1051">
        <f t="shared" ref="AV303:AV334" si="178">A303</f>
        <v>0</v>
      </c>
      <c r="AW303" s="1051">
        <f t="shared" ref="AW303:AW334" si="179">B303</f>
        <v>0</v>
      </c>
      <c r="AX303" s="1051">
        <f t="shared" ref="AX303:AX334" si="180">C303</f>
        <v>0</v>
      </c>
      <c r="AY303" s="3313">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20">
        <f t="shared" si="176"/>
        <v>0</v>
      </c>
    </row>
    <row r="304" spans="1:72">
      <c r="A304" s="3263"/>
      <c r="B304" s="3264"/>
      <c r="C304" s="3264"/>
      <c r="D304" s="3271"/>
      <c r="E304" s="3265">
        <f t="shared" si="177"/>
        <v>0</v>
      </c>
      <c r="F304" s="3266"/>
      <c r="G304" s="3267">
        <f t="shared" si="152"/>
        <v>0</v>
      </c>
      <c r="H304" s="3268">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5">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1051">
        <f t="shared" si="178"/>
        <v>0</v>
      </c>
      <c r="AW304" s="1051">
        <f t="shared" si="179"/>
        <v>0</v>
      </c>
      <c r="AX304" s="1051">
        <f t="shared" si="180"/>
        <v>0</v>
      </c>
      <c r="AY304" s="3313">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20">
        <f t="shared" si="176"/>
        <v>0</v>
      </c>
    </row>
    <row r="305" spans="1:72">
      <c r="A305" s="3263"/>
      <c r="B305" s="3264"/>
      <c r="C305" s="3264"/>
      <c r="D305" s="3271"/>
      <c r="E305" s="3265">
        <f t="shared" si="177"/>
        <v>0</v>
      </c>
      <c r="F305" s="3266"/>
      <c r="G305" s="3267">
        <f t="shared" si="152"/>
        <v>0</v>
      </c>
      <c r="H305" s="3268">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5">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1051">
        <f t="shared" si="178"/>
        <v>0</v>
      </c>
      <c r="AW305" s="1051">
        <f t="shared" si="179"/>
        <v>0</v>
      </c>
      <c r="AX305" s="1051">
        <f t="shared" si="180"/>
        <v>0</v>
      </c>
      <c r="AY305" s="3313">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20">
        <f t="shared" si="176"/>
        <v>0</v>
      </c>
    </row>
    <row r="306" spans="1:72">
      <c r="A306" s="3263"/>
      <c r="B306" s="3264"/>
      <c r="C306" s="3264"/>
      <c r="D306" s="3271"/>
      <c r="E306" s="3265">
        <f t="shared" si="177"/>
        <v>0</v>
      </c>
      <c r="F306" s="3266"/>
      <c r="G306" s="3267">
        <f t="shared" si="152"/>
        <v>0</v>
      </c>
      <c r="H306" s="3268">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5">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1051">
        <f t="shared" si="178"/>
        <v>0</v>
      </c>
      <c r="AW306" s="1051">
        <f t="shared" si="179"/>
        <v>0</v>
      </c>
      <c r="AX306" s="1051">
        <f t="shared" si="180"/>
        <v>0</v>
      </c>
      <c r="AY306" s="3313">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20">
        <f t="shared" si="176"/>
        <v>0</v>
      </c>
    </row>
    <row r="307" spans="1:72">
      <c r="A307" s="3263"/>
      <c r="B307" s="3264"/>
      <c r="C307" s="3264"/>
      <c r="D307" s="3271"/>
      <c r="E307" s="3265">
        <f t="shared" si="177"/>
        <v>0</v>
      </c>
      <c r="F307" s="3266"/>
      <c r="G307" s="3267">
        <f t="shared" si="152"/>
        <v>0</v>
      </c>
      <c r="H307" s="3268">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5">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1051">
        <f t="shared" si="178"/>
        <v>0</v>
      </c>
      <c r="AW307" s="1051">
        <f t="shared" si="179"/>
        <v>0</v>
      </c>
      <c r="AX307" s="1051">
        <f t="shared" si="180"/>
        <v>0</v>
      </c>
      <c r="AY307" s="3313">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20">
        <f t="shared" si="176"/>
        <v>0</v>
      </c>
    </row>
    <row r="308" spans="1:72">
      <c r="A308" s="3263"/>
      <c r="B308" s="3264"/>
      <c r="C308" s="3264"/>
      <c r="D308" s="3271"/>
      <c r="E308" s="3265">
        <f t="shared" si="177"/>
        <v>0</v>
      </c>
      <c r="F308" s="3266"/>
      <c r="G308" s="3267">
        <f t="shared" si="152"/>
        <v>0</v>
      </c>
      <c r="H308" s="3268">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5">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1051">
        <f t="shared" si="178"/>
        <v>0</v>
      </c>
      <c r="AW308" s="1051">
        <f t="shared" si="179"/>
        <v>0</v>
      </c>
      <c r="AX308" s="1051">
        <f t="shared" si="180"/>
        <v>0</v>
      </c>
      <c r="AY308" s="3313">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20">
        <f t="shared" si="176"/>
        <v>0</v>
      </c>
    </row>
    <row r="309" spans="1:72">
      <c r="A309" s="3263"/>
      <c r="B309" s="3264"/>
      <c r="C309" s="3264"/>
      <c r="D309" s="3271"/>
      <c r="E309" s="3265">
        <f t="shared" si="177"/>
        <v>0</v>
      </c>
      <c r="F309" s="3266"/>
      <c r="G309" s="3267">
        <f t="shared" si="152"/>
        <v>0</v>
      </c>
      <c r="H309" s="3268">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5">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1051">
        <f t="shared" si="178"/>
        <v>0</v>
      </c>
      <c r="AW309" s="1051">
        <f t="shared" si="179"/>
        <v>0</v>
      </c>
      <c r="AX309" s="1051">
        <f t="shared" si="180"/>
        <v>0</v>
      </c>
      <c r="AY309" s="3313">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20">
        <f t="shared" si="176"/>
        <v>0</v>
      </c>
    </row>
    <row r="310" spans="1:72">
      <c r="A310" s="3263"/>
      <c r="B310" s="3264"/>
      <c r="C310" s="3264"/>
      <c r="D310" s="3271"/>
      <c r="E310" s="3265">
        <f t="shared" si="177"/>
        <v>0</v>
      </c>
      <c r="F310" s="3266"/>
      <c r="G310" s="3267">
        <f t="shared" si="152"/>
        <v>0</v>
      </c>
      <c r="H310" s="3268">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5">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1051">
        <f t="shared" si="178"/>
        <v>0</v>
      </c>
      <c r="AW310" s="1051">
        <f t="shared" si="179"/>
        <v>0</v>
      </c>
      <c r="AX310" s="1051">
        <f t="shared" si="180"/>
        <v>0</v>
      </c>
      <c r="AY310" s="3313">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20">
        <f t="shared" si="176"/>
        <v>0</v>
      </c>
    </row>
    <row r="311" spans="1:72">
      <c r="A311" s="3263"/>
      <c r="B311" s="3264"/>
      <c r="C311" s="3264"/>
      <c r="D311" s="3271"/>
      <c r="E311" s="3265">
        <f t="shared" si="177"/>
        <v>0</v>
      </c>
      <c r="F311" s="3266"/>
      <c r="G311" s="3267">
        <f t="shared" si="152"/>
        <v>0</v>
      </c>
      <c r="H311" s="3268">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5">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1051">
        <f t="shared" si="178"/>
        <v>0</v>
      </c>
      <c r="AW311" s="1051">
        <f t="shared" si="179"/>
        <v>0</v>
      </c>
      <c r="AX311" s="1051">
        <f t="shared" si="180"/>
        <v>0</v>
      </c>
      <c r="AY311" s="3313">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20">
        <f t="shared" si="176"/>
        <v>0</v>
      </c>
    </row>
    <row r="312" spans="1:72">
      <c r="A312" s="3263"/>
      <c r="B312" s="3264"/>
      <c r="C312" s="3264"/>
      <c r="D312" s="3271"/>
      <c r="E312" s="3265">
        <f t="shared" si="177"/>
        <v>0</v>
      </c>
      <c r="F312" s="3266"/>
      <c r="G312" s="3267">
        <f t="shared" si="152"/>
        <v>0</v>
      </c>
      <c r="H312" s="3268">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5">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1051">
        <f t="shared" si="178"/>
        <v>0</v>
      </c>
      <c r="AW312" s="1051">
        <f t="shared" si="179"/>
        <v>0</v>
      </c>
      <c r="AX312" s="1051">
        <f t="shared" si="180"/>
        <v>0</v>
      </c>
      <c r="AY312" s="3313">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20">
        <f t="shared" si="176"/>
        <v>0</v>
      </c>
    </row>
    <row r="313" spans="1:72">
      <c r="A313" s="3263"/>
      <c r="B313" s="3264"/>
      <c r="C313" s="3264"/>
      <c r="D313" s="3271"/>
      <c r="E313" s="3265">
        <f t="shared" si="177"/>
        <v>0</v>
      </c>
      <c r="F313" s="3266"/>
      <c r="G313" s="3267">
        <f t="shared" si="152"/>
        <v>0</v>
      </c>
      <c r="H313" s="3268">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5">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1051">
        <f t="shared" si="178"/>
        <v>0</v>
      </c>
      <c r="AW313" s="1051">
        <f t="shared" si="179"/>
        <v>0</v>
      </c>
      <c r="AX313" s="1051">
        <f t="shared" si="180"/>
        <v>0</v>
      </c>
      <c r="AY313" s="3313">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20">
        <f t="shared" si="176"/>
        <v>0</v>
      </c>
    </row>
    <row r="314" spans="1:72">
      <c r="A314" s="3263"/>
      <c r="B314" s="3264"/>
      <c r="C314" s="3264"/>
      <c r="D314" s="3271"/>
      <c r="E314" s="3265">
        <f t="shared" si="177"/>
        <v>0</v>
      </c>
      <c r="F314" s="3266"/>
      <c r="G314" s="3267">
        <f t="shared" si="152"/>
        <v>0</v>
      </c>
      <c r="H314" s="3268">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5">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1051">
        <f t="shared" si="178"/>
        <v>0</v>
      </c>
      <c r="AW314" s="1051">
        <f t="shared" si="179"/>
        <v>0</v>
      </c>
      <c r="AX314" s="1051">
        <f t="shared" si="180"/>
        <v>0</v>
      </c>
      <c r="AY314" s="3313">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20">
        <f t="shared" si="176"/>
        <v>0</v>
      </c>
    </row>
    <row r="315" spans="1:72">
      <c r="A315" s="3263"/>
      <c r="B315" s="3264"/>
      <c r="C315" s="3264"/>
      <c r="D315" s="3271"/>
      <c r="E315" s="3265">
        <f t="shared" si="177"/>
        <v>0</v>
      </c>
      <c r="F315" s="3266"/>
      <c r="G315" s="3267">
        <f t="shared" si="152"/>
        <v>0</v>
      </c>
      <c r="H315" s="3268">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5">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1051">
        <f t="shared" si="178"/>
        <v>0</v>
      </c>
      <c r="AW315" s="1051">
        <f t="shared" si="179"/>
        <v>0</v>
      </c>
      <c r="AX315" s="1051">
        <f t="shared" si="180"/>
        <v>0</v>
      </c>
      <c r="AY315" s="3313">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20">
        <f t="shared" si="176"/>
        <v>0</v>
      </c>
    </row>
    <row r="316" spans="1:72">
      <c r="A316" s="3263"/>
      <c r="B316" s="3264"/>
      <c r="C316" s="3264"/>
      <c r="D316" s="3271"/>
      <c r="E316" s="3265">
        <f t="shared" si="177"/>
        <v>0</v>
      </c>
      <c r="F316" s="3266"/>
      <c r="G316" s="3267">
        <f t="shared" si="152"/>
        <v>0</v>
      </c>
      <c r="H316" s="3268">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5">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1051">
        <f t="shared" si="178"/>
        <v>0</v>
      </c>
      <c r="AW316" s="1051">
        <f t="shared" si="179"/>
        <v>0</v>
      </c>
      <c r="AX316" s="1051">
        <f t="shared" si="180"/>
        <v>0</v>
      </c>
      <c r="AY316" s="3313">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20">
        <f t="shared" si="176"/>
        <v>0</v>
      </c>
    </row>
    <row r="317" spans="1:72">
      <c r="A317" s="3263"/>
      <c r="B317" s="3264"/>
      <c r="C317" s="3264"/>
      <c r="D317" s="3271"/>
      <c r="E317" s="3265">
        <f t="shared" si="177"/>
        <v>0</v>
      </c>
      <c r="F317" s="3266"/>
      <c r="G317" s="3267">
        <f t="shared" si="152"/>
        <v>0</v>
      </c>
      <c r="H317" s="3268">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5">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1051">
        <f t="shared" si="178"/>
        <v>0</v>
      </c>
      <c r="AW317" s="1051">
        <f t="shared" si="179"/>
        <v>0</v>
      </c>
      <c r="AX317" s="1051">
        <f t="shared" si="180"/>
        <v>0</v>
      </c>
      <c r="AY317" s="3313">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20">
        <f t="shared" si="176"/>
        <v>0</v>
      </c>
    </row>
    <row r="318" spans="1:72">
      <c r="A318" s="3263"/>
      <c r="B318" s="3264"/>
      <c r="C318" s="3264"/>
      <c r="D318" s="3271"/>
      <c r="E318" s="3265">
        <f t="shared" si="177"/>
        <v>0</v>
      </c>
      <c r="F318" s="3266"/>
      <c r="G318" s="3267">
        <f t="shared" si="152"/>
        <v>0</v>
      </c>
      <c r="H318" s="3268">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5">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1051">
        <f t="shared" si="178"/>
        <v>0</v>
      </c>
      <c r="AW318" s="1051">
        <f t="shared" si="179"/>
        <v>0</v>
      </c>
      <c r="AX318" s="1051">
        <f t="shared" si="180"/>
        <v>0</v>
      </c>
      <c r="AY318" s="3313">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20">
        <f t="shared" si="176"/>
        <v>0</v>
      </c>
    </row>
    <row r="319" spans="1:72">
      <c r="A319" s="3263"/>
      <c r="B319" s="3264"/>
      <c r="C319" s="3264"/>
      <c r="D319" s="3271"/>
      <c r="E319" s="3265">
        <f t="shared" si="177"/>
        <v>0</v>
      </c>
      <c r="F319" s="3266"/>
      <c r="G319" s="3267">
        <f t="shared" si="152"/>
        <v>0</v>
      </c>
      <c r="H319" s="3268">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5">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1051">
        <f t="shared" si="178"/>
        <v>0</v>
      </c>
      <c r="AW319" s="1051">
        <f t="shared" si="179"/>
        <v>0</v>
      </c>
      <c r="AX319" s="1051">
        <f t="shared" si="180"/>
        <v>0</v>
      </c>
      <c r="AY319" s="3313">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20">
        <f t="shared" si="176"/>
        <v>0</v>
      </c>
    </row>
    <row r="320" spans="1:72">
      <c r="A320" s="3263"/>
      <c r="B320" s="3264"/>
      <c r="C320" s="3264"/>
      <c r="D320" s="3271"/>
      <c r="E320" s="3265">
        <f t="shared" si="177"/>
        <v>0</v>
      </c>
      <c r="F320" s="3266"/>
      <c r="G320" s="3267">
        <f t="shared" si="152"/>
        <v>0</v>
      </c>
      <c r="H320" s="3268">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5">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1051">
        <f t="shared" si="178"/>
        <v>0</v>
      </c>
      <c r="AW320" s="1051">
        <f t="shared" si="179"/>
        <v>0</v>
      </c>
      <c r="AX320" s="1051">
        <f t="shared" si="180"/>
        <v>0</v>
      </c>
      <c r="AY320" s="3313">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20">
        <f t="shared" si="176"/>
        <v>0</v>
      </c>
    </row>
    <row r="321" spans="1:72">
      <c r="A321" s="3263"/>
      <c r="B321" s="3264"/>
      <c r="C321" s="3264"/>
      <c r="D321" s="3271"/>
      <c r="E321" s="3265">
        <f t="shared" si="177"/>
        <v>0</v>
      </c>
      <c r="F321" s="3266"/>
      <c r="G321" s="3267">
        <f t="shared" si="152"/>
        <v>0</v>
      </c>
      <c r="H321" s="3268">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5">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1051">
        <f t="shared" si="178"/>
        <v>0</v>
      </c>
      <c r="AW321" s="1051">
        <f t="shared" si="179"/>
        <v>0</v>
      </c>
      <c r="AX321" s="1051">
        <f t="shared" si="180"/>
        <v>0</v>
      </c>
      <c r="AY321" s="3313">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20">
        <f t="shared" si="176"/>
        <v>0</v>
      </c>
    </row>
    <row r="322" spans="1:72">
      <c r="A322" s="3263"/>
      <c r="B322" s="3264"/>
      <c r="C322" s="3264"/>
      <c r="D322" s="3271"/>
      <c r="E322" s="3265">
        <f t="shared" si="177"/>
        <v>0</v>
      </c>
      <c r="F322" s="3266"/>
      <c r="G322" s="3267">
        <f t="shared" si="152"/>
        <v>0</v>
      </c>
      <c r="H322" s="3268">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5">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1051">
        <f t="shared" si="178"/>
        <v>0</v>
      </c>
      <c r="AW322" s="1051">
        <f t="shared" si="179"/>
        <v>0</v>
      </c>
      <c r="AX322" s="1051">
        <f t="shared" si="180"/>
        <v>0</v>
      </c>
      <c r="AY322" s="3313">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20">
        <f t="shared" si="176"/>
        <v>0</v>
      </c>
    </row>
    <row r="323" spans="1:72">
      <c r="A323" s="3263"/>
      <c r="B323" s="3264"/>
      <c r="C323" s="3264"/>
      <c r="D323" s="3271"/>
      <c r="E323" s="3265">
        <f t="shared" si="177"/>
        <v>0</v>
      </c>
      <c r="F323" s="3266"/>
      <c r="G323" s="3267">
        <f t="shared" si="152"/>
        <v>0</v>
      </c>
      <c r="H323" s="3268">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5">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1051">
        <f t="shared" si="178"/>
        <v>0</v>
      </c>
      <c r="AW323" s="1051">
        <f t="shared" si="179"/>
        <v>0</v>
      </c>
      <c r="AX323" s="1051">
        <f t="shared" si="180"/>
        <v>0</v>
      </c>
      <c r="AY323" s="3313">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20">
        <f t="shared" si="176"/>
        <v>0</v>
      </c>
    </row>
    <row r="324" spans="1:72">
      <c r="A324" s="3263"/>
      <c r="B324" s="3264"/>
      <c r="C324" s="3264"/>
      <c r="D324" s="3271"/>
      <c r="E324" s="3265">
        <f t="shared" si="177"/>
        <v>0</v>
      </c>
      <c r="F324" s="3266"/>
      <c r="G324" s="3267">
        <f t="shared" si="152"/>
        <v>0</v>
      </c>
      <c r="H324" s="3268">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5">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1051">
        <f t="shared" si="178"/>
        <v>0</v>
      </c>
      <c r="AW324" s="1051">
        <f t="shared" si="179"/>
        <v>0</v>
      </c>
      <c r="AX324" s="1051">
        <f t="shared" si="180"/>
        <v>0</v>
      </c>
      <c r="AY324" s="3313">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20">
        <f t="shared" si="176"/>
        <v>0</v>
      </c>
    </row>
    <row r="325" spans="1:72">
      <c r="A325" s="3263"/>
      <c r="B325" s="3264"/>
      <c r="C325" s="3264"/>
      <c r="D325" s="3271"/>
      <c r="E325" s="3265">
        <f t="shared" si="177"/>
        <v>0</v>
      </c>
      <c r="F325" s="3266"/>
      <c r="G325" s="3267">
        <f t="shared" si="152"/>
        <v>0</v>
      </c>
      <c r="H325" s="3268">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5">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1051">
        <f t="shared" si="178"/>
        <v>0</v>
      </c>
      <c r="AW325" s="1051">
        <f t="shared" si="179"/>
        <v>0</v>
      </c>
      <c r="AX325" s="1051">
        <f t="shared" si="180"/>
        <v>0</v>
      </c>
      <c r="AY325" s="3313">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20">
        <f t="shared" si="176"/>
        <v>0</v>
      </c>
    </row>
    <row r="326" spans="1:72">
      <c r="A326" s="3263"/>
      <c r="B326" s="3264"/>
      <c r="C326" s="3264"/>
      <c r="D326" s="3271"/>
      <c r="E326" s="3265">
        <f t="shared" si="177"/>
        <v>0</v>
      </c>
      <c r="F326" s="3266"/>
      <c r="G326" s="3267">
        <f t="shared" si="152"/>
        <v>0</v>
      </c>
      <c r="H326" s="3268">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5">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1051">
        <f t="shared" si="178"/>
        <v>0</v>
      </c>
      <c r="AW326" s="1051">
        <f t="shared" si="179"/>
        <v>0</v>
      </c>
      <c r="AX326" s="1051">
        <f t="shared" si="180"/>
        <v>0</v>
      </c>
      <c r="AY326" s="3313">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20">
        <f t="shared" si="176"/>
        <v>0</v>
      </c>
    </row>
    <row r="327" spans="1:72">
      <c r="A327" s="3263"/>
      <c r="B327" s="3264"/>
      <c r="C327" s="3264"/>
      <c r="D327" s="3271"/>
      <c r="E327" s="3265">
        <f t="shared" si="177"/>
        <v>0</v>
      </c>
      <c r="F327" s="3266"/>
      <c r="G327" s="3267">
        <f t="shared" si="152"/>
        <v>0</v>
      </c>
      <c r="H327" s="3268">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5">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1051">
        <f t="shared" si="178"/>
        <v>0</v>
      </c>
      <c r="AW327" s="1051">
        <f t="shared" si="179"/>
        <v>0</v>
      </c>
      <c r="AX327" s="1051">
        <f t="shared" si="180"/>
        <v>0</v>
      </c>
      <c r="AY327" s="3313">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20">
        <f t="shared" si="176"/>
        <v>0</v>
      </c>
    </row>
    <row r="328" spans="1:72">
      <c r="A328" s="3263"/>
      <c r="B328" s="3264"/>
      <c r="C328" s="3264"/>
      <c r="D328" s="3271"/>
      <c r="E328" s="3265">
        <f t="shared" si="177"/>
        <v>0</v>
      </c>
      <c r="F328" s="3266"/>
      <c r="G328" s="3267">
        <f t="shared" si="152"/>
        <v>0</v>
      </c>
      <c r="H328" s="3268">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5">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1051">
        <f t="shared" si="178"/>
        <v>0</v>
      </c>
      <c r="AW328" s="1051">
        <f t="shared" si="179"/>
        <v>0</v>
      </c>
      <c r="AX328" s="1051">
        <f t="shared" si="180"/>
        <v>0</v>
      </c>
      <c r="AY328" s="3313">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20">
        <f t="shared" si="176"/>
        <v>0</v>
      </c>
    </row>
    <row r="329" spans="1:72">
      <c r="A329" s="3263"/>
      <c r="B329" s="3264"/>
      <c r="C329" s="3264"/>
      <c r="D329" s="3271"/>
      <c r="E329" s="3265">
        <f t="shared" si="177"/>
        <v>0</v>
      </c>
      <c r="F329" s="3266"/>
      <c r="G329" s="3267">
        <f t="shared" si="152"/>
        <v>0</v>
      </c>
      <c r="H329" s="3268">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5">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1051">
        <f t="shared" si="178"/>
        <v>0</v>
      </c>
      <c r="AW329" s="1051">
        <f t="shared" si="179"/>
        <v>0</v>
      </c>
      <c r="AX329" s="1051">
        <f t="shared" si="180"/>
        <v>0</v>
      </c>
      <c r="AY329" s="3313">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20">
        <f t="shared" si="176"/>
        <v>0</v>
      </c>
    </row>
    <row r="330" spans="1:72">
      <c r="A330" s="3263"/>
      <c r="B330" s="3264"/>
      <c r="C330" s="3264"/>
      <c r="D330" s="3271"/>
      <c r="E330" s="3265">
        <f t="shared" si="177"/>
        <v>0</v>
      </c>
      <c r="F330" s="3266"/>
      <c r="G330" s="3267">
        <f t="shared" si="152"/>
        <v>0</v>
      </c>
      <c r="H330" s="3268">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5">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1051">
        <f t="shared" si="178"/>
        <v>0</v>
      </c>
      <c r="AW330" s="1051">
        <f t="shared" si="179"/>
        <v>0</v>
      </c>
      <c r="AX330" s="1051">
        <f t="shared" si="180"/>
        <v>0</v>
      </c>
      <c r="AY330" s="3313">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20">
        <f t="shared" si="176"/>
        <v>0</v>
      </c>
    </row>
    <row r="331" spans="1:72">
      <c r="A331" s="3263"/>
      <c r="B331" s="3264"/>
      <c r="C331" s="3264"/>
      <c r="D331" s="3271"/>
      <c r="E331" s="3265">
        <f t="shared" si="177"/>
        <v>0</v>
      </c>
      <c r="F331" s="3266"/>
      <c r="G331" s="3267">
        <f t="shared" si="152"/>
        <v>0</v>
      </c>
      <c r="H331" s="3268">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5">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1051">
        <f t="shared" si="178"/>
        <v>0</v>
      </c>
      <c r="AW331" s="1051">
        <f t="shared" si="179"/>
        <v>0</v>
      </c>
      <c r="AX331" s="1051">
        <f t="shared" si="180"/>
        <v>0</v>
      </c>
      <c r="AY331" s="3313">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20">
        <f t="shared" si="176"/>
        <v>0</v>
      </c>
    </row>
    <row r="332" spans="1:72">
      <c r="A332" s="3263"/>
      <c r="B332" s="3264"/>
      <c r="C332" s="3264"/>
      <c r="D332" s="3271"/>
      <c r="E332" s="3265">
        <f t="shared" si="177"/>
        <v>0</v>
      </c>
      <c r="F332" s="3266"/>
      <c r="G332" s="3267">
        <f t="shared" ref="G332:G363" si="181">H332+AC332+AT332</f>
        <v>0</v>
      </c>
      <c r="H332" s="3268">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5">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1051">
        <f t="shared" si="178"/>
        <v>0</v>
      </c>
      <c r="AW332" s="1051">
        <f t="shared" si="179"/>
        <v>0</v>
      </c>
      <c r="AX332" s="1051">
        <f t="shared" si="180"/>
        <v>0</v>
      </c>
      <c r="AY332" s="3313">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20">
        <f t="shared" ref="BT332:BT363" si="205">IF($D332="是",AR332-AS332,0)</f>
        <v>0</v>
      </c>
    </row>
    <row r="333" spans="1:72">
      <c r="A333" s="3263"/>
      <c r="B333" s="3264"/>
      <c r="C333" s="3264"/>
      <c r="D333" s="3271"/>
      <c r="E333" s="3265">
        <f t="shared" si="177"/>
        <v>0</v>
      </c>
      <c r="F333" s="3266"/>
      <c r="G333" s="3267">
        <f t="shared" si="181"/>
        <v>0</v>
      </c>
      <c r="H333" s="3268">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5">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1051">
        <f t="shared" si="178"/>
        <v>0</v>
      </c>
      <c r="AW333" s="1051">
        <f t="shared" si="179"/>
        <v>0</v>
      </c>
      <c r="AX333" s="1051">
        <f t="shared" si="180"/>
        <v>0</v>
      </c>
      <c r="AY333" s="3313">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20">
        <f t="shared" si="205"/>
        <v>0</v>
      </c>
    </row>
    <row r="334" spans="1:72">
      <c r="A334" s="3263"/>
      <c r="B334" s="3264"/>
      <c r="C334" s="3264"/>
      <c r="D334" s="3271"/>
      <c r="E334" s="3265">
        <f t="shared" si="177"/>
        <v>0</v>
      </c>
      <c r="F334" s="3266"/>
      <c r="G334" s="3267">
        <f t="shared" si="181"/>
        <v>0</v>
      </c>
      <c r="H334" s="3268">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5">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1051">
        <f t="shared" si="178"/>
        <v>0</v>
      </c>
      <c r="AW334" s="1051">
        <f t="shared" si="179"/>
        <v>0</v>
      </c>
      <c r="AX334" s="1051">
        <f t="shared" si="180"/>
        <v>0</v>
      </c>
      <c r="AY334" s="3313">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20">
        <f t="shared" si="205"/>
        <v>0</v>
      </c>
    </row>
    <row r="335" spans="1:72">
      <c r="A335" s="3263"/>
      <c r="B335" s="3264"/>
      <c r="C335" s="3264"/>
      <c r="D335" s="3271"/>
      <c r="E335" s="3265">
        <f t="shared" ref="E335:E366" si="206">IF($C$3="是",ROUND($A$3*G335/$B$3,2),ROUND($A$3*(G335-AT335)/$B$3,2))</f>
        <v>0</v>
      </c>
      <c r="F335" s="3266"/>
      <c r="G335" s="3267">
        <f t="shared" si="181"/>
        <v>0</v>
      </c>
      <c r="H335" s="3268">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5">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1051">
        <f t="shared" ref="AV335:AV366" si="207">A335</f>
        <v>0</v>
      </c>
      <c r="AW335" s="1051">
        <f t="shared" ref="AW335:AW366" si="208">B335</f>
        <v>0</v>
      </c>
      <c r="AX335" s="1051">
        <f t="shared" ref="AX335:AX366" si="209">C335</f>
        <v>0</v>
      </c>
      <c r="AY335" s="3313">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20">
        <f t="shared" si="205"/>
        <v>0</v>
      </c>
    </row>
    <row r="336" spans="1:72">
      <c r="A336" s="3263"/>
      <c r="B336" s="3264"/>
      <c r="C336" s="3264"/>
      <c r="D336" s="3271"/>
      <c r="E336" s="3265">
        <f t="shared" si="206"/>
        <v>0</v>
      </c>
      <c r="F336" s="3266"/>
      <c r="G336" s="3267">
        <f t="shared" si="181"/>
        <v>0</v>
      </c>
      <c r="H336" s="3268">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5">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1051">
        <f t="shared" si="207"/>
        <v>0</v>
      </c>
      <c r="AW336" s="1051">
        <f t="shared" si="208"/>
        <v>0</v>
      </c>
      <c r="AX336" s="1051">
        <f t="shared" si="209"/>
        <v>0</v>
      </c>
      <c r="AY336" s="3313">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20">
        <f t="shared" si="205"/>
        <v>0</v>
      </c>
    </row>
    <row r="337" spans="1:72">
      <c r="A337" s="3263"/>
      <c r="B337" s="3264"/>
      <c r="C337" s="3264"/>
      <c r="D337" s="3271"/>
      <c r="E337" s="3265">
        <f t="shared" si="206"/>
        <v>0</v>
      </c>
      <c r="F337" s="3266"/>
      <c r="G337" s="3267">
        <f t="shared" si="181"/>
        <v>0</v>
      </c>
      <c r="H337" s="3268">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5">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1051">
        <f t="shared" si="207"/>
        <v>0</v>
      </c>
      <c r="AW337" s="1051">
        <f t="shared" si="208"/>
        <v>0</v>
      </c>
      <c r="AX337" s="1051">
        <f t="shared" si="209"/>
        <v>0</v>
      </c>
      <c r="AY337" s="3313">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20">
        <f t="shared" si="205"/>
        <v>0</v>
      </c>
    </row>
    <row r="338" spans="1:72">
      <c r="A338" s="3263"/>
      <c r="B338" s="3264"/>
      <c r="C338" s="3264"/>
      <c r="D338" s="3271"/>
      <c r="E338" s="3265">
        <f t="shared" si="206"/>
        <v>0</v>
      </c>
      <c r="F338" s="3266"/>
      <c r="G338" s="3267">
        <f t="shared" si="181"/>
        <v>0</v>
      </c>
      <c r="H338" s="3268">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5">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1051">
        <f t="shared" si="207"/>
        <v>0</v>
      </c>
      <c r="AW338" s="1051">
        <f t="shared" si="208"/>
        <v>0</v>
      </c>
      <c r="AX338" s="1051">
        <f t="shared" si="209"/>
        <v>0</v>
      </c>
      <c r="AY338" s="3313">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20">
        <f t="shared" si="205"/>
        <v>0</v>
      </c>
    </row>
    <row r="339" spans="1:72">
      <c r="A339" s="3263"/>
      <c r="B339" s="3264"/>
      <c r="C339" s="3264"/>
      <c r="D339" s="3271"/>
      <c r="E339" s="3265">
        <f t="shared" si="206"/>
        <v>0</v>
      </c>
      <c r="F339" s="3266"/>
      <c r="G339" s="3267">
        <f t="shared" si="181"/>
        <v>0</v>
      </c>
      <c r="H339" s="3268">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5">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1051">
        <f t="shared" si="207"/>
        <v>0</v>
      </c>
      <c r="AW339" s="1051">
        <f t="shared" si="208"/>
        <v>0</v>
      </c>
      <c r="AX339" s="1051">
        <f t="shared" si="209"/>
        <v>0</v>
      </c>
      <c r="AY339" s="3313">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20">
        <f t="shared" si="205"/>
        <v>0</v>
      </c>
    </row>
    <row r="340" spans="1:72">
      <c r="A340" s="3263"/>
      <c r="B340" s="3264"/>
      <c r="C340" s="3264"/>
      <c r="D340" s="3271"/>
      <c r="E340" s="3265">
        <f t="shared" si="206"/>
        <v>0</v>
      </c>
      <c r="F340" s="3266"/>
      <c r="G340" s="3267">
        <f t="shared" si="181"/>
        <v>0</v>
      </c>
      <c r="H340" s="3268">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5">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1051">
        <f t="shared" si="207"/>
        <v>0</v>
      </c>
      <c r="AW340" s="1051">
        <f t="shared" si="208"/>
        <v>0</v>
      </c>
      <c r="AX340" s="1051">
        <f t="shared" si="209"/>
        <v>0</v>
      </c>
      <c r="AY340" s="3313">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20">
        <f t="shared" si="205"/>
        <v>0</v>
      </c>
    </row>
    <row r="341" spans="1:72">
      <c r="A341" s="3263"/>
      <c r="B341" s="3264"/>
      <c r="C341" s="3264"/>
      <c r="D341" s="3271"/>
      <c r="E341" s="3265">
        <f t="shared" si="206"/>
        <v>0</v>
      </c>
      <c r="F341" s="3266"/>
      <c r="G341" s="3267">
        <f t="shared" si="181"/>
        <v>0</v>
      </c>
      <c r="H341" s="3268">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5">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1051">
        <f t="shared" si="207"/>
        <v>0</v>
      </c>
      <c r="AW341" s="1051">
        <f t="shared" si="208"/>
        <v>0</v>
      </c>
      <c r="AX341" s="1051">
        <f t="shared" si="209"/>
        <v>0</v>
      </c>
      <c r="AY341" s="3313">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20">
        <f t="shared" si="205"/>
        <v>0</v>
      </c>
    </row>
    <row r="342" spans="1:72">
      <c r="A342" s="3263"/>
      <c r="B342" s="3264"/>
      <c r="C342" s="3264"/>
      <c r="D342" s="3271"/>
      <c r="E342" s="3265">
        <f t="shared" si="206"/>
        <v>0</v>
      </c>
      <c r="F342" s="3266"/>
      <c r="G342" s="3267">
        <f t="shared" si="181"/>
        <v>0</v>
      </c>
      <c r="H342" s="3268">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5">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1051">
        <f t="shared" si="207"/>
        <v>0</v>
      </c>
      <c r="AW342" s="1051">
        <f t="shared" si="208"/>
        <v>0</v>
      </c>
      <c r="AX342" s="1051">
        <f t="shared" si="209"/>
        <v>0</v>
      </c>
      <c r="AY342" s="3313">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20">
        <f t="shared" si="205"/>
        <v>0</v>
      </c>
    </row>
    <row r="343" spans="1:72">
      <c r="A343" s="3263"/>
      <c r="B343" s="3264"/>
      <c r="C343" s="3264"/>
      <c r="D343" s="3271"/>
      <c r="E343" s="3265">
        <f t="shared" si="206"/>
        <v>0</v>
      </c>
      <c r="F343" s="3266"/>
      <c r="G343" s="3267">
        <f t="shared" si="181"/>
        <v>0</v>
      </c>
      <c r="H343" s="3268">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5">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1051">
        <f t="shared" si="207"/>
        <v>0</v>
      </c>
      <c r="AW343" s="1051">
        <f t="shared" si="208"/>
        <v>0</v>
      </c>
      <c r="AX343" s="1051">
        <f t="shared" si="209"/>
        <v>0</v>
      </c>
      <c r="AY343" s="3313">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20">
        <f t="shared" si="205"/>
        <v>0</v>
      </c>
    </row>
    <row r="344" spans="1:72">
      <c r="A344" s="3263"/>
      <c r="B344" s="3264"/>
      <c r="C344" s="3264"/>
      <c r="D344" s="3271"/>
      <c r="E344" s="3265">
        <f t="shared" si="206"/>
        <v>0</v>
      </c>
      <c r="F344" s="3266"/>
      <c r="G344" s="3267">
        <f t="shared" si="181"/>
        <v>0</v>
      </c>
      <c r="H344" s="3268">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5">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1051">
        <f t="shared" si="207"/>
        <v>0</v>
      </c>
      <c r="AW344" s="1051">
        <f t="shared" si="208"/>
        <v>0</v>
      </c>
      <c r="AX344" s="1051">
        <f t="shared" si="209"/>
        <v>0</v>
      </c>
      <c r="AY344" s="3313">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20">
        <f t="shared" si="205"/>
        <v>0</v>
      </c>
    </row>
    <row r="345" spans="1:72">
      <c r="A345" s="3263"/>
      <c r="B345" s="3264"/>
      <c r="C345" s="3264"/>
      <c r="D345" s="3271"/>
      <c r="E345" s="3265">
        <f t="shared" si="206"/>
        <v>0</v>
      </c>
      <c r="F345" s="3266"/>
      <c r="G345" s="3267">
        <f t="shared" si="181"/>
        <v>0</v>
      </c>
      <c r="H345" s="3268">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5">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1051">
        <f t="shared" si="207"/>
        <v>0</v>
      </c>
      <c r="AW345" s="1051">
        <f t="shared" si="208"/>
        <v>0</v>
      </c>
      <c r="AX345" s="1051">
        <f t="shared" si="209"/>
        <v>0</v>
      </c>
      <c r="AY345" s="3313">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20">
        <f t="shared" si="205"/>
        <v>0</v>
      </c>
    </row>
    <row r="346" spans="1:72">
      <c r="A346" s="3263"/>
      <c r="B346" s="3264"/>
      <c r="C346" s="3264"/>
      <c r="D346" s="3271"/>
      <c r="E346" s="3265">
        <f t="shared" si="206"/>
        <v>0</v>
      </c>
      <c r="F346" s="3266"/>
      <c r="G346" s="3267">
        <f t="shared" si="181"/>
        <v>0</v>
      </c>
      <c r="H346" s="3268">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5">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1051">
        <f t="shared" si="207"/>
        <v>0</v>
      </c>
      <c r="AW346" s="1051">
        <f t="shared" si="208"/>
        <v>0</v>
      </c>
      <c r="AX346" s="1051">
        <f t="shared" si="209"/>
        <v>0</v>
      </c>
      <c r="AY346" s="3313">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20">
        <f t="shared" si="205"/>
        <v>0</v>
      </c>
    </row>
    <row r="347" spans="1:72">
      <c r="A347" s="3263"/>
      <c r="B347" s="3264"/>
      <c r="C347" s="3264"/>
      <c r="D347" s="3271"/>
      <c r="E347" s="3265">
        <f t="shared" si="206"/>
        <v>0</v>
      </c>
      <c r="F347" s="3266"/>
      <c r="G347" s="3267">
        <f t="shared" si="181"/>
        <v>0</v>
      </c>
      <c r="H347" s="3268">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5">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1051">
        <f t="shared" si="207"/>
        <v>0</v>
      </c>
      <c r="AW347" s="1051">
        <f t="shared" si="208"/>
        <v>0</v>
      </c>
      <c r="AX347" s="1051">
        <f t="shared" si="209"/>
        <v>0</v>
      </c>
      <c r="AY347" s="3313">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20">
        <f t="shared" si="205"/>
        <v>0</v>
      </c>
    </row>
    <row r="348" spans="1:72">
      <c r="A348" s="3263"/>
      <c r="B348" s="3264"/>
      <c r="C348" s="3264"/>
      <c r="D348" s="3271"/>
      <c r="E348" s="3265">
        <f t="shared" si="206"/>
        <v>0</v>
      </c>
      <c r="F348" s="3266"/>
      <c r="G348" s="3267">
        <f t="shared" si="181"/>
        <v>0</v>
      </c>
      <c r="H348" s="3268">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5">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1051">
        <f t="shared" si="207"/>
        <v>0</v>
      </c>
      <c r="AW348" s="1051">
        <f t="shared" si="208"/>
        <v>0</v>
      </c>
      <c r="AX348" s="1051">
        <f t="shared" si="209"/>
        <v>0</v>
      </c>
      <c r="AY348" s="3313">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20">
        <f t="shared" si="205"/>
        <v>0</v>
      </c>
    </row>
    <row r="349" spans="1:72">
      <c r="A349" s="3263"/>
      <c r="B349" s="3264"/>
      <c r="C349" s="3264"/>
      <c r="D349" s="3271"/>
      <c r="E349" s="3265">
        <f t="shared" si="206"/>
        <v>0</v>
      </c>
      <c r="F349" s="3266"/>
      <c r="G349" s="3267">
        <f t="shared" si="181"/>
        <v>0</v>
      </c>
      <c r="H349" s="3268">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5">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1051">
        <f t="shared" si="207"/>
        <v>0</v>
      </c>
      <c r="AW349" s="1051">
        <f t="shared" si="208"/>
        <v>0</v>
      </c>
      <c r="AX349" s="1051">
        <f t="shared" si="209"/>
        <v>0</v>
      </c>
      <c r="AY349" s="3313">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20">
        <f t="shared" si="205"/>
        <v>0</v>
      </c>
    </row>
    <row r="350" spans="1:72">
      <c r="A350" s="3263"/>
      <c r="B350" s="3264"/>
      <c r="C350" s="3264"/>
      <c r="D350" s="3271"/>
      <c r="E350" s="3265">
        <f t="shared" si="206"/>
        <v>0</v>
      </c>
      <c r="F350" s="3266"/>
      <c r="G350" s="3267">
        <f t="shared" si="181"/>
        <v>0</v>
      </c>
      <c r="H350" s="3268">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5">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1051">
        <f t="shared" si="207"/>
        <v>0</v>
      </c>
      <c r="AW350" s="1051">
        <f t="shared" si="208"/>
        <v>0</v>
      </c>
      <c r="AX350" s="1051">
        <f t="shared" si="209"/>
        <v>0</v>
      </c>
      <c r="AY350" s="3313">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20">
        <f t="shared" si="205"/>
        <v>0</v>
      </c>
    </row>
    <row r="351" spans="1:72">
      <c r="A351" s="3263"/>
      <c r="B351" s="3264"/>
      <c r="C351" s="3264"/>
      <c r="D351" s="3271"/>
      <c r="E351" s="3265">
        <f t="shared" si="206"/>
        <v>0</v>
      </c>
      <c r="F351" s="3266"/>
      <c r="G351" s="3267">
        <f t="shared" si="181"/>
        <v>0</v>
      </c>
      <c r="H351" s="3268">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5">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1051">
        <f t="shared" si="207"/>
        <v>0</v>
      </c>
      <c r="AW351" s="1051">
        <f t="shared" si="208"/>
        <v>0</v>
      </c>
      <c r="AX351" s="1051">
        <f t="shared" si="209"/>
        <v>0</v>
      </c>
      <c r="AY351" s="3313">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20">
        <f t="shared" si="205"/>
        <v>0</v>
      </c>
    </row>
    <row r="352" spans="1:72">
      <c r="A352" s="3263"/>
      <c r="B352" s="3264"/>
      <c r="C352" s="3264"/>
      <c r="D352" s="3271"/>
      <c r="E352" s="3265">
        <f t="shared" si="206"/>
        <v>0</v>
      </c>
      <c r="F352" s="3266"/>
      <c r="G352" s="3267">
        <f t="shared" si="181"/>
        <v>0</v>
      </c>
      <c r="H352" s="3268">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5">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1051">
        <f t="shared" si="207"/>
        <v>0</v>
      </c>
      <c r="AW352" s="1051">
        <f t="shared" si="208"/>
        <v>0</v>
      </c>
      <c r="AX352" s="1051">
        <f t="shared" si="209"/>
        <v>0</v>
      </c>
      <c r="AY352" s="3313">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20">
        <f t="shared" si="205"/>
        <v>0</v>
      </c>
    </row>
    <row r="353" spans="1:72">
      <c r="A353" s="3263"/>
      <c r="B353" s="3264"/>
      <c r="C353" s="3264"/>
      <c r="D353" s="3271"/>
      <c r="E353" s="3265">
        <f t="shared" si="206"/>
        <v>0</v>
      </c>
      <c r="F353" s="3266"/>
      <c r="G353" s="3267">
        <f t="shared" si="181"/>
        <v>0</v>
      </c>
      <c r="H353" s="3268">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5">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1051">
        <f t="shared" si="207"/>
        <v>0</v>
      </c>
      <c r="AW353" s="1051">
        <f t="shared" si="208"/>
        <v>0</v>
      </c>
      <c r="AX353" s="1051">
        <f t="shared" si="209"/>
        <v>0</v>
      </c>
      <c r="AY353" s="3313">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20">
        <f t="shared" si="205"/>
        <v>0</v>
      </c>
    </row>
    <row r="354" spans="1:72">
      <c r="A354" s="3263"/>
      <c r="B354" s="3264"/>
      <c r="C354" s="3264"/>
      <c r="D354" s="3271"/>
      <c r="E354" s="3265">
        <f t="shared" si="206"/>
        <v>0</v>
      </c>
      <c r="F354" s="3266"/>
      <c r="G354" s="3267">
        <f t="shared" si="181"/>
        <v>0</v>
      </c>
      <c r="H354" s="3268">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5">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1051">
        <f t="shared" si="207"/>
        <v>0</v>
      </c>
      <c r="AW354" s="1051">
        <f t="shared" si="208"/>
        <v>0</v>
      </c>
      <c r="AX354" s="1051">
        <f t="shared" si="209"/>
        <v>0</v>
      </c>
      <c r="AY354" s="3313">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20">
        <f t="shared" si="205"/>
        <v>0</v>
      </c>
    </row>
    <row r="355" spans="1:72">
      <c r="A355" s="3263"/>
      <c r="B355" s="3264"/>
      <c r="C355" s="3264"/>
      <c r="D355" s="3271"/>
      <c r="E355" s="3265">
        <f t="shared" si="206"/>
        <v>0</v>
      </c>
      <c r="F355" s="3266"/>
      <c r="G355" s="3267">
        <f t="shared" si="181"/>
        <v>0</v>
      </c>
      <c r="H355" s="3268">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5">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1051">
        <f t="shared" si="207"/>
        <v>0</v>
      </c>
      <c r="AW355" s="1051">
        <f t="shared" si="208"/>
        <v>0</v>
      </c>
      <c r="AX355" s="1051">
        <f t="shared" si="209"/>
        <v>0</v>
      </c>
      <c r="AY355" s="3313">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20">
        <f t="shared" si="205"/>
        <v>0</v>
      </c>
    </row>
    <row r="356" spans="1:72">
      <c r="A356" s="3263"/>
      <c r="B356" s="3264"/>
      <c r="C356" s="3264"/>
      <c r="D356" s="3271"/>
      <c r="E356" s="3265">
        <f t="shared" si="206"/>
        <v>0</v>
      </c>
      <c r="F356" s="3266"/>
      <c r="G356" s="3267">
        <f t="shared" si="181"/>
        <v>0</v>
      </c>
      <c r="H356" s="3268">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5">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1051">
        <f t="shared" si="207"/>
        <v>0</v>
      </c>
      <c r="AW356" s="1051">
        <f t="shared" si="208"/>
        <v>0</v>
      </c>
      <c r="AX356" s="1051">
        <f t="shared" si="209"/>
        <v>0</v>
      </c>
      <c r="AY356" s="3313">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20">
        <f t="shared" si="205"/>
        <v>0</v>
      </c>
    </row>
    <row r="357" spans="1:72">
      <c r="A357" s="3263"/>
      <c r="B357" s="3264"/>
      <c r="C357" s="3264"/>
      <c r="D357" s="3271"/>
      <c r="E357" s="3265">
        <f t="shared" si="206"/>
        <v>0</v>
      </c>
      <c r="F357" s="3266"/>
      <c r="G357" s="3267">
        <f t="shared" si="181"/>
        <v>0</v>
      </c>
      <c r="H357" s="3268">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5">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1051">
        <f t="shared" si="207"/>
        <v>0</v>
      </c>
      <c r="AW357" s="1051">
        <f t="shared" si="208"/>
        <v>0</v>
      </c>
      <c r="AX357" s="1051">
        <f t="shared" si="209"/>
        <v>0</v>
      </c>
      <c r="AY357" s="3313">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20">
        <f t="shared" si="205"/>
        <v>0</v>
      </c>
    </row>
    <row r="358" spans="1:72">
      <c r="A358" s="3263"/>
      <c r="B358" s="3264"/>
      <c r="C358" s="3264"/>
      <c r="D358" s="3271"/>
      <c r="E358" s="3265">
        <f t="shared" si="206"/>
        <v>0</v>
      </c>
      <c r="F358" s="3266"/>
      <c r="G358" s="3267">
        <f t="shared" si="181"/>
        <v>0</v>
      </c>
      <c r="H358" s="3268">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5">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1051">
        <f t="shared" si="207"/>
        <v>0</v>
      </c>
      <c r="AW358" s="1051">
        <f t="shared" si="208"/>
        <v>0</v>
      </c>
      <c r="AX358" s="1051">
        <f t="shared" si="209"/>
        <v>0</v>
      </c>
      <c r="AY358" s="3313">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20">
        <f t="shared" si="205"/>
        <v>0</v>
      </c>
    </row>
    <row r="359" spans="1:72">
      <c r="A359" s="3263"/>
      <c r="B359" s="3264"/>
      <c r="C359" s="3264"/>
      <c r="D359" s="3271"/>
      <c r="E359" s="3265">
        <f t="shared" si="206"/>
        <v>0</v>
      </c>
      <c r="F359" s="3266"/>
      <c r="G359" s="3267">
        <f t="shared" si="181"/>
        <v>0</v>
      </c>
      <c r="H359" s="3268">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5">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1051">
        <f t="shared" si="207"/>
        <v>0</v>
      </c>
      <c r="AW359" s="1051">
        <f t="shared" si="208"/>
        <v>0</v>
      </c>
      <c r="AX359" s="1051">
        <f t="shared" si="209"/>
        <v>0</v>
      </c>
      <c r="AY359" s="3313">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20">
        <f t="shared" si="205"/>
        <v>0</v>
      </c>
    </row>
    <row r="360" spans="1:72">
      <c r="A360" s="3263"/>
      <c r="B360" s="3264"/>
      <c r="C360" s="3264"/>
      <c r="D360" s="3271"/>
      <c r="E360" s="3265">
        <f t="shared" si="206"/>
        <v>0</v>
      </c>
      <c r="F360" s="3266"/>
      <c r="G360" s="3267">
        <f t="shared" si="181"/>
        <v>0</v>
      </c>
      <c r="H360" s="3268">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5">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1051">
        <f t="shared" si="207"/>
        <v>0</v>
      </c>
      <c r="AW360" s="1051">
        <f t="shared" si="208"/>
        <v>0</v>
      </c>
      <c r="AX360" s="1051">
        <f t="shared" si="209"/>
        <v>0</v>
      </c>
      <c r="AY360" s="3313">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20">
        <f t="shared" si="205"/>
        <v>0</v>
      </c>
    </row>
    <row r="361" spans="1:72">
      <c r="A361" s="3263"/>
      <c r="B361" s="3264"/>
      <c r="C361" s="3264"/>
      <c r="D361" s="3271"/>
      <c r="E361" s="3265">
        <f t="shared" si="206"/>
        <v>0</v>
      </c>
      <c r="F361" s="3266"/>
      <c r="G361" s="3267">
        <f t="shared" si="181"/>
        <v>0</v>
      </c>
      <c r="H361" s="3268">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5">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1051">
        <f t="shared" si="207"/>
        <v>0</v>
      </c>
      <c r="AW361" s="1051">
        <f t="shared" si="208"/>
        <v>0</v>
      </c>
      <c r="AX361" s="1051">
        <f t="shared" si="209"/>
        <v>0</v>
      </c>
      <c r="AY361" s="3313">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20">
        <f t="shared" si="205"/>
        <v>0</v>
      </c>
    </row>
    <row r="362" spans="1:72">
      <c r="A362" s="3263"/>
      <c r="B362" s="3264"/>
      <c r="C362" s="3264"/>
      <c r="D362" s="3271"/>
      <c r="E362" s="3265">
        <f t="shared" si="206"/>
        <v>0</v>
      </c>
      <c r="F362" s="3266"/>
      <c r="G362" s="3267">
        <f t="shared" si="181"/>
        <v>0</v>
      </c>
      <c r="H362" s="3268">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5">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1051">
        <f t="shared" si="207"/>
        <v>0</v>
      </c>
      <c r="AW362" s="1051">
        <f t="shared" si="208"/>
        <v>0</v>
      </c>
      <c r="AX362" s="1051">
        <f t="shared" si="209"/>
        <v>0</v>
      </c>
      <c r="AY362" s="3313">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20">
        <f t="shared" si="205"/>
        <v>0</v>
      </c>
    </row>
    <row r="363" spans="1:72">
      <c r="A363" s="3263"/>
      <c r="B363" s="3264"/>
      <c r="C363" s="3264"/>
      <c r="D363" s="3271"/>
      <c r="E363" s="3265">
        <f t="shared" si="206"/>
        <v>0</v>
      </c>
      <c r="F363" s="3266"/>
      <c r="G363" s="3267">
        <f t="shared" si="181"/>
        <v>0</v>
      </c>
      <c r="H363" s="3268">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5">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1051">
        <f t="shared" si="207"/>
        <v>0</v>
      </c>
      <c r="AW363" s="1051">
        <f t="shared" si="208"/>
        <v>0</v>
      </c>
      <c r="AX363" s="1051">
        <f t="shared" si="209"/>
        <v>0</v>
      </c>
      <c r="AY363" s="3313">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20">
        <f t="shared" si="205"/>
        <v>0</v>
      </c>
    </row>
    <row r="364" spans="1:72">
      <c r="A364" s="3263"/>
      <c r="B364" s="3264"/>
      <c r="C364" s="3264"/>
      <c r="D364" s="3271"/>
      <c r="E364" s="3265">
        <f t="shared" si="206"/>
        <v>0</v>
      </c>
      <c r="F364" s="3266"/>
      <c r="G364" s="3267">
        <f t="shared" ref="G364:G397" si="210">H364+AC364+AT364</f>
        <v>0</v>
      </c>
      <c r="H364" s="3268">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5">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1051">
        <f t="shared" si="207"/>
        <v>0</v>
      </c>
      <c r="AW364" s="1051">
        <f t="shared" si="208"/>
        <v>0</v>
      </c>
      <c r="AX364" s="1051">
        <f t="shared" si="209"/>
        <v>0</v>
      </c>
      <c r="AY364" s="3313">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20">
        <f t="shared" ref="BT364:BT397" si="234">IF($D364="是",AR364-AS364,0)</f>
        <v>0</v>
      </c>
    </row>
    <row r="365" spans="1:72">
      <c r="A365" s="3263"/>
      <c r="B365" s="3264"/>
      <c r="C365" s="3264"/>
      <c r="D365" s="3271"/>
      <c r="E365" s="3265">
        <f t="shared" si="206"/>
        <v>0</v>
      </c>
      <c r="F365" s="3266"/>
      <c r="G365" s="3267">
        <f t="shared" si="210"/>
        <v>0</v>
      </c>
      <c r="H365" s="3268">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5">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1051">
        <f t="shared" si="207"/>
        <v>0</v>
      </c>
      <c r="AW365" s="1051">
        <f t="shared" si="208"/>
        <v>0</v>
      </c>
      <c r="AX365" s="1051">
        <f t="shared" si="209"/>
        <v>0</v>
      </c>
      <c r="AY365" s="3313">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20">
        <f t="shared" si="234"/>
        <v>0</v>
      </c>
    </row>
    <row r="366" spans="1:72">
      <c r="A366" s="3263"/>
      <c r="B366" s="3264"/>
      <c r="C366" s="3264"/>
      <c r="D366" s="3271"/>
      <c r="E366" s="3265">
        <f t="shared" si="206"/>
        <v>0</v>
      </c>
      <c r="F366" s="3266"/>
      <c r="G366" s="3267">
        <f t="shared" si="210"/>
        <v>0</v>
      </c>
      <c r="H366" s="3268">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5">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1051">
        <f t="shared" si="207"/>
        <v>0</v>
      </c>
      <c r="AW366" s="1051">
        <f t="shared" si="208"/>
        <v>0</v>
      </c>
      <c r="AX366" s="1051">
        <f t="shared" si="209"/>
        <v>0</v>
      </c>
      <c r="AY366" s="3313">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20">
        <f t="shared" si="234"/>
        <v>0</v>
      </c>
    </row>
    <row r="367" spans="1:72">
      <c r="A367" s="3263"/>
      <c r="B367" s="3264"/>
      <c r="C367" s="3264"/>
      <c r="D367" s="3271"/>
      <c r="E367" s="3265">
        <f t="shared" ref="E367:E397" si="235">IF($C$3="是",ROUND($A$3*G367/$B$3,2),ROUND($A$3*(G367-AT367)/$B$3,2))</f>
        <v>0</v>
      </c>
      <c r="F367" s="3266"/>
      <c r="G367" s="3267">
        <f t="shared" si="210"/>
        <v>0</v>
      </c>
      <c r="H367" s="3268">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5">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1051">
        <f t="shared" ref="AV367:AV397" si="236">A367</f>
        <v>0</v>
      </c>
      <c r="AW367" s="1051">
        <f t="shared" ref="AW367:AW397" si="237">B367</f>
        <v>0</v>
      </c>
      <c r="AX367" s="1051">
        <f t="shared" ref="AX367:AX397" si="238">C367</f>
        <v>0</v>
      </c>
      <c r="AY367" s="3313">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20">
        <f t="shared" si="234"/>
        <v>0</v>
      </c>
    </row>
    <row r="368" spans="1:72">
      <c r="A368" s="3263"/>
      <c r="B368" s="3264"/>
      <c r="C368" s="3264"/>
      <c r="D368" s="3271"/>
      <c r="E368" s="3265">
        <f t="shared" si="235"/>
        <v>0</v>
      </c>
      <c r="F368" s="3266"/>
      <c r="G368" s="3267">
        <f t="shared" si="210"/>
        <v>0</v>
      </c>
      <c r="H368" s="3268">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5">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1051">
        <f t="shared" si="236"/>
        <v>0</v>
      </c>
      <c r="AW368" s="1051">
        <f t="shared" si="237"/>
        <v>0</v>
      </c>
      <c r="AX368" s="1051">
        <f t="shared" si="238"/>
        <v>0</v>
      </c>
      <c r="AY368" s="3313">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20">
        <f t="shared" si="234"/>
        <v>0</v>
      </c>
    </row>
    <row r="369" spans="1:72">
      <c r="A369" s="3263"/>
      <c r="B369" s="3264"/>
      <c r="C369" s="3264"/>
      <c r="D369" s="3271"/>
      <c r="E369" s="3265">
        <f t="shared" si="235"/>
        <v>0</v>
      </c>
      <c r="F369" s="3266"/>
      <c r="G369" s="3267">
        <f t="shared" si="210"/>
        <v>0</v>
      </c>
      <c r="H369" s="3268">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5">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1051">
        <f t="shared" si="236"/>
        <v>0</v>
      </c>
      <c r="AW369" s="1051">
        <f t="shared" si="237"/>
        <v>0</v>
      </c>
      <c r="AX369" s="1051">
        <f t="shared" si="238"/>
        <v>0</v>
      </c>
      <c r="AY369" s="3313">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20">
        <f t="shared" si="234"/>
        <v>0</v>
      </c>
    </row>
    <row r="370" spans="1:72">
      <c r="A370" s="3263"/>
      <c r="B370" s="3264"/>
      <c r="C370" s="3264"/>
      <c r="D370" s="3271"/>
      <c r="E370" s="3265">
        <f t="shared" si="235"/>
        <v>0</v>
      </c>
      <c r="F370" s="3266"/>
      <c r="G370" s="3267">
        <f t="shared" si="210"/>
        <v>0</v>
      </c>
      <c r="H370" s="3268">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5">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1051">
        <f t="shared" si="236"/>
        <v>0</v>
      </c>
      <c r="AW370" s="1051">
        <f t="shared" si="237"/>
        <v>0</v>
      </c>
      <c r="AX370" s="1051">
        <f t="shared" si="238"/>
        <v>0</v>
      </c>
      <c r="AY370" s="3313">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20">
        <f t="shared" si="234"/>
        <v>0</v>
      </c>
    </row>
    <row r="371" spans="1:72">
      <c r="A371" s="3263"/>
      <c r="B371" s="3264"/>
      <c r="C371" s="3264"/>
      <c r="D371" s="3271"/>
      <c r="E371" s="3265">
        <f t="shared" si="235"/>
        <v>0</v>
      </c>
      <c r="F371" s="3266"/>
      <c r="G371" s="3267">
        <f t="shared" si="210"/>
        <v>0</v>
      </c>
      <c r="H371" s="3268">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5">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1051">
        <f t="shared" si="236"/>
        <v>0</v>
      </c>
      <c r="AW371" s="1051">
        <f t="shared" si="237"/>
        <v>0</v>
      </c>
      <c r="AX371" s="1051">
        <f t="shared" si="238"/>
        <v>0</v>
      </c>
      <c r="AY371" s="3313">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20">
        <f t="shared" si="234"/>
        <v>0</v>
      </c>
    </row>
    <row r="372" spans="1:72">
      <c r="A372" s="3263"/>
      <c r="B372" s="3264"/>
      <c r="C372" s="3264"/>
      <c r="D372" s="3271"/>
      <c r="E372" s="3265">
        <f t="shared" si="235"/>
        <v>0</v>
      </c>
      <c r="F372" s="3266"/>
      <c r="G372" s="3267">
        <f t="shared" si="210"/>
        <v>0</v>
      </c>
      <c r="H372" s="3268">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5">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1051">
        <f t="shared" si="236"/>
        <v>0</v>
      </c>
      <c r="AW372" s="1051">
        <f t="shared" si="237"/>
        <v>0</v>
      </c>
      <c r="AX372" s="1051">
        <f t="shared" si="238"/>
        <v>0</v>
      </c>
      <c r="AY372" s="3313">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20">
        <f t="shared" si="234"/>
        <v>0</v>
      </c>
    </row>
    <row r="373" spans="1:72">
      <c r="A373" s="3263"/>
      <c r="B373" s="3264"/>
      <c r="C373" s="3264"/>
      <c r="D373" s="3271"/>
      <c r="E373" s="3265">
        <f t="shared" si="235"/>
        <v>0</v>
      </c>
      <c r="F373" s="3266"/>
      <c r="G373" s="3267">
        <f t="shared" si="210"/>
        <v>0</v>
      </c>
      <c r="H373" s="3268">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5">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1051">
        <f t="shared" si="236"/>
        <v>0</v>
      </c>
      <c r="AW373" s="1051">
        <f t="shared" si="237"/>
        <v>0</v>
      </c>
      <c r="AX373" s="1051">
        <f t="shared" si="238"/>
        <v>0</v>
      </c>
      <c r="AY373" s="3313">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20">
        <f t="shared" si="234"/>
        <v>0</v>
      </c>
    </row>
    <row r="374" spans="1:72">
      <c r="A374" s="3263"/>
      <c r="B374" s="3264"/>
      <c r="C374" s="3264"/>
      <c r="D374" s="3271"/>
      <c r="E374" s="3265">
        <f t="shared" si="235"/>
        <v>0</v>
      </c>
      <c r="F374" s="3266"/>
      <c r="G374" s="3267">
        <f t="shared" si="210"/>
        <v>0</v>
      </c>
      <c r="H374" s="3268">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5">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1051">
        <f t="shared" si="236"/>
        <v>0</v>
      </c>
      <c r="AW374" s="1051">
        <f t="shared" si="237"/>
        <v>0</v>
      </c>
      <c r="AX374" s="1051">
        <f t="shared" si="238"/>
        <v>0</v>
      </c>
      <c r="AY374" s="3313">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20">
        <f t="shared" si="234"/>
        <v>0</v>
      </c>
    </row>
    <row r="375" spans="1:72">
      <c r="A375" s="3263"/>
      <c r="B375" s="3264"/>
      <c r="C375" s="3264"/>
      <c r="D375" s="3271"/>
      <c r="E375" s="3265">
        <f t="shared" si="235"/>
        <v>0</v>
      </c>
      <c r="F375" s="3266"/>
      <c r="G375" s="3267">
        <f t="shared" si="210"/>
        <v>0</v>
      </c>
      <c r="H375" s="3268">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5">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1051">
        <f t="shared" si="236"/>
        <v>0</v>
      </c>
      <c r="AW375" s="1051">
        <f t="shared" si="237"/>
        <v>0</v>
      </c>
      <c r="AX375" s="1051">
        <f t="shared" si="238"/>
        <v>0</v>
      </c>
      <c r="AY375" s="3313">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20">
        <f t="shared" si="234"/>
        <v>0</v>
      </c>
    </row>
    <row r="376" spans="1:72">
      <c r="A376" s="3263"/>
      <c r="B376" s="3264"/>
      <c r="C376" s="3264"/>
      <c r="D376" s="3271"/>
      <c r="E376" s="3265">
        <f t="shared" si="235"/>
        <v>0</v>
      </c>
      <c r="F376" s="3266"/>
      <c r="G376" s="3267">
        <f t="shared" si="210"/>
        <v>0</v>
      </c>
      <c r="H376" s="3268">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5">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1051">
        <f t="shared" si="236"/>
        <v>0</v>
      </c>
      <c r="AW376" s="1051">
        <f t="shared" si="237"/>
        <v>0</v>
      </c>
      <c r="AX376" s="1051">
        <f t="shared" si="238"/>
        <v>0</v>
      </c>
      <c r="AY376" s="3313">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20">
        <f t="shared" si="234"/>
        <v>0</v>
      </c>
    </row>
    <row r="377" spans="1:72">
      <c r="A377" s="3263"/>
      <c r="B377" s="3264"/>
      <c r="C377" s="3264"/>
      <c r="D377" s="3271"/>
      <c r="E377" s="3265">
        <f t="shared" si="235"/>
        <v>0</v>
      </c>
      <c r="F377" s="3266"/>
      <c r="G377" s="3267">
        <f t="shared" si="210"/>
        <v>0</v>
      </c>
      <c r="H377" s="3268">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5">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1051">
        <f t="shared" si="236"/>
        <v>0</v>
      </c>
      <c r="AW377" s="1051">
        <f t="shared" si="237"/>
        <v>0</v>
      </c>
      <c r="AX377" s="1051">
        <f t="shared" si="238"/>
        <v>0</v>
      </c>
      <c r="AY377" s="3313">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20">
        <f t="shared" si="234"/>
        <v>0</v>
      </c>
    </row>
    <row r="378" spans="1:72">
      <c r="A378" s="3263"/>
      <c r="B378" s="3264"/>
      <c r="C378" s="3264"/>
      <c r="D378" s="3271"/>
      <c r="E378" s="3265">
        <f t="shared" si="235"/>
        <v>0</v>
      </c>
      <c r="F378" s="3266"/>
      <c r="G378" s="3267">
        <f t="shared" si="210"/>
        <v>0</v>
      </c>
      <c r="H378" s="3268">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5">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1051">
        <f t="shared" si="236"/>
        <v>0</v>
      </c>
      <c r="AW378" s="1051">
        <f t="shared" si="237"/>
        <v>0</v>
      </c>
      <c r="AX378" s="1051">
        <f t="shared" si="238"/>
        <v>0</v>
      </c>
      <c r="AY378" s="3313">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20">
        <f t="shared" si="234"/>
        <v>0</v>
      </c>
    </row>
    <row r="379" spans="1:72">
      <c r="A379" s="3263"/>
      <c r="B379" s="3264"/>
      <c r="C379" s="3264"/>
      <c r="D379" s="3271"/>
      <c r="E379" s="3265">
        <f t="shared" si="235"/>
        <v>0</v>
      </c>
      <c r="F379" s="3266"/>
      <c r="G379" s="3267">
        <f t="shared" si="210"/>
        <v>0</v>
      </c>
      <c r="H379" s="3268">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5">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1051">
        <f t="shared" si="236"/>
        <v>0</v>
      </c>
      <c r="AW379" s="1051">
        <f t="shared" si="237"/>
        <v>0</v>
      </c>
      <c r="AX379" s="1051">
        <f t="shared" si="238"/>
        <v>0</v>
      </c>
      <c r="AY379" s="3313">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20">
        <f t="shared" si="234"/>
        <v>0</v>
      </c>
    </row>
    <row r="380" spans="1:72">
      <c r="A380" s="3263"/>
      <c r="B380" s="3264"/>
      <c r="C380" s="3264"/>
      <c r="D380" s="3271"/>
      <c r="E380" s="3265">
        <f t="shared" si="235"/>
        <v>0</v>
      </c>
      <c r="F380" s="3266"/>
      <c r="G380" s="3267">
        <f t="shared" si="210"/>
        <v>0</v>
      </c>
      <c r="H380" s="3268">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5">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1051">
        <f t="shared" si="236"/>
        <v>0</v>
      </c>
      <c r="AW380" s="1051">
        <f t="shared" si="237"/>
        <v>0</v>
      </c>
      <c r="AX380" s="1051">
        <f t="shared" si="238"/>
        <v>0</v>
      </c>
      <c r="AY380" s="3313">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20">
        <f t="shared" si="234"/>
        <v>0</v>
      </c>
    </row>
    <row r="381" spans="1:72">
      <c r="A381" s="3263"/>
      <c r="B381" s="3264"/>
      <c r="C381" s="3264"/>
      <c r="D381" s="3271"/>
      <c r="E381" s="3265">
        <f t="shared" si="235"/>
        <v>0</v>
      </c>
      <c r="F381" s="3266"/>
      <c r="G381" s="3267">
        <f t="shared" si="210"/>
        <v>0</v>
      </c>
      <c r="H381" s="3268">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5">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1051">
        <f t="shared" si="236"/>
        <v>0</v>
      </c>
      <c r="AW381" s="1051">
        <f t="shared" si="237"/>
        <v>0</v>
      </c>
      <c r="AX381" s="1051">
        <f t="shared" si="238"/>
        <v>0</v>
      </c>
      <c r="AY381" s="3313">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20">
        <f t="shared" si="234"/>
        <v>0</v>
      </c>
    </row>
    <row r="382" spans="1:72">
      <c r="A382" s="3263"/>
      <c r="B382" s="3264"/>
      <c r="C382" s="3264"/>
      <c r="D382" s="3271"/>
      <c r="E382" s="3265">
        <f t="shared" si="235"/>
        <v>0</v>
      </c>
      <c r="F382" s="3266"/>
      <c r="G382" s="3267">
        <f t="shared" si="210"/>
        <v>0</v>
      </c>
      <c r="H382" s="3268">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5">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1051">
        <f t="shared" si="236"/>
        <v>0</v>
      </c>
      <c r="AW382" s="1051">
        <f t="shared" si="237"/>
        <v>0</v>
      </c>
      <c r="AX382" s="1051">
        <f t="shared" si="238"/>
        <v>0</v>
      </c>
      <c r="AY382" s="3313">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20">
        <f t="shared" si="234"/>
        <v>0</v>
      </c>
    </row>
    <row r="383" spans="1:72">
      <c r="A383" s="3263"/>
      <c r="B383" s="3264"/>
      <c r="C383" s="3264"/>
      <c r="D383" s="3271"/>
      <c r="E383" s="3265">
        <f t="shared" si="235"/>
        <v>0</v>
      </c>
      <c r="F383" s="3266"/>
      <c r="G383" s="3267">
        <f t="shared" si="210"/>
        <v>0</v>
      </c>
      <c r="H383" s="3268">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5">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1051">
        <f t="shared" si="236"/>
        <v>0</v>
      </c>
      <c r="AW383" s="1051">
        <f t="shared" si="237"/>
        <v>0</v>
      </c>
      <c r="AX383" s="1051">
        <f t="shared" si="238"/>
        <v>0</v>
      </c>
      <c r="AY383" s="3313">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20">
        <f t="shared" si="234"/>
        <v>0</v>
      </c>
    </row>
    <row r="384" spans="1:72">
      <c r="A384" s="3263"/>
      <c r="B384" s="3264"/>
      <c r="C384" s="3264"/>
      <c r="D384" s="3271"/>
      <c r="E384" s="3265">
        <f t="shared" si="235"/>
        <v>0</v>
      </c>
      <c r="F384" s="3266"/>
      <c r="G384" s="3267">
        <f t="shared" si="210"/>
        <v>0</v>
      </c>
      <c r="H384" s="3268">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5">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1051">
        <f t="shared" si="236"/>
        <v>0</v>
      </c>
      <c r="AW384" s="1051">
        <f t="shared" si="237"/>
        <v>0</v>
      </c>
      <c r="AX384" s="1051">
        <f t="shared" si="238"/>
        <v>0</v>
      </c>
      <c r="AY384" s="3313">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20">
        <f t="shared" si="234"/>
        <v>0</v>
      </c>
    </row>
    <row r="385" spans="1:72">
      <c r="A385" s="3263"/>
      <c r="B385" s="3264"/>
      <c r="C385" s="3264"/>
      <c r="D385" s="3271"/>
      <c r="E385" s="3265">
        <f t="shared" si="235"/>
        <v>0</v>
      </c>
      <c r="F385" s="3266"/>
      <c r="G385" s="3267">
        <f t="shared" si="210"/>
        <v>0</v>
      </c>
      <c r="H385" s="3268">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5">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1051">
        <f t="shared" si="236"/>
        <v>0</v>
      </c>
      <c r="AW385" s="1051">
        <f t="shared" si="237"/>
        <v>0</v>
      </c>
      <c r="AX385" s="1051">
        <f t="shared" si="238"/>
        <v>0</v>
      </c>
      <c r="AY385" s="3313">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20">
        <f t="shared" si="234"/>
        <v>0</v>
      </c>
    </row>
    <row r="386" spans="1:72">
      <c r="A386" s="3263"/>
      <c r="B386" s="3264"/>
      <c r="C386" s="3264"/>
      <c r="D386" s="3271"/>
      <c r="E386" s="3265">
        <f t="shared" si="235"/>
        <v>0</v>
      </c>
      <c r="F386" s="3266"/>
      <c r="G386" s="3267">
        <f t="shared" si="210"/>
        <v>0</v>
      </c>
      <c r="H386" s="3268">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5">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1051">
        <f t="shared" si="236"/>
        <v>0</v>
      </c>
      <c r="AW386" s="1051">
        <f t="shared" si="237"/>
        <v>0</v>
      </c>
      <c r="AX386" s="1051">
        <f t="shared" si="238"/>
        <v>0</v>
      </c>
      <c r="AY386" s="3313">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20">
        <f t="shared" si="234"/>
        <v>0</v>
      </c>
    </row>
    <row r="387" spans="1:72">
      <c r="A387" s="3263"/>
      <c r="B387" s="3264"/>
      <c r="C387" s="3264"/>
      <c r="D387" s="3271"/>
      <c r="E387" s="3265">
        <f t="shared" si="235"/>
        <v>0</v>
      </c>
      <c r="F387" s="3266"/>
      <c r="G387" s="3267">
        <f t="shared" si="210"/>
        <v>0</v>
      </c>
      <c r="H387" s="3268">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5">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1051">
        <f t="shared" si="236"/>
        <v>0</v>
      </c>
      <c r="AW387" s="1051">
        <f t="shared" si="237"/>
        <v>0</v>
      </c>
      <c r="AX387" s="1051">
        <f t="shared" si="238"/>
        <v>0</v>
      </c>
      <c r="AY387" s="3313">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20">
        <f t="shared" si="234"/>
        <v>0</v>
      </c>
    </row>
    <row r="388" spans="1:72">
      <c r="A388" s="3263"/>
      <c r="B388" s="3264"/>
      <c r="C388" s="3264"/>
      <c r="D388" s="3271"/>
      <c r="E388" s="3265">
        <f t="shared" si="235"/>
        <v>0</v>
      </c>
      <c r="F388" s="3266"/>
      <c r="G388" s="3267">
        <f t="shared" si="210"/>
        <v>0</v>
      </c>
      <c r="H388" s="3268">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5">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1051">
        <f t="shared" si="236"/>
        <v>0</v>
      </c>
      <c r="AW388" s="1051">
        <f t="shared" si="237"/>
        <v>0</v>
      </c>
      <c r="AX388" s="1051">
        <f t="shared" si="238"/>
        <v>0</v>
      </c>
      <c r="AY388" s="3313">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20">
        <f t="shared" si="234"/>
        <v>0</v>
      </c>
    </row>
    <row r="389" spans="1:72">
      <c r="A389" s="3263"/>
      <c r="B389" s="3264"/>
      <c r="C389" s="3264"/>
      <c r="D389" s="3271"/>
      <c r="E389" s="3265">
        <f t="shared" si="235"/>
        <v>0</v>
      </c>
      <c r="F389" s="3266"/>
      <c r="G389" s="3267">
        <f t="shared" si="210"/>
        <v>0</v>
      </c>
      <c r="H389" s="3268">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5">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1051">
        <f t="shared" si="236"/>
        <v>0</v>
      </c>
      <c r="AW389" s="1051">
        <f t="shared" si="237"/>
        <v>0</v>
      </c>
      <c r="AX389" s="1051">
        <f t="shared" si="238"/>
        <v>0</v>
      </c>
      <c r="AY389" s="3313">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20">
        <f t="shared" si="234"/>
        <v>0</v>
      </c>
    </row>
    <row r="390" spans="1:72">
      <c r="A390" s="3263"/>
      <c r="B390" s="3264"/>
      <c r="C390" s="3264"/>
      <c r="D390" s="3271"/>
      <c r="E390" s="3265">
        <f t="shared" si="235"/>
        <v>0</v>
      </c>
      <c r="F390" s="3266"/>
      <c r="G390" s="3267">
        <f t="shared" si="210"/>
        <v>0</v>
      </c>
      <c r="H390" s="3268">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5">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1051">
        <f t="shared" si="236"/>
        <v>0</v>
      </c>
      <c r="AW390" s="1051">
        <f t="shared" si="237"/>
        <v>0</v>
      </c>
      <c r="AX390" s="1051">
        <f t="shared" si="238"/>
        <v>0</v>
      </c>
      <c r="AY390" s="3313">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20">
        <f t="shared" si="234"/>
        <v>0</v>
      </c>
    </row>
    <row r="391" spans="1:72">
      <c r="A391" s="3263"/>
      <c r="B391" s="3264"/>
      <c r="C391" s="3264"/>
      <c r="D391" s="3271"/>
      <c r="E391" s="3265">
        <f t="shared" si="235"/>
        <v>0</v>
      </c>
      <c r="F391" s="3266"/>
      <c r="G391" s="3267">
        <f t="shared" si="210"/>
        <v>0</v>
      </c>
      <c r="H391" s="3268">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5">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1051">
        <f t="shared" si="236"/>
        <v>0</v>
      </c>
      <c r="AW391" s="1051">
        <f t="shared" si="237"/>
        <v>0</v>
      </c>
      <c r="AX391" s="1051">
        <f t="shared" si="238"/>
        <v>0</v>
      </c>
      <c r="AY391" s="3313">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20">
        <f t="shared" si="234"/>
        <v>0</v>
      </c>
    </row>
    <row r="392" spans="1:72">
      <c r="A392" s="3263"/>
      <c r="B392" s="3264"/>
      <c r="C392" s="3264"/>
      <c r="D392" s="3271"/>
      <c r="E392" s="3265">
        <f t="shared" si="235"/>
        <v>0</v>
      </c>
      <c r="F392" s="3266"/>
      <c r="G392" s="3267">
        <f t="shared" si="210"/>
        <v>0</v>
      </c>
      <c r="H392" s="3268">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5">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1051">
        <f t="shared" si="236"/>
        <v>0</v>
      </c>
      <c r="AW392" s="1051">
        <f t="shared" si="237"/>
        <v>0</v>
      </c>
      <c r="AX392" s="1051">
        <f t="shared" si="238"/>
        <v>0</v>
      </c>
      <c r="AY392" s="3313">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20">
        <f t="shared" si="234"/>
        <v>0</v>
      </c>
    </row>
    <row r="393" spans="1:72">
      <c r="A393" s="3263"/>
      <c r="B393" s="3264"/>
      <c r="C393" s="3264"/>
      <c r="D393" s="3271"/>
      <c r="E393" s="3265">
        <f t="shared" si="235"/>
        <v>0</v>
      </c>
      <c r="F393" s="3266"/>
      <c r="G393" s="3267">
        <f t="shared" si="210"/>
        <v>0</v>
      </c>
      <c r="H393" s="3268">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5">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1051">
        <f t="shared" si="236"/>
        <v>0</v>
      </c>
      <c r="AW393" s="1051">
        <f t="shared" si="237"/>
        <v>0</v>
      </c>
      <c r="AX393" s="1051">
        <f t="shared" si="238"/>
        <v>0</v>
      </c>
      <c r="AY393" s="3313">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20">
        <f t="shared" si="234"/>
        <v>0</v>
      </c>
    </row>
    <row r="394" spans="1:72">
      <c r="A394" s="3263"/>
      <c r="B394" s="3264"/>
      <c r="C394" s="3264"/>
      <c r="D394" s="3271"/>
      <c r="E394" s="3265">
        <f t="shared" si="235"/>
        <v>0</v>
      </c>
      <c r="F394" s="3266"/>
      <c r="G394" s="3267">
        <f t="shared" si="210"/>
        <v>0</v>
      </c>
      <c r="H394" s="3268">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5">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1051">
        <f t="shared" si="236"/>
        <v>0</v>
      </c>
      <c r="AW394" s="1051">
        <f t="shared" si="237"/>
        <v>0</v>
      </c>
      <c r="AX394" s="1051">
        <f t="shared" si="238"/>
        <v>0</v>
      </c>
      <c r="AY394" s="3313">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20">
        <f t="shared" si="234"/>
        <v>0</v>
      </c>
    </row>
    <row r="395" spans="1:72">
      <c r="A395" s="3263"/>
      <c r="B395" s="3263"/>
      <c r="C395" s="3263"/>
      <c r="D395" s="3271"/>
      <c r="E395" s="3265">
        <f t="shared" si="235"/>
        <v>0</v>
      </c>
      <c r="F395" s="3321"/>
      <c r="G395" s="3267">
        <f t="shared" si="210"/>
        <v>0</v>
      </c>
      <c r="H395" s="3268">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5">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1051">
        <f t="shared" si="236"/>
        <v>0</v>
      </c>
      <c r="AW395" s="1051">
        <f t="shared" si="237"/>
        <v>0</v>
      </c>
      <c r="AX395" s="1051">
        <f t="shared" si="238"/>
        <v>0</v>
      </c>
      <c r="AY395" s="3313">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20">
        <f t="shared" si="234"/>
        <v>0</v>
      </c>
    </row>
    <row r="396" spans="1:72">
      <c r="A396" s="3263"/>
      <c r="B396" s="3263"/>
      <c r="C396" s="3263"/>
      <c r="D396" s="3271"/>
      <c r="E396" s="3265">
        <f t="shared" si="235"/>
        <v>0</v>
      </c>
      <c r="F396" s="3321"/>
      <c r="G396" s="3267">
        <f t="shared" si="210"/>
        <v>0</v>
      </c>
      <c r="H396" s="3268">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5">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1051">
        <f t="shared" si="236"/>
        <v>0</v>
      </c>
      <c r="AW396" s="1051">
        <f t="shared" si="237"/>
        <v>0</v>
      </c>
      <c r="AX396" s="1051">
        <f t="shared" si="238"/>
        <v>0</v>
      </c>
      <c r="AY396" s="3313">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20">
        <f t="shared" si="234"/>
        <v>0</v>
      </c>
    </row>
    <row r="397" spans="1:72">
      <c r="A397" s="3263"/>
      <c r="B397" s="3263"/>
      <c r="C397" s="3263"/>
      <c r="D397" s="3271"/>
      <c r="E397" s="3265">
        <f t="shared" si="235"/>
        <v>0</v>
      </c>
      <c r="F397" s="3321"/>
      <c r="G397" s="3267">
        <f t="shared" si="210"/>
        <v>0</v>
      </c>
      <c r="H397" s="3268">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5">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1051">
        <f t="shared" si="236"/>
        <v>0</v>
      </c>
      <c r="AW397" s="1051">
        <f t="shared" si="237"/>
        <v>0</v>
      </c>
      <c r="AX397" s="1051">
        <f t="shared" si="238"/>
        <v>0</v>
      </c>
      <c r="AY397" s="3313">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20">
        <f t="shared" si="234"/>
        <v>0</v>
      </c>
    </row>
    <row r="398" spans="1:72">
      <c r="A398" s="3263"/>
      <c r="B398" s="3264"/>
      <c r="C398" s="3264"/>
      <c r="D398" s="3271"/>
      <c r="E398" s="3265">
        <f t="shared" ref="E398:E492" si="239">IF($C$3="是",ROUND($A$3*G398/$B$3,2),ROUND($A$3*(G398-AT398)/$B$3,2))</f>
        <v>0</v>
      </c>
      <c r="F398" s="3266"/>
      <c r="G398" s="3267">
        <f t="shared" ref="G398:G489" si="240">H398+AC398+AT398</f>
        <v>0</v>
      </c>
      <c r="H398" s="3268">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5">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1051">
        <f t="shared" ref="AV398:AV492" si="243">A398</f>
        <v>0</v>
      </c>
      <c r="AW398" s="1051">
        <f t="shared" ref="AW398:AW492" si="244">B398</f>
        <v>0</v>
      </c>
      <c r="AX398" s="1051">
        <f t="shared" ref="AX398:AX492" si="245">C398</f>
        <v>0</v>
      </c>
      <c r="AY398" s="3313">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20">
        <f t="shared" ref="BT398:BT489" si="267">IF($D398="是",AR398-AS398,0)</f>
        <v>0</v>
      </c>
    </row>
    <row r="399" spans="1:72">
      <c r="A399" s="3263"/>
      <c r="B399" s="3264"/>
      <c r="C399" s="3264"/>
      <c r="D399" s="3271"/>
      <c r="E399" s="3265">
        <f t="shared" si="239"/>
        <v>0</v>
      </c>
      <c r="F399" s="3266"/>
      <c r="G399" s="3267">
        <f t="shared" si="240"/>
        <v>0</v>
      </c>
      <c r="H399" s="3268">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5">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1051">
        <f t="shared" si="243"/>
        <v>0</v>
      </c>
      <c r="AW399" s="1051">
        <f t="shared" si="244"/>
        <v>0</v>
      </c>
      <c r="AX399" s="1051">
        <f t="shared" si="245"/>
        <v>0</v>
      </c>
      <c r="AY399" s="3313">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20">
        <f t="shared" si="267"/>
        <v>0</v>
      </c>
    </row>
    <row r="400" spans="1:72">
      <c r="A400" s="3263"/>
      <c r="B400" s="3264"/>
      <c r="C400" s="3264"/>
      <c r="D400" s="3271"/>
      <c r="E400" s="3265">
        <f t="shared" si="239"/>
        <v>0</v>
      </c>
      <c r="F400" s="3266"/>
      <c r="G400" s="3267">
        <f t="shared" si="240"/>
        <v>0</v>
      </c>
      <c r="H400" s="3268">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5">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1051">
        <f t="shared" si="243"/>
        <v>0</v>
      </c>
      <c r="AW400" s="1051">
        <f t="shared" si="244"/>
        <v>0</v>
      </c>
      <c r="AX400" s="1051">
        <f t="shared" si="245"/>
        <v>0</v>
      </c>
      <c r="AY400" s="3313">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20">
        <f t="shared" si="267"/>
        <v>0</v>
      </c>
    </row>
    <row r="401" spans="1:72">
      <c r="A401" s="3263"/>
      <c r="B401" s="3264"/>
      <c r="C401" s="3264"/>
      <c r="D401" s="3271"/>
      <c r="E401" s="3265">
        <f t="shared" si="239"/>
        <v>0</v>
      </c>
      <c r="F401" s="3266"/>
      <c r="G401" s="3267">
        <f t="shared" si="240"/>
        <v>0</v>
      </c>
      <c r="H401" s="3268">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5">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1051">
        <f t="shared" si="243"/>
        <v>0</v>
      </c>
      <c r="AW401" s="1051">
        <f t="shared" si="244"/>
        <v>0</v>
      </c>
      <c r="AX401" s="1051">
        <f t="shared" si="245"/>
        <v>0</v>
      </c>
      <c r="AY401" s="3313">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20">
        <f t="shared" si="267"/>
        <v>0</v>
      </c>
    </row>
    <row r="402" spans="1:72">
      <c r="A402" s="3263"/>
      <c r="B402" s="3264"/>
      <c r="C402" s="3264"/>
      <c r="D402" s="3271"/>
      <c r="E402" s="3265">
        <f t="shared" si="239"/>
        <v>0</v>
      </c>
      <c r="F402" s="3266"/>
      <c r="G402" s="3267">
        <f t="shared" si="240"/>
        <v>0</v>
      </c>
      <c r="H402" s="3268">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5">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1051">
        <f t="shared" si="243"/>
        <v>0</v>
      </c>
      <c r="AW402" s="1051">
        <f t="shared" si="244"/>
        <v>0</v>
      </c>
      <c r="AX402" s="1051">
        <f t="shared" si="245"/>
        <v>0</v>
      </c>
      <c r="AY402" s="3313">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20">
        <f t="shared" si="267"/>
        <v>0</v>
      </c>
    </row>
    <row r="403" spans="1:72">
      <c r="A403" s="3263"/>
      <c r="B403" s="3264"/>
      <c r="C403" s="3264"/>
      <c r="D403" s="3271"/>
      <c r="E403" s="3265">
        <f t="shared" si="239"/>
        <v>0</v>
      </c>
      <c r="F403" s="3266"/>
      <c r="G403" s="3267">
        <f t="shared" si="240"/>
        <v>0</v>
      </c>
      <c r="H403" s="3268">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5">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1051">
        <f t="shared" si="243"/>
        <v>0</v>
      </c>
      <c r="AW403" s="1051">
        <f t="shared" si="244"/>
        <v>0</v>
      </c>
      <c r="AX403" s="1051">
        <f t="shared" si="245"/>
        <v>0</v>
      </c>
      <c r="AY403" s="3313">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20">
        <f t="shared" si="267"/>
        <v>0</v>
      </c>
    </row>
    <row r="404" spans="1:72">
      <c r="A404" s="3263"/>
      <c r="B404" s="3264"/>
      <c r="C404" s="3264"/>
      <c r="D404" s="3271"/>
      <c r="E404" s="3265">
        <f t="shared" si="239"/>
        <v>0</v>
      </c>
      <c r="F404" s="3266"/>
      <c r="G404" s="3267">
        <f t="shared" si="240"/>
        <v>0</v>
      </c>
      <c r="H404" s="3268">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5">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1051">
        <f t="shared" si="243"/>
        <v>0</v>
      </c>
      <c r="AW404" s="1051">
        <f t="shared" si="244"/>
        <v>0</v>
      </c>
      <c r="AX404" s="1051">
        <f t="shared" si="245"/>
        <v>0</v>
      </c>
      <c r="AY404" s="3313">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20">
        <f t="shared" si="267"/>
        <v>0</v>
      </c>
    </row>
    <row r="405" spans="1:72">
      <c r="A405" s="3263"/>
      <c r="B405" s="3264"/>
      <c r="C405" s="3264"/>
      <c r="D405" s="3271"/>
      <c r="E405" s="3265">
        <f t="shared" si="239"/>
        <v>0</v>
      </c>
      <c r="F405" s="3266"/>
      <c r="G405" s="3267">
        <f t="shared" si="240"/>
        <v>0</v>
      </c>
      <c r="H405" s="3268">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5">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1051">
        <f t="shared" si="243"/>
        <v>0</v>
      </c>
      <c r="AW405" s="1051">
        <f t="shared" si="244"/>
        <v>0</v>
      </c>
      <c r="AX405" s="1051">
        <f t="shared" si="245"/>
        <v>0</v>
      </c>
      <c r="AY405" s="3313">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20">
        <f t="shared" si="267"/>
        <v>0</v>
      </c>
    </row>
    <row r="406" spans="1:72">
      <c r="A406" s="3263"/>
      <c r="B406" s="3264"/>
      <c r="C406" s="3264"/>
      <c r="D406" s="3271"/>
      <c r="E406" s="3265">
        <f t="shared" si="239"/>
        <v>0</v>
      </c>
      <c r="F406" s="3266"/>
      <c r="G406" s="3267">
        <f t="shared" si="240"/>
        <v>0</v>
      </c>
      <c r="H406" s="3268">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5">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1051">
        <f t="shared" si="243"/>
        <v>0</v>
      </c>
      <c r="AW406" s="1051">
        <f t="shared" si="244"/>
        <v>0</v>
      </c>
      <c r="AX406" s="1051">
        <f t="shared" si="245"/>
        <v>0</v>
      </c>
      <c r="AY406" s="3313">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20">
        <f t="shared" si="267"/>
        <v>0</v>
      </c>
    </row>
    <row r="407" spans="1:72">
      <c r="A407" s="3263"/>
      <c r="B407" s="3264"/>
      <c r="C407" s="3264"/>
      <c r="D407" s="3271"/>
      <c r="E407" s="3265">
        <f t="shared" si="239"/>
        <v>0</v>
      </c>
      <c r="F407" s="3266"/>
      <c r="G407" s="3267">
        <f t="shared" si="240"/>
        <v>0</v>
      </c>
      <c r="H407" s="3268">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5">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1051">
        <f t="shared" si="243"/>
        <v>0</v>
      </c>
      <c r="AW407" s="1051">
        <f t="shared" si="244"/>
        <v>0</v>
      </c>
      <c r="AX407" s="1051">
        <f t="shared" si="245"/>
        <v>0</v>
      </c>
      <c r="AY407" s="3313">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20">
        <f t="shared" si="267"/>
        <v>0</v>
      </c>
    </row>
    <row r="408" spans="1:72">
      <c r="A408" s="3263"/>
      <c r="B408" s="3264"/>
      <c r="C408" s="3264"/>
      <c r="D408" s="3271"/>
      <c r="E408" s="3265">
        <f t="shared" si="239"/>
        <v>0</v>
      </c>
      <c r="F408" s="3266"/>
      <c r="G408" s="3267">
        <f t="shared" si="240"/>
        <v>0</v>
      </c>
      <c r="H408" s="3268">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5">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1051">
        <f t="shared" si="243"/>
        <v>0</v>
      </c>
      <c r="AW408" s="1051">
        <f t="shared" si="244"/>
        <v>0</v>
      </c>
      <c r="AX408" s="1051">
        <f t="shared" si="245"/>
        <v>0</v>
      </c>
      <c r="AY408" s="3313">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20">
        <f t="shared" si="267"/>
        <v>0</v>
      </c>
    </row>
    <row r="409" spans="1:72">
      <c r="A409" s="3263"/>
      <c r="B409" s="3264"/>
      <c r="C409" s="3264"/>
      <c r="D409" s="3271"/>
      <c r="E409" s="3265">
        <f t="shared" si="239"/>
        <v>0</v>
      </c>
      <c r="F409" s="3266"/>
      <c r="G409" s="3267">
        <f t="shared" si="240"/>
        <v>0</v>
      </c>
      <c r="H409" s="3268">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5">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1051">
        <f t="shared" si="243"/>
        <v>0</v>
      </c>
      <c r="AW409" s="1051">
        <f t="shared" si="244"/>
        <v>0</v>
      </c>
      <c r="AX409" s="1051">
        <f t="shared" si="245"/>
        <v>0</v>
      </c>
      <c r="AY409" s="3313">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20">
        <f t="shared" si="267"/>
        <v>0</v>
      </c>
    </row>
    <row r="410" spans="1:72">
      <c r="A410" s="3263"/>
      <c r="B410" s="3264"/>
      <c r="C410" s="3264"/>
      <c r="D410" s="3271"/>
      <c r="E410" s="3265">
        <f t="shared" si="239"/>
        <v>0</v>
      </c>
      <c r="F410" s="3266"/>
      <c r="G410" s="3267">
        <f t="shared" si="240"/>
        <v>0</v>
      </c>
      <c r="H410" s="3268">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5">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1051">
        <f t="shared" si="243"/>
        <v>0</v>
      </c>
      <c r="AW410" s="1051">
        <f t="shared" si="244"/>
        <v>0</v>
      </c>
      <c r="AX410" s="1051">
        <f t="shared" si="245"/>
        <v>0</v>
      </c>
      <c r="AY410" s="3313">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20">
        <f t="shared" si="267"/>
        <v>0</v>
      </c>
    </row>
    <row r="411" spans="1:72">
      <c r="A411" s="3263"/>
      <c r="B411" s="3264"/>
      <c r="C411" s="3264"/>
      <c r="D411" s="3271"/>
      <c r="E411" s="3265">
        <f t="shared" si="239"/>
        <v>0</v>
      </c>
      <c r="F411" s="3266"/>
      <c r="G411" s="3267">
        <f t="shared" si="240"/>
        <v>0</v>
      </c>
      <c r="H411" s="3268">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5">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1051">
        <f t="shared" si="243"/>
        <v>0</v>
      </c>
      <c r="AW411" s="1051">
        <f t="shared" si="244"/>
        <v>0</v>
      </c>
      <c r="AX411" s="1051">
        <f t="shared" si="245"/>
        <v>0</v>
      </c>
      <c r="AY411" s="3313">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20">
        <f t="shared" si="267"/>
        <v>0</v>
      </c>
    </row>
    <row r="412" spans="1:72">
      <c r="A412" s="3263"/>
      <c r="B412" s="3264"/>
      <c r="C412" s="3264"/>
      <c r="D412" s="3271"/>
      <c r="E412" s="3265">
        <f t="shared" si="239"/>
        <v>0</v>
      </c>
      <c r="F412" s="3266"/>
      <c r="G412" s="3267">
        <f t="shared" si="240"/>
        <v>0</v>
      </c>
      <c r="H412" s="3268">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5">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1051">
        <f t="shared" si="243"/>
        <v>0</v>
      </c>
      <c r="AW412" s="1051">
        <f t="shared" si="244"/>
        <v>0</v>
      </c>
      <c r="AX412" s="1051">
        <f t="shared" si="245"/>
        <v>0</v>
      </c>
      <c r="AY412" s="3313">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20">
        <f t="shared" si="267"/>
        <v>0</v>
      </c>
    </row>
    <row r="413" spans="1:72">
      <c r="A413" s="3263"/>
      <c r="B413" s="3264"/>
      <c r="C413" s="3264"/>
      <c r="D413" s="3271"/>
      <c r="E413" s="3265">
        <f t="shared" si="239"/>
        <v>0</v>
      </c>
      <c r="F413" s="3266"/>
      <c r="G413" s="3267">
        <f t="shared" si="240"/>
        <v>0</v>
      </c>
      <c r="H413" s="3268">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5">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1051">
        <f t="shared" si="243"/>
        <v>0</v>
      </c>
      <c r="AW413" s="1051">
        <f t="shared" si="244"/>
        <v>0</v>
      </c>
      <c r="AX413" s="1051">
        <f t="shared" si="245"/>
        <v>0</v>
      </c>
      <c r="AY413" s="3313">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20">
        <f t="shared" si="267"/>
        <v>0</v>
      </c>
    </row>
    <row r="414" spans="1:72">
      <c r="A414" s="3263"/>
      <c r="B414" s="3264"/>
      <c r="C414" s="3264"/>
      <c r="D414" s="3271"/>
      <c r="E414" s="3265">
        <f t="shared" si="239"/>
        <v>0</v>
      </c>
      <c r="F414" s="3266"/>
      <c r="G414" s="3267">
        <f t="shared" si="240"/>
        <v>0</v>
      </c>
      <c r="H414" s="3268">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5">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1051">
        <f t="shared" si="243"/>
        <v>0</v>
      </c>
      <c r="AW414" s="1051">
        <f t="shared" si="244"/>
        <v>0</v>
      </c>
      <c r="AX414" s="1051">
        <f t="shared" si="245"/>
        <v>0</v>
      </c>
      <c r="AY414" s="3313">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20">
        <f t="shared" si="267"/>
        <v>0</v>
      </c>
    </row>
    <row r="415" spans="1:72">
      <c r="A415" s="3263"/>
      <c r="B415" s="3264"/>
      <c r="C415" s="3264"/>
      <c r="D415" s="3271"/>
      <c r="E415" s="3265">
        <f t="shared" si="239"/>
        <v>0</v>
      </c>
      <c r="F415" s="3266"/>
      <c r="G415" s="3267">
        <f t="shared" si="240"/>
        <v>0</v>
      </c>
      <c r="H415" s="3268">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5">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1051">
        <f t="shared" si="243"/>
        <v>0</v>
      </c>
      <c r="AW415" s="1051">
        <f t="shared" si="244"/>
        <v>0</v>
      </c>
      <c r="AX415" s="1051">
        <f t="shared" si="245"/>
        <v>0</v>
      </c>
      <c r="AY415" s="3313">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20">
        <f t="shared" si="267"/>
        <v>0</v>
      </c>
    </row>
    <row r="416" spans="1:72">
      <c r="A416" s="3263"/>
      <c r="B416" s="3264"/>
      <c r="C416" s="3264"/>
      <c r="D416" s="3271"/>
      <c r="E416" s="3265">
        <f t="shared" si="239"/>
        <v>0</v>
      </c>
      <c r="F416" s="3266"/>
      <c r="G416" s="3267">
        <f t="shared" si="240"/>
        <v>0</v>
      </c>
      <c r="H416" s="3268">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5">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1051">
        <f t="shared" si="243"/>
        <v>0</v>
      </c>
      <c r="AW416" s="1051">
        <f t="shared" si="244"/>
        <v>0</v>
      </c>
      <c r="AX416" s="1051">
        <f t="shared" si="245"/>
        <v>0</v>
      </c>
      <c r="AY416" s="3313">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20">
        <f t="shared" si="267"/>
        <v>0</v>
      </c>
    </row>
    <row r="417" spans="1:72">
      <c r="A417" s="3263"/>
      <c r="B417" s="3264"/>
      <c r="C417" s="3264"/>
      <c r="D417" s="3271"/>
      <c r="E417" s="3265">
        <f t="shared" si="239"/>
        <v>0</v>
      </c>
      <c r="F417" s="3266"/>
      <c r="G417" s="3267">
        <f t="shared" si="240"/>
        <v>0</v>
      </c>
      <c r="H417" s="3268">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5">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1051">
        <f t="shared" si="243"/>
        <v>0</v>
      </c>
      <c r="AW417" s="1051">
        <f t="shared" si="244"/>
        <v>0</v>
      </c>
      <c r="AX417" s="1051">
        <f t="shared" si="245"/>
        <v>0</v>
      </c>
      <c r="AY417" s="3313">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20">
        <f t="shared" si="267"/>
        <v>0</v>
      </c>
    </row>
    <row r="418" spans="1:72">
      <c r="A418" s="3263"/>
      <c r="B418" s="3264"/>
      <c r="C418" s="3264"/>
      <c r="D418" s="3271"/>
      <c r="E418" s="3265">
        <f t="shared" si="239"/>
        <v>0</v>
      </c>
      <c r="F418" s="3266"/>
      <c r="G418" s="3267">
        <f t="shared" si="240"/>
        <v>0</v>
      </c>
      <c r="H418" s="3268">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5">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1051">
        <f t="shared" si="243"/>
        <v>0</v>
      </c>
      <c r="AW418" s="1051">
        <f t="shared" si="244"/>
        <v>0</v>
      </c>
      <c r="AX418" s="1051">
        <f t="shared" si="245"/>
        <v>0</v>
      </c>
      <c r="AY418" s="3313">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20">
        <f t="shared" si="267"/>
        <v>0</v>
      </c>
    </row>
    <row r="419" spans="1:72">
      <c r="A419" s="3263"/>
      <c r="B419" s="3264"/>
      <c r="C419" s="3264"/>
      <c r="D419" s="3271"/>
      <c r="E419" s="3265">
        <f t="shared" si="239"/>
        <v>0</v>
      </c>
      <c r="F419" s="3266"/>
      <c r="G419" s="3267">
        <f t="shared" si="240"/>
        <v>0</v>
      </c>
      <c r="H419" s="3268">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5">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1051">
        <f t="shared" si="243"/>
        <v>0</v>
      </c>
      <c r="AW419" s="1051">
        <f t="shared" si="244"/>
        <v>0</v>
      </c>
      <c r="AX419" s="1051">
        <f t="shared" si="245"/>
        <v>0</v>
      </c>
      <c r="AY419" s="3313">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20">
        <f t="shared" si="267"/>
        <v>0</v>
      </c>
    </row>
    <row r="420" spans="1:72">
      <c r="A420" s="3263"/>
      <c r="B420" s="3264"/>
      <c r="C420" s="3264"/>
      <c r="D420" s="3271"/>
      <c r="E420" s="3265">
        <f t="shared" si="239"/>
        <v>0</v>
      </c>
      <c r="F420" s="3266"/>
      <c r="G420" s="3267">
        <f t="shared" si="240"/>
        <v>0</v>
      </c>
      <c r="H420" s="3268">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5">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1051">
        <f t="shared" si="243"/>
        <v>0</v>
      </c>
      <c r="AW420" s="1051">
        <f t="shared" si="244"/>
        <v>0</v>
      </c>
      <c r="AX420" s="1051">
        <f t="shared" si="245"/>
        <v>0</v>
      </c>
      <c r="AY420" s="3313">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20">
        <f t="shared" si="267"/>
        <v>0</v>
      </c>
    </row>
    <row r="421" spans="1:72">
      <c r="A421" s="3263"/>
      <c r="B421" s="3264"/>
      <c r="C421" s="3264"/>
      <c r="D421" s="3271"/>
      <c r="E421" s="3265">
        <f t="shared" si="239"/>
        <v>0</v>
      </c>
      <c r="F421" s="3266"/>
      <c r="G421" s="3267">
        <f t="shared" si="240"/>
        <v>0</v>
      </c>
      <c r="H421" s="3268">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5">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1051">
        <f t="shared" si="243"/>
        <v>0</v>
      </c>
      <c r="AW421" s="1051">
        <f t="shared" si="244"/>
        <v>0</v>
      </c>
      <c r="AX421" s="1051">
        <f t="shared" si="245"/>
        <v>0</v>
      </c>
      <c r="AY421" s="3313">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20">
        <f t="shared" si="267"/>
        <v>0</v>
      </c>
    </row>
    <row r="422" spans="1:72">
      <c r="A422" s="3263"/>
      <c r="B422" s="3264"/>
      <c r="C422" s="3264"/>
      <c r="D422" s="3271"/>
      <c r="E422" s="3265">
        <f t="shared" si="239"/>
        <v>0</v>
      </c>
      <c r="F422" s="3266"/>
      <c r="G422" s="3267">
        <f t="shared" si="240"/>
        <v>0</v>
      </c>
      <c r="H422" s="3268">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5">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1051">
        <f t="shared" si="243"/>
        <v>0</v>
      </c>
      <c r="AW422" s="1051">
        <f t="shared" si="244"/>
        <v>0</v>
      </c>
      <c r="AX422" s="1051">
        <f t="shared" si="245"/>
        <v>0</v>
      </c>
      <c r="AY422" s="3313">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20">
        <f t="shared" si="267"/>
        <v>0</v>
      </c>
    </row>
    <row r="423" spans="1:72">
      <c r="A423" s="3263"/>
      <c r="B423" s="3264"/>
      <c r="C423" s="3264"/>
      <c r="D423" s="3271"/>
      <c r="E423" s="3265">
        <f t="shared" si="239"/>
        <v>0</v>
      </c>
      <c r="F423" s="3266"/>
      <c r="G423" s="3267">
        <f t="shared" si="240"/>
        <v>0</v>
      </c>
      <c r="H423" s="3268">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5">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1051">
        <f t="shared" si="243"/>
        <v>0</v>
      </c>
      <c r="AW423" s="1051">
        <f t="shared" si="244"/>
        <v>0</v>
      </c>
      <c r="AX423" s="1051">
        <f t="shared" si="245"/>
        <v>0</v>
      </c>
      <c r="AY423" s="3313">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20">
        <f t="shared" si="267"/>
        <v>0</v>
      </c>
    </row>
    <row r="424" spans="1:72">
      <c r="A424" s="3263"/>
      <c r="B424" s="3264"/>
      <c r="C424" s="3264"/>
      <c r="D424" s="3271"/>
      <c r="E424" s="3265">
        <f t="shared" si="239"/>
        <v>0</v>
      </c>
      <c r="F424" s="3266"/>
      <c r="G424" s="3267">
        <f t="shared" si="240"/>
        <v>0</v>
      </c>
      <c r="H424" s="3268">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5">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1051">
        <f t="shared" si="243"/>
        <v>0</v>
      </c>
      <c r="AW424" s="1051">
        <f t="shared" si="244"/>
        <v>0</v>
      </c>
      <c r="AX424" s="1051">
        <f t="shared" si="245"/>
        <v>0</v>
      </c>
      <c r="AY424" s="3313">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20">
        <f t="shared" si="267"/>
        <v>0</v>
      </c>
    </row>
    <row r="425" spans="1:72">
      <c r="A425" s="3263"/>
      <c r="B425" s="3264"/>
      <c r="C425" s="3264"/>
      <c r="D425" s="3271"/>
      <c r="E425" s="3265">
        <f t="shared" si="239"/>
        <v>0</v>
      </c>
      <c r="F425" s="3266"/>
      <c r="G425" s="3267">
        <f t="shared" si="240"/>
        <v>0</v>
      </c>
      <c r="H425" s="3268">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5">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1051">
        <f t="shared" si="243"/>
        <v>0</v>
      </c>
      <c r="AW425" s="1051">
        <f t="shared" si="244"/>
        <v>0</v>
      </c>
      <c r="AX425" s="1051">
        <f t="shared" si="245"/>
        <v>0</v>
      </c>
      <c r="AY425" s="3313">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20">
        <f t="shared" si="267"/>
        <v>0</v>
      </c>
    </row>
    <row r="426" spans="1:72">
      <c r="A426" s="3263"/>
      <c r="B426" s="3264"/>
      <c r="C426" s="3264"/>
      <c r="D426" s="3271"/>
      <c r="E426" s="3265">
        <f t="shared" si="239"/>
        <v>0</v>
      </c>
      <c r="F426" s="3266"/>
      <c r="G426" s="3267">
        <f t="shared" si="240"/>
        <v>0</v>
      </c>
      <c r="H426" s="3268">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5">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1051">
        <f t="shared" si="243"/>
        <v>0</v>
      </c>
      <c r="AW426" s="1051">
        <f t="shared" si="244"/>
        <v>0</v>
      </c>
      <c r="AX426" s="1051">
        <f t="shared" si="245"/>
        <v>0</v>
      </c>
      <c r="AY426" s="3313">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20">
        <f t="shared" si="267"/>
        <v>0</v>
      </c>
    </row>
    <row r="427" spans="1:72">
      <c r="A427" s="3263"/>
      <c r="B427" s="3264"/>
      <c r="C427" s="3264"/>
      <c r="D427" s="3271"/>
      <c r="E427" s="3265">
        <f t="shared" si="239"/>
        <v>0</v>
      </c>
      <c r="F427" s="3266"/>
      <c r="G427" s="3267">
        <f t="shared" si="240"/>
        <v>0</v>
      </c>
      <c r="H427" s="3268">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5">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1051">
        <f t="shared" si="243"/>
        <v>0</v>
      </c>
      <c r="AW427" s="1051">
        <f t="shared" si="244"/>
        <v>0</v>
      </c>
      <c r="AX427" s="1051">
        <f t="shared" si="245"/>
        <v>0</v>
      </c>
      <c r="AY427" s="3313">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20">
        <f t="shared" si="267"/>
        <v>0</v>
      </c>
    </row>
    <row r="428" spans="1:72">
      <c r="A428" s="3263"/>
      <c r="B428" s="3264"/>
      <c r="C428" s="3264"/>
      <c r="D428" s="3271"/>
      <c r="E428" s="3265">
        <f t="shared" si="239"/>
        <v>0</v>
      </c>
      <c r="F428" s="3266"/>
      <c r="G428" s="3267">
        <f t="shared" si="240"/>
        <v>0</v>
      </c>
      <c r="H428" s="3268">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5">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1051">
        <f t="shared" si="243"/>
        <v>0</v>
      </c>
      <c r="AW428" s="1051">
        <f t="shared" si="244"/>
        <v>0</v>
      </c>
      <c r="AX428" s="1051">
        <f t="shared" si="245"/>
        <v>0</v>
      </c>
      <c r="AY428" s="3313">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20">
        <f t="shared" si="267"/>
        <v>0</v>
      </c>
    </row>
    <row r="429" spans="1:72">
      <c r="A429" s="3263"/>
      <c r="B429" s="3264"/>
      <c r="C429" s="3264"/>
      <c r="D429" s="3271"/>
      <c r="E429" s="3265">
        <f t="shared" si="239"/>
        <v>0</v>
      </c>
      <c r="F429" s="3266"/>
      <c r="G429" s="3267">
        <f t="shared" si="240"/>
        <v>0</v>
      </c>
      <c r="H429" s="3268">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5">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1051">
        <f t="shared" si="243"/>
        <v>0</v>
      </c>
      <c r="AW429" s="1051">
        <f t="shared" si="244"/>
        <v>0</v>
      </c>
      <c r="AX429" s="1051">
        <f t="shared" si="245"/>
        <v>0</v>
      </c>
      <c r="AY429" s="3313">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20">
        <f t="shared" si="267"/>
        <v>0</v>
      </c>
    </row>
    <row r="430" spans="1:72">
      <c r="A430" s="3263"/>
      <c r="B430" s="3264"/>
      <c r="C430" s="3264"/>
      <c r="D430" s="3271"/>
      <c r="E430" s="3265">
        <f t="shared" si="239"/>
        <v>0</v>
      </c>
      <c r="F430" s="3266"/>
      <c r="G430" s="3267">
        <f t="shared" si="240"/>
        <v>0</v>
      </c>
      <c r="H430" s="3268">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5">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1051">
        <f t="shared" si="243"/>
        <v>0</v>
      </c>
      <c r="AW430" s="1051">
        <f t="shared" si="244"/>
        <v>0</v>
      </c>
      <c r="AX430" s="1051">
        <f t="shared" si="245"/>
        <v>0</v>
      </c>
      <c r="AY430" s="3313">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20">
        <f t="shared" si="267"/>
        <v>0</v>
      </c>
    </row>
    <row r="431" spans="1:72">
      <c r="A431" s="3263"/>
      <c r="B431" s="3264"/>
      <c r="C431" s="3264"/>
      <c r="D431" s="3271"/>
      <c r="E431" s="3265">
        <f t="shared" si="239"/>
        <v>0</v>
      </c>
      <c r="F431" s="3266"/>
      <c r="G431" s="3267">
        <f t="shared" si="240"/>
        <v>0</v>
      </c>
      <c r="H431" s="3268">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5">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1051">
        <f t="shared" si="243"/>
        <v>0</v>
      </c>
      <c r="AW431" s="1051">
        <f t="shared" si="244"/>
        <v>0</v>
      </c>
      <c r="AX431" s="1051">
        <f t="shared" si="245"/>
        <v>0</v>
      </c>
      <c r="AY431" s="3313">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20">
        <f t="shared" si="267"/>
        <v>0</v>
      </c>
    </row>
    <row r="432" spans="1:72">
      <c r="A432" s="3263"/>
      <c r="B432" s="3264"/>
      <c r="C432" s="3264"/>
      <c r="D432" s="3271"/>
      <c r="E432" s="3265">
        <f t="shared" si="239"/>
        <v>0</v>
      </c>
      <c r="F432" s="3266"/>
      <c r="G432" s="3267">
        <f t="shared" si="240"/>
        <v>0</v>
      </c>
      <c r="H432" s="3268">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5">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1051">
        <f t="shared" si="243"/>
        <v>0</v>
      </c>
      <c r="AW432" s="1051">
        <f t="shared" si="244"/>
        <v>0</v>
      </c>
      <c r="AX432" s="1051">
        <f t="shared" si="245"/>
        <v>0</v>
      </c>
      <c r="AY432" s="3313">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20">
        <f t="shared" si="267"/>
        <v>0</v>
      </c>
    </row>
    <row r="433" spans="1:72">
      <c r="A433" s="3263"/>
      <c r="B433" s="3264"/>
      <c r="C433" s="3264"/>
      <c r="D433" s="3271"/>
      <c r="E433" s="3265">
        <f t="shared" si="239"/>
        <v>0</v>
      </c>
      <c r="F433" s="3266"/>
      <c r="G433" s="3267">
        <f t="shared" si="240"/>
        <v>0</v>
      </c>
      <c r="H433" s="3268">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5">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1051">
        <f t="shared" si="243"/>
        <v>0</v>
      </c>
      <c r="AW433" s="1051">
        <f t="shared" si="244"/>
        <v>0</v>
      </c>
      <c r="AX433" s="1051">
        <f t="shared" si="245"/>
        <v>0</v>
      </c>
      <c r="AY433" s="3313">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20">
        <f t="shared" si="267"/>
        <v>0</v>
      </c>
    </row>
    <row r="434" spans="1:72">
      <c r="A434" s="3263"/>
      <c r="B434" s="3264"/>
      <c r="C434" s="3264"/>
      <c r="D434" s="3271"/>
      <c r="E434" s="3265">
        <f t="shared" si="239"/>
        <v>0</v>
      </c>
      <c r="F434" s="3266"/>
      <c r="G434" s="3267">
        <f t="shared" si="240"/>
        <v>0</v>
      </c>
      <c r="H434" s="3268">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5">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1051">
        <f t="shared" si="243"/>
        <v>0</v>
      </c>
      <c r="AW434" s="1051">
        <f t="shared" si="244"/>
        <v>0</v>
      </c>
      <c r="AX434" s="1051">
        <f t="shared" si="245"/>
        <v>0</v>
      </c>
      <c r="AY434" s="3313">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20">
        <f t="shared" si="267"/>
        <v>0</v>
      </c>
    </row>
    <row r="435" spans="1:72">
      <c r="A435" s="3263"/>
      <c r="B435" s="3264"/>
      <c r="C435" s="3264"/>
      <c r="D435" s="3271"/>
      <c r="E435" s="3265">
        <f t="shared" si="239"/>
        <v>0</v>
      </c>
      <c r="F435" s="3266"/>
      <c r="G435" s="3267">
        <f t="shared" si="240"/>
        <v>0</v>
      </c>
      <c r="H435" s="3268">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5">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1051">
        <f t="shared" si="243"/>
        <v>0</v>
      </c>
      <c r="AW435" s="1051">
        <f t="shared" si="244"/>
        <v>0</v>
      </c>
      <c r="AX435" s="1051">
        <f t="shared" si="245"/>
        <v>0</v>
      </c>
      <c r="AY435" s="3313">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20">
        <f t="shared" si="267"/>
        <v>0</v>
      </c>
    </row>
    <row r="436" spans="1:72">
      <c r="A436" s="3263"/>
      <c r="B436" s="3264"/>
      <c r="C436" s="3264"/>
      <c r="D436" s="3271"/>
      <c r="E436" s="3265">
        <f t="shared" si="239"/>
        <v>0</v>
      </c>
      <c r="F436" s="3266"/>
      <c r="G436" s="3267">
        <f t="shared" si="240"/>
        <v>0</v>
      </c>
      <c r="H436" s="3268">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5">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1051">
        <f t="shared" si="243"/>
        <v>0</v>
      </c>
      <c r="AW436" s="1051">
        <f t="shared" si="244"/>
        <v>0</v>
      </c>
      <c r="AX436" s="1051">
        <f t="shared" si="245"/>
        <v>0</v>
      </c>
      <c r="AY436" s="3313">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20">
        <f t="shared" si="267"/>
        <v>0</v>
      </c>
    </row>
    <row r="437" spans="1:72">
      <c r="A437" s="3263"/>
      <c r="B437" s="3264"/>
      <c r="C437" s="3264"/>
      <c r="D437" s="3271"/>
      <c r="E437" s="3265">
        <f t="shared" si="239"/>
        <v>0</v>
      </c>
      <c r="F437" s="3266"/>
      <c r="G437" s="3267">
        <f t="shared" si="240"/>
        <v>0</v>
      </c>
      <c r="H437" s="3268">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5">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1051">
        <f t="shared" si="243"/>
        <v>0</v>
      </c>
      <c r="AW437" s="1051">
        <f t="shared" si="244"/>
        <v>0</v>
      </c>
      <c r="AX437" s="1051">
        <f t="shared" si="245"/>
        <v>0</v>
      </c>
      <c r="AY437" s="3313">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20">
        <f t="shared" si="267"/>
        <v>0</v>
      </c>
    </row>
    <row r="438" spans="1:72">
      <c r="A438" s="3263"/>
      <c r="B438" s="3264"/>
      <c r="C438" s="3264"/>
      <c r="D438" s="3271"/>
      <c r="E438" s="3265">
        <f t="shared" si="239"/>
        <v>0</v>
      </c>
      <c r="F438" s="3266"/>
      <c r="G438" s="3267">
        <f t="shared" si="240"/>
        <v>0</v>
      </c>
      <c r="H438" s="3268">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5">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1051">
        <f t="shared" si="243"/>
        <v>0</v>
      </c>
      <c r="AW438" s="1051">
        <f t="shared" si="244"/>
        <v>0</v>
      </c>
      <c r="AX438" s="1051">
        <f t="shared" si="245"/>
        <v>0</v>
      </c>
      <c r="AY438" s="3313">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20">
        <f t="shared" si="267"/>
        <v>0</v>
      </c>
    </row>
    <row r="439" spans="1:72">
      <c r="A439" s="3263"/>
      <c r="B439" s="3264"/>
      <c r="C439" s="3264"/>
      <c r="D439" s="3271"/>
      <c r="E439" s="3265">
        <f t="shared" si="239"/>
        <v>0</v>
      </c>
      <c r="F439" s="3266"/>
      <c r="G439" s="3267">
        <f t="shared" si="240"/>
        <v>0</v>
      </c>
      <c r="H439" s="3268">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5">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1051">
        <f t="shared" si="243"/>
        <v>0</v>
      </c>
      <c r="AW439" s="1051">
        <f t="shared" si="244"/>
        <v>0</v>
      </c>
      <c r="AX439" s="1051">
        <f t="shared" si="245"/>
        <v>0</v>
      </c>
      <c r="AY439" s="3313">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20">
        <f t="shared" si="267"/>
        <v>0</v>
      </c>
    </row>
    <row r="440" spans="1:72">
      <c r="A440" s="3263"/>
      <c r="B440" s="3264"/>
      <c r="C440" s="3264"/>
      <c r="D440" s="3271"/>
      <c r="E440" s="3265">
        <f t="shared" si="239"/>
        <v>0</v>
      </c>
      <c r="F440" s="3266"/>
      <c r="G440" s="3267">
        <f t="shared" si="240"/>
        <v>0</v>
      </c>
      <c r="H440" s="3268">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5">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1051">
        <f t="shared" si="243"/>
        <v>0</v>
      </c>
      <c r="AW440" s="1051">
        <f t="shared" si="244"/>
        <v>0</v>
      </c>
      <c r="AX440" s="1051">
        <f t="shared" si="245"/>
        <v>0</v>
      </c>
      <c r="AY440" s="3313">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20">
        <f t="shared" si="267"/>
        <v>0</v>
      </c>
    </row>
    <row r="441" spans="1:72">
      <c r="A441" s="3263"/>
      <c r="B441" s="3264"/>
      <c r="C441" s="3264"/>
      <c r="D441" s="3271"/>
      <c r="E441" s="3265">
        <f t="shared" si="239"/>
        <v>0</v>
      </c>
      <c r="F441" s="3266"/>
      <c r="G441" s="3267">
        <f t="shared" si="240"/>
        <v>0</v>
      </c>
      <c r="H441" s="3268">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5">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1051">
        <f t="shared" si="243"/>
        <v>0</v>
      </c>
      <c r="AW441" s="1051">
        <f t="shared" si="244"/>
        <v>0</v>
      </c>
      <c r="AX441" s="1051">
        <f t="shared" si="245"/>
        <v>0</v>
      </c>
      <c r="AY441" s="3313">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20">
        <f t="shared" si="267"/>
        <v>0</v>
      </c>
    </row>
    <row r="442" spans="1:72">
      <c r="A442" s="3263"/>
      <c r="B442" s="3264"/>
      <c r="C442" s="3264"/>
      <c r="D442" s="3271"/>
      <c r="E442" s="3265">
        <f t="shared" si="239"/>
        <v>0</v>
      </c>
      <c r="F442" s="3266"/>
      <c r="G442" s="3267">
        <f t="shared" si="240"/>
        <v>0</v>
      </c>
      <c r="H442" s="3268">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5">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1051">
        <f t="shared" si="243"/>
        <v>0</v>
      </c>
      <c r="AW442" s="1051">
        <f t="shared" si="244"/>
        <v>0</v>
      </c>
      <c r="AX442" s="1051">
        <f t="shared" si="245"/>
        <v>0</v>
      </c>
      <c r="AY442" s="3313">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20">
        <f t="shared" si="267"/>
        <v>0</v>
      </c>
    </row>
    <row r="443" spans="1:72">
      <c r="A443" s="3263"/>
      <c r="B443" s="3264"/>
      <c r="C443" s="3264"/>
      <c r="D443" s="3271"/>
      <c r="E443" s="3265">
        <f t="shared" si="239"/>
        <v>0</v>
      </c>
      <c r="F443" s="3266"/>
      <c r="G443" s="3267">
        <f t="shared" si="240"/>
        <v>0</v>
      </c>
      <c r="H443" s="3268">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5">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1051">
        <f t="shared" si="243"/>
        <v>0</v>
      </c>
      <c r="AW443" s="1051">
        <f t="shared" si="244"/>
        <v>0</v>
      </c>
      <c r="AX443" s="1051">
        <f t="shared" si="245"/>
        <v>0</v>
      </c>
      <c r="AY443" s="3313">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20">
        <f t="shared" si="267"/>
        <v>0</v>
      </c>
    </row>
    <row r="444" spans="1:72">
      <c r="A444" s="3263"/>
      <c r="B444" s="3264"/>
      <c r="C444" s="3264"/>
      <c r="D444" s="3271"/>
      <c r="E444" s="3265">
        <f t="shared" si="239"/>
        <v>0</v>
      </c>
      <c r="F444" s="3266"/>
      <c r="G444" s="3267">
        <f t="shared" si="240"/>
        <v>0</v>
      </c>
      <c r="H444" s="3268">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5">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1051">
        <f t="shared" si="243"/>
        <v>0</v>
      </c>
      <c r="AW444" s="1051">
        <f t="shared" si="244"/>
        <v>0</v>
      </c>
      <c r="AX444" s="1051">
        <f t="shared" si="245"/>
        <v>0</v>
      </c>
      <c r="AY444" s="3313">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20">
        <f t="shared" si="267"/>
        <v>0</v>
      </c>
    </row>
    <row r="445" spans="1:72">
      <c r="A445" s="3263"/>
      <c r="B445" s="3264"/>
      <c r="C445" s="3264"/>
      <c r="D445" s="3271"/>
      <c r="E445" s="3265">
        <f t="shared" si="239"/>
        <v>0</v>
      </c>
      <c r="F445" s="3266"/>
      <c r="G445" s="3267">
        <f t="shared" si="240"/>
        <v>0</v>
      </c>
      <c r="H445" s="3268">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5">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1051">
        <f t="shared" si="243"/>
        <v>0</v>
      </c>
      <c r="AW445" s="1051">
        <f t="shared" si="244"/>
        <v>0</v>
      </c>
      <c r="AX445" s="1051">
        <f t="shared" si="245"/>
        <v>0</v>
      </c>
      <c r="AY445" s="3313">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20">
        <f t="shared" si="267"/>
        <v>0</v>
      </c>
    </row>
    <row r="446" spans="1:72">
      <c r="A446" s="3263"/>
      <c r="B446" s="3264"/>
      <c r="C446" s="3264"/>
      <c r="D446" s="3271"/>
      <c r="E446" s="3265">
        <f t="shared" si="239"/>
        <v>0</v>
      </c>
      <c r="F446" s="3266"/>
      <c r="G446" s="3267">
        <f t="shared" si="240"/>
        <v>0</v>
      </c>
      <c r="H446" s="3268">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5">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1051">
        <f t="shared" si="243"/>
        <v>0</v>
      </c>
      <c r="AW446" s="1051">
        <f t="shared" si="244"/>
        <v>0</v>
      </c>
      <c r="AX446" s="1051">
        <f t="shared" si="245"/>
        <v>0</v>
      </c>
      <c r="AY446" s="3313">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20">
        <f t="shared" si="267"/>
        <v>0</v>
      </c>
    </row>
    <row r="447" spans="1:72">
      <c r="A447" s="3263"/>
      <c r="B447" s="3264"/>
      <c r="C447" s="3264"/>
      <c r="D447" s="3271"/>
      <c r="E447" s="3265">
        <f t="shared" si="239"/>
        <v>0</v>
      </c>
      <c r="F447" s="3266"/>
      <c r="G447" s="3267">
        <f t="shared" si="240"/>
        <v>0</v>
      </c>
      <c r="H447" s="3268">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5">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1051">
        <f t="shared" si="243"/>
        <v>0</v>
      </c>
      <c r="AW447" s="1051">
        <f t="shared" si="244"/>
        <v>0</v>
      </c>
      <c r="AX447" s="1051">
        <f t="shared" si="245"/>
        <v>0</v>
      </c>
      <c r="AY447" s="3313">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20">
        <f t="shared" si="267"/>
        <v>0</v>
      </c>
    </row>
    <row r="448" spans="1:72">
      <c r="A448" s="3263"/>
      <c r="B448" s="3264"/>
      <c r="C448" s="3264"/>
      <c r="D448" s="3271"/>
      <c r="E448" s="3265">
        <f t="shared" si="239"/>
        <v>0</v>
      </c>
      <c r="F448" s="3266"/>
      <c r="G448" s="3267">
        <f t="shared" si="240"/>
        <v>0</v>
      </c>
      <c r="H448" s="3268">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5">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1051">
        <f t="shared" si="243"/>
        <v>0</v>
      </c>
      <c r="AW448" s="1051">
        <f t="shared" si="244"/>
        <v>0</v>
      </c>
      <c r="AX448" s="1051">
        <f t="shared" si="245"/>
        <v>0</v>
      </c>
      <c r="AY448" s="3313">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20">
        <f t="shared" si="267"/>
        <v>0</v>
      </c>
    </row>
    <row r="449" spans="1:72">
      <c r="A449" s="3263"/>
      <c r="B449" s="3264"/>
      <c r="C449" s="3264"/>
      <c r="D449" s="3271"/>
      <c r="E449" s="3265">
        <f t="shared" si="239"/>
        <v>0</v>
      </c>
      <c r="F449" s="3266"/>
      <c r="G449" s="3267">
        <f t="shared" si="240"/>
        <v>0</v>
      </c>
      <c r="H449" s="3268">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5">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1051">
        <f t="shared" si="243"/>
        <v>0</v>
      </c>
      <c r="AW449" s="1051">
        <f t="shared" si="244"/>
        <v>0</v>
      </c>
      <c r="AX449" s="1051">
        <f t="shared" si="245"/>
        <v>0</v>
      </c>
      <c r="AY449" s="3313">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20">
        <f t="shared" si="267"/>
        <v>0</v>
      </c>
    </row>
    <row r="450" spans="1:72">
      <c r="A450" s="3263"/>
      <c r="B450" s="3264"/>
      <c r="C450" s="3264"/>
      <c r="D450" s="3271"/>
      <c r="E450" s="3265">
        <f t="shared" si="239"/>
        <v>0</v>
      </c>
      <c r="F450" s="3266"/>
      <c r="G450" s="3267">
        <f t="shared" si="240"/>
        <v>0</v>
      </c>
      <c r="H450" s="3268">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5">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1051">
        <f t="shared" si="243"/>
        <v>0</v>
      </c>
      <c r="AW450" s="1051">
        <f t="shared" si="244"/>
        <v>0</v>
      </c>
      <c r="AX450" s="1051">
        <f t="shared" si="245"/>
        <v>0</v>
      </c>
      <c r="AY450" s="3313">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20">
        <f t="shared" si="267"/>
        <v>0</v>
      </c>
    </row>
    <row r="451" spans="1:72">
      <c r="A451" s="3263"/>
      <c r="B451" s="3264"/>
      <c r="C451" s="3264"/>
      <c r="D451" s="3271"/>
      <c r="E451" s="3265">
        <f t="shared" si="239"/>
        <v>0</v>
      </c>
      <c r="F451" s="3266"/>
      <c r="G451" s="3267">
        <f t="shared" si="240"/>
        <v>0</v>
      </c>
      <c r="H451" s="3268">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5">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1051">
        <f t="shared" si="243"/>
        <v>0</v>
      </c>
      <c r="AW451" s="1051">
        <f t="shared" si="244"/>
        <v>0</v>
      </c>
      <c r="AX451" s="1051">
        <f t="shared" si="245"/>
        <v>0</v>
      </c>
      <c r="AY451" s="3313">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20">
        <f t="shared" si="267"/>
        <v>0</v>
      </c>
    </row>
    <row r="452" spans="1:72">
      <c r="A452" s="3263"/>
      <c r="B452" s="3264"/>
      <c r="C452" s="3264"/>
      <c r="D452" s="3271"/>
      <c r="E452" s="3265">
        <f t="shared" si="239"/>
        <v>0</v>
      </c>
      <c r="F452" s="3266"/>
      <c r="G452" s="3267">
        <f t="shared" si="240"/>
        <v>0</v>
      </c>
      <c r="H452" s="3268">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5">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1051">
        <f t="shared" si="243"/>
        <v>0</v>
      </c>
      <c r="AW452" s="1051">
        <f t="shared" si="244"/>
        <v>0</v>
      </c>
      <c r="AX452" s="1051">
        <f t="shared" si="245"/>
        <v>0</v>
      </c>
      <c r="AY452" s="3313">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20">
        <f t="shared" si="267"/>
        <v>0</v>
      </c>
    </row>
    <row r="453" spans="1:72">
      <c r="A453" s="3263"/>
      <c r="B453" s="3264"/>
      <c r="C453" s="3264"/>
      <c r="D453" s="3271"/>
      <c r="E453" s="3265">
        <f t="shared" si="239"/>
        <v>0</v>
      </c>
      <c r="F453" s="3266"/>
      <c r="G453" s="3267">
        <f t="shared" si="240"/>
        <v>0</v>
      </c>
      <c r="H453" s="3268">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5">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1051">
        <f t="shared" si="243"/>
        <v>0</v>
      </c>
      <c r="AW453" s="1051">
        <f t="shared" si="244"/>
        <v>0</v>
      </c>
      <c r="AX453" s="1051">
        <f t="shared" si="245"/>
        <v>0</v>
      </c>
      <c r="AY453" s="3313">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20">
        <f t="shared" si="267"/>
        <v>0</v>
      </c>
    </row>
    <row r="454" spans="1:72">
      <c r="A454" s="3263"/>
      <c r="B454" s="3264"/>
      <c r="C454" s="3264"/>
      <c r="D454" s="3271"/>
      <c r="E454" s="3265">
        <f t="shared" si="239"/>
        <v>0</v>
      </c>
      <c r="F454" s="3266"/>
      <c r="G454" s="3267">
        <f t="shared" si="240"/>
        <v>0</v>
      </c>
      <c r="H454" s="3268">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5">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1051">
        <f t="shared" si="243"/>
        <v>0</v>
      </c>
      <c r="AW454" s="1051">
        <f t="shared" si="244"/>
        <v>0</v>
      </c>
      <c r="AX454" s="1051">
        <f t="shared" si="245"/>
        <v>0</v>
      </c>
      <c r="AY454" s="3313">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20">
        <f t="shared" si="267"/>
        <v>0</v>
      </c>
    </row>
    <row r="455" spans="1:72">
      <c r="A455" s="3263"/>
      <c r="B455" s="3264"/>
      <c r="C455" s="3264"/>
      <c r="D455" s="3271"/>
      <c r="E455" s="3265">
        <f t="shared" si="239"/>
        <v>0</v>
      </c>
      <c r="F455" s="3266"/>
      <c r="G455" s="3267">
        <f t="shared" si="240"/>
        <v>0</v>
      </c>
      <c r="H455" s="3268">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5">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1051">
        <f t="shared" si="243"/>
        <v>0</v>
      </c>
      <c r="AW455" s="1051">
        <f t="shared" si="244"/>
        <v>0</v>
      </c>
      <c r="AX455" s="1051">
        <f t="shared" si="245"/>
        <v>0</v>
      </c>
      <c r="AY455" s="3313">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20">
        <f t="shared" si="267"/>
        <v>0</v>
      </c>
    </row>
    <row r="456" spans="1:72">
      <c r="A456" s="3263"/>
      <c r="B456" s="3264"/>
      <c r="C456" s="3264"/>
      <c r="D456" s="3271"/>
      <c r="E456" s="3265">
        <f t="shared" si="239"/>
        <v>0</v>
      </c>
      <c r="F456" s="3266"/>
      <c r="G456" s="3267">
        <f t="shared" si="240"/>
        <v>0</v>
      </c>
      <c r="H456" s="3268">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5">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1051">
        <f t="shared" si="243"/>
        <v>0</v>
      </c>
      <c r="AW456" s="1051">
        <f t="shared" si="244"/>
        <v>0</v>
      </c>
      <c r="AX456" s="1051">
        <f t="shared" si="245"/>
        <v>0</v>
      </c>
      <c r="AY456" s="3313">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20">
        <f t="shared" si="267"/>
        <v>0</v>
      </c>
    </row>
    <row r="457" spans="1:72">
      <c r="A457" s="3263"/>
      <c r="B457" s="3264"/>
      <c r="C457" s="3264"/>
      <c r="D457" s="3271"/>
      <c r="E457" s="3265">
        <f t="shared" si="239"/>
        <v>0</v>
      </c>
      <c r="F457" s="3266"/>
      <c r="G457" s="3267">
        <f t="shared" si="240"/>
        <v>0</v>
      </c>
      <c r="H457" s="3268">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5">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1051">
        <f t="shared" si="243"/>
        <v>0</v>
      </c>
      <c r="AW457" s="1051">
        <f t="shared" si="244"/>
        <v>0</v>
      </c>
      <c r="AX457" s="1051">
        <f t="shared" si="245"/>
        <v>0</v>
      </c>
      <c r="AY457" s="3313">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20">
        <f t="shared" si="267"/>
        <v>0</v>
      </c>
    </row>
    <row r="458" spans="1:72">
      <c r="A458" s="3263"/>
      <c r="B458" s="3264"/>
      <c r="C458" s="3264"/>
      <c r="D458" s="3271"/>
      <c r="E458" s="3265">
        <f t="shared" si="239"/>
        <v>0</v>
      </c>
      <c r="F458" s="3266"/>
      <c r="G458" s="3267">
        <f t="shared" si="240"/>
        <v>0</v>
      </c>
      <c r="H458" s="3268">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5">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1051">
        <f t="shared" si="243"/>
        <v>0</v>
      </c>
      <c r="AW458" s="1051">
        <f t="shared" si="244"/>
        <v>0</v>
      </c>
      <c r="AX458" s="1051">
        <f t="shared" si="245"/>
        <v>0</v>
      </c>
      <c r="AY458" s="3313">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20">
        <f t="shared" si="267"/>
        <v>0</v>
      </c>
    </row>
    <row r="459" spans="1:72">
      <c r="A459" s="3263"/>
      <c r="B459" s="3264"/>
      <c r="C459" s="3264"/>
      <c r="D459" s="3271"/>
      <c r="E459" s="3265">
        <f t="shared" si="239"/>
        <v>0</v>
      </c>
      <c r="F459" s="3266"/>
      <c r="G459" s="3267">
        <f t="shared" si="240"/>
        <v>0</v>
      </c>
      <c r="H459" s="3268">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5">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1051">
        <f t="shared" si="243"/>
        <v>0</v>
      </c>
      <c r="AW459" s="1051">
        <f t="shared" si="244"/>
        <v>0</v>
      </c>
      <c r="AX459" s="1051">
        <f t="shared" si="245"/>
        <v>0</v>
      </c>
      <c r="AY459" s="3313">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20">
        <f t="shared" si="267"/>
        <v>0</v>
      </c>
    </row>
    <row r="460" spans="1:72">
      <c r="A460" s="3263"/>
      <c r="B460" s="3264"/>
      <c r="C460" s="3264"/>
      <c r="D460" s="3271"/>
      <c r="E460" s="3265">
        <f t="shared" si="239"/>
        <v>0</v>
      </c>
      <c r="F460" s="3266"/>
      <c r="G460" s="3267">
        <f t="shared" si="240"/>
        <v>0</v>
      </c>
      <c r="H460" s="3268">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5">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1051">
        <f t="shared" si="243"/>
        <v>0</v>
      </c>
      <c r="AW460" s="1051">
        <f t="shared" si="244"/>
        <v>0</v>
      </c>
      <c r="AX460" s="1051">
        <f t="shared" si="245"/>
        <v>0</v>
      </c>
      <c r="AY460" s="3313">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20">
        <f t="shared" si="267"/>
        <v>0</v>
      </c>
    </row>
    <row r="461" spans="1:72">
      <c r="A461" s="3263"/>
      <c r="B461" s="3264"/>
      <c r="C461" s="3264"/>
      <c r="D461" s="3271"/>
      <c r="E461" s="3265">
        <f t="shared" si="239"/>
        <v>0</v>
      </c>
      <c r="F461" s="3266"/>
      <c r="G461" s="3267">
        <f t="shared" si="240"/>
        <v>0</v>
      </c>
      <c r="H461" s="3268">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5">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1051">
        <f t="shared" si="243"/>
        <v>0</v>
      </c>
      <c r="AW461" s="1051">
        <f t="shared" si="244"/>
        <v>0</v>
      </c>
      <c r="AX461" s="1051">
        <f t="shared" si="245"/>
        <v>0</v>
      </c>
      <c r="AY461" s="3313">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20">
        <f t="shared" si="267"/>
        <v>0</v>
      </c>
    </row>
    <row r="462" spans="1:72">
      <c r="A462" s="3263"/>
      <c r="B462" s="3264"/>
      <c r="C462" s="3264"/>
      <c r="D462" s="3271"/>
      <c r="E462" s="3265">
        <f t="shared" si="239"/>
        <v>0</v>
      </c>
      <c r="F462" s="3266"/>
      <c r="G462" s="3267">
        <f t="shared" si="240"/>
        <v>0</v>
      </c>
      <c r="H462" s="3268">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5">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1051">
        <f t="shared" si="243"/>
        <v>0</v>
      </c>
      <c r="AW462" s="1051">
        <f t="shared" si="244"/>
        <v>0</v>
      </c>
      <c r="AX462" s="1051">
        <f t="shared" si="245"/>
        <v>0</v>
      </c>
      <c r="AY462" s="3313">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20">
        <f t="shared" si="267"/>
        <v>0</v>
      </c>
    </row>
    <row r="463" spans="1:72">
      <c r="A463" s="3263"/>
      <c r="B463" s="3264"/>
      <c r="C463" s="3264"/>
      <c r="D463" s="3271"/>
      <c r="E463" s="3265">
        <f t="shared" si="239"/>
        <v>0</v>
      </c>
      <c r="F463" s="3266"/>
      <c r="G463" s="3267">
        <f t="shared" si="240"/>
        <v>0</v>
      </c>
      <c r="H463" s="3268">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5">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1051">
        <f t="shared" si="243"/>
        <v>0</v>
      </c>
      <c r="AW463" s="1051">
        <f t="shared" si="244"/>
        <v>0</v>
      </c>
      <c r="AX463" s="1051">
        <f t="shared" si="245"/>
        <v>0</v>
      </c>
      <c r="AY463" s="3313">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20">
        <f t="shared" si="267"/>
        <v>0</v>
      </c>
    </row>
    <row r="464" spans="1:72">
      <c r="A464" s="3263"/>
      <c r="B464" s="3264"/>
      <c r="C464" s="3264"/>
      <c r="D464" s="3271"/>
      <c r="E464" s="3265">
        <f t="shared" si="239"/>
        <v>0</v>
      </c>
      <c r="F464" s="3266"/>
      <c r="G464" s="3267">
        <f t="shared" si="240"/>
        <v>0</v>
      </c>
      <c r="H464" s="3268">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5">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1051">
        <f t="shared" si="243"/>
        <v>0</v>
      </c>
      <c r="AW464" s="1051">
        <f t="shared" si="244"/>
        <v>0</v>
      </c>
      <c r="AX464" s="1051">
        <f t="shared" si="245"/>
        <v>0</v>
      </c>
      <c r="AY464" s="3313">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20">
        <f t="shared" si="267"/>
        <v>0</v>
      </c>
    </row>
    <row r="465" spans="1:72">
      <c r="A465" s="3263"/>
      <c r="B465" s="3264"/>
      <c r="C465" s="3264"/>
      <c r="D465" s="3271"/>
      <c r="E465" s="3265">
        <f t="shared" si="239"/>
        <v>0</v>
      </c>
      <c r="F465" s="3266"/>
      <c r="G465" s="3267">
        <f t="shared" si="240"/>
        <v>0</v>
      </c>
      <c r="H465" s="3268">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5">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1051">
        <f t="shared" si="243"/>
        <v>0</v>
      </c>
      <c r="AW465" s="1051">
        <f t="shared" si="244"/>
        <v>0</v>
      </c>
      <c r="AX465" s="1051">
        <f t="shared" si="245"/>
        <v>0</v>
      </c>
      <c r="AY465" s="3313">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20">
        <f t="shared" si="267"/>
        <v>0</v>
      </c>
    </row>
    <row r="466" spans="1:72">
      <c r="A466" s="3263"/>
      <c r="B466" s="3264"/>
      <c r="C466" s="3264"/>
      <c r="D466" s="3271"/>
      <c r="E466" s="3265">
        <f t="shared" si="239"/>
        <v>0</v>
      </c>
      <c r="F466" s="3266"/>
      <c r="G466" s="3267">
        <f t="shared" si="240"/>
        <v>0</v>
      </c>
      <c r="H466" s="3268">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5">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1051">
        <f t="shared" si="243"/>
        <v>0</v>
      </c>
      <c r="AW466" s="1051">
        <f t="shared" si="244"/>
        <v>0</v>
      </c>
      <c r="AX466" s="1051">
        <f t="shared" si="245"/>
        <v>0</v>
      </c>
      <c r="AY466" s="3313">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20">
        <f t="shared" si="267"/>
        <v>0</v>
      </c>
    </row>
    <row r="467" spans="1:72">
      <c r="A467" s="3263"/>
      <c r="B467" s="3264"/>
      <c r="C467" s="3264"/>
      <c r="D467" s="3271"/>
      <c r="E467" s="3265">
        <f t="shared" si="239"/>
        <v>0</v>
      </c>
      <c r="F467" s="3266"/>
      <c r="G467" s="3267">
        <f t="shared" si="240"/>
        <v>0</v>
      </c>
      <c r="H467" s="3268">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5">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1051">
        <f t="shared" si="243"/>
        <v>0</v>
      </c>
      <c r="AW467" s="1051">
        <f t="shared" si="244"/>
        <v>0</v>
      </c>
      <c r="AX467" s="1051">
        <f t="shared" si="245"/>
        <v>0</v>
      </c>
      <c r="AY467" s="3313">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20">
        <f t="shared" si="267"/>
        <v>0</v>
      </c>
    </row>
    <row r="468" spans="1:72">
      <c r="A468" s="3263"/>
      <c r="B468" s="3264"/>
      <c r="C468" s="3264"/>
      <c r="D468" s="3271"/>
      <c r="E468" s="3265">
        <f t="shared" si="239"/>
        <v>0</v>
      </c>
      <c r="F468" s="3266"/>
      <c r="G468" s="3267">
        <f t="shared" si="240"/>
        <v>0</v>
      </c>
      <c r="H468" s="3268">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5">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1051">
        <f t="shared" si="243"/>
        <v>0</v>
      </c>
      <c r="AW468" s="1051">
        <f t="shared" si="244"/>
        <v>0</v>
      </c>
      <c r="AX468" s="1051">
        <f t="shared" si="245"/>
        <v>0</v>
      </c>
      <c r="AY468" s="3313">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20">
        <f t="shared" si="267"/>
        <v>0</v>
      </c>
    </row>
    <row r="469" spans="1:72">
      <c r="A469" s="3263"/>
      <c r="B469" s="3264"/>
      <c r="C469" s="3264"/>
      <c r="D469" s="3271"/>
      <c r="E469" s="3265">
        <f t="shared" si="239"/>
        <v>0</v>
      </c>
      <c r="F469" s="3266"/>
      <c r="G469" s="3267">
        <f t="shared" si="240"/>
        <v>0</v>
      </c>
      <c r="H469" s="3268">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5">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1051">
        <f t="shared" si="243"/>
        <v>0</v>
      </c>
      <c r="AW469" s="1051">
        <f t="shared" si="244"/>
        <v>0</v>
      </c>
      <c r="AX469" s="1051">
        <f t="shared" si="245"/>
        <v>0</v>
      </c>
      <c r="AY469" s="3313">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20">
        <f t="shared" si="267"/>
        <v>0</v>
      </c>
    </row>
    <row r="470" spans="1:72">
      <c r="A470" s="3263"/>
      <c r="B470" s="3264"/>
      <c r="C470" s="3264"/>
      <c r="D470" s="3271"/>
      <c r="E470" s="3265">
        <f t="shared" si="239"/>
        <v>0</v>
      </c>
      <c r="F470" s="3266"/>
      <c r="G470" s="3267">
        <f t="shared" si="240"/>
        <v>0</v>
      </c>
      <c r="H470" s="3268">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5">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1051">
        <f t="shared" si="243"/>
        <v>0</v>
      </c>
      <c r="AW470" s="1051">
        <f t="shared" si="244"/>
        <v>0</v>
      </c>
      <c r="AX470" s="1051">
        <f t="shared" si="245"/>
        <v>0</v>
      </c>
      <c r="AY470" s="3313">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20">
        <f t="shared" si="267"/>
        <v>0</v>
      </c>
    </row>
    <row r="471" spans="1:72">
      <c r="A471" s="3263"/>
      <c r="B471" s="3264"/>
      <c r="C471" s="3264"/>
      <c r="D471" s="3271"/>
      <c r="E471" s="3265">
        <f t="shared" si="239"/>
        <v>0</v>
      </c>
      <c r="F471" s="3266"/>
      <c r="G471" s="3267">
        <f t="shared" si="240"/>
        <v>0</v>
      </c>
      <c r="H471" s="3268">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5">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1051">
        <f t="shared" si="243"/>
        <v>0</v>
      </c>
      <c r="AW471" s="1051">
        <f t="shared" si="244"/>
        <v>0</v>
      </c>
      <c r="AX471" s="1051">
        <f t="shared" si="245"/>
        <v>0</v>
      </c>
      <c r="AY471" s="3313">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20">
        <f t="shared" si="267"/>
        <v>0</v>
      </c>
    </row>
    <row r="472" spans="1:72">
      <c r="A472" s="3263"/>
      <c r="B472" s="3264"/>
      <c r="C472" s="3264"/>
      <c r="D472" s="3271"/>
      <c r="E472" s="3265">
        <f t="shared" si="239"/>
        <v>0</v>
      </c>
      <c r="F472" s="3266"/>
      <c r="G472" s="3267">
        <f t="shared" si="240"/>
        <v>0</v>
      </c>
      <c r="H472" s="3268">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5">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1051">
        <f t="shared" si="243"/>
        <v>0</v>
      </c>
      <c r="AW472" s="1051">
        <f t="shared" si="244"/>
        <v>0</v>
      </c>
      <c r="AX472" s="1051">
        <f t="shared" si="245"/>
        <v>0</v>
      </c>
      <c r="AY472" s="3313">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20">
        <f t="shared" si="267"/>
        <v>0</v>
      </c>
    </row>
    <row r="473" spans="1:72">
      <c r="A473" s="3263"/>
      <c r="B473" s="3264"/>
      <c r="C473" s="3264"/>
      <c r="D473" s="3271"/>
      <c r="E473" s="3265">
        <f t="shared" si="239"/>
        <v>0</v>
      </c>
      <c r="F473" s="3266"/>
      <c r="G473" s="3267">
        <f t="shared" si="240"/>
        <v>0</v>
      </c>
      <c r="H473" s="3268">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5">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1051">
        <f t="shared" si="243"/>
        <v>0</v>
      </c>
      <c r="AW473" s="1051">
        <f t="shared" si="244"/>
        <v>0</v>
      </c>
      <c r="AX473" s="1051">
        <f t="shared" si="245"/>
        <v>0</v>
      </c>
      <c r="AY473" s="3313">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20">
        <f t="shared" si="267"/>
        <v>0</v>
      </c>
    </row>
    <row r="474" spans="1:72">
      <c r="A474" s="3263"/>
      <c r="B474" s="3264"/>
      <c r="C474" s="3264"/>
      <c r="D474" s="3271"/>
      <c r="E474" s="3265">
        <f t="shared" si="239"/>
        <v>0</v>
      </c>
      <c r="F474" s="3266"/>
      <c r="G474" s="3267">
        <f t="shared" si="240"/>
        <v>0</v>
      </c>
      <c r="H474" s="3268">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5">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1051">
        <f t="shared" si="243"/>
        <v>0</v>
      </c>
      <c r="AW474" s="1051">
        <f t="shared" si="244"/>
        <v>0</v>
      </c>
      <c r="AX474" s="1051">
        <f t="shared" si="245"/>
        <v>0</v>
      </c>
      <c r="AY474" s="3313">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20">
        <f t="shared" si="267"/>
        <v>0</v>
      </c>
    </row>
    <row r="475" spans="1:72">
      <c r="A475" s="3263"/>
      <c r="B475" s="3264"/>
      <c r="C475" s="3264"/>
      <c r="D475" s="3271"/>
      <c r="E475" s="3265">
        <f t="shared" si="239"/>
        <v>0</v>
      </c>
      <c r="F475" s="3266"/>
      <c r="G475" s="3267">
        <f t="shared" si="240"/>
        <v>0</v>
      </c>
      <c r="H475" s="3268">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5">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1051">
        <f t="shared" si="243"/>
        <v>0</v>
      </c>
      <c r="AW475" s="1051">
        <f t="shared" si="244"/>
        <v>0</v>
      </c>
      <c r="AX475" s="1051">
        <f t="shared" si="245"/>
        <v>0</v>
      </c>
      <c r="AY475" s="3313">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20">
        <f t="shared" si="267"/>
        <v>0</v>
      </c>
    </row>
    <row r="476" spans="1:72">
      <c r="A476" s="3263"/>
      <c r="B476" s="3264"/>
      <c r="C476" s="3264"/>
      <c r="D476" s="3271"/>
      <c r="E476" s="3265">
        <f t="shared" si="239"/>
        <v>0</v>
      </c>
      <c r="F476" s="3266"/>
      <c r="G476" s="3267">
        <f t="shared" si="240"/>
        <v>0</v>
      </c>
      <c r="H476" s="3268">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5">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1051">
        <f t="shared" si="243"/>
        <v>0</v>
      </c>
      <c r="AW476" s="1051">
        <f t="shared" si="244"/>
        <v>0</v>
      </c>
      <c r="AX476" s="1051">
        <f t="shared" si="245"/>
        <v>0</v>
      </c>
      <c r="AY476" s="3313">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20">
        <f t="shared" si="267"/>
        <v>0</v>
      </c>
    </row>
    <row r="477" spans="1:72">
      <c r="A477" s="3263"/>
      <c r="B477" s="3264"/>
      <c r="C477" s="3264"/>
      <c r="D477" s="3271"/>
      <c r="E477" s="3265">
        <f t="shared" si="239"/>
        <v>0</v>
      </c>
      <c r="F477" s="3266"/>
      <c r="G477" s="3267">
        <f t="shared" si="240"/>
        <v>0</v>
      </c>
      <c r="H477" s="3268">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5">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1051">
        <f t="shared" si="243"/>
        <v>0</v>
      </c>
      <c r="AW477" s="1051">
        <f t="shared" si="244"/>
        <v>0</v>
      </c>
      <c r="AX477" s="1051">
        <f t="shared" si="245"/>
        <v>0</v>
      </c>
      <c r="AY477" s="3313">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20">
        <f t="shared" si="267"/>
        <v>0</v>
      </c>
    </row>
    <row r="478" spans="1:72">
      <c r="A478" s="3263"/>
      <c r="B478" s="3264"/>
      <c r="C478" s="3264"/>
      <c r="D478" s="3271"/>
      <c r="E478" s="3265">
        <f t="shared" si="239"/>
        <v>0</v>
      </c>
      <c r="F478" s="3266"/>
      <c r="G478" s="3267">
        <f t="shared" si="240"/>
        <v>0</v>
      </c>
      <c r="H478" s="3268">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5">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1051">
        <f t="shared" si="243"/>
        <v>0</v>
      </c>
      <c r="AW478" s="1051">
        <f t="shared" si="244"/>
        <v>0</v>
      </c>
      <c r="AX478" s="1051">
        <f t="shared" si="245"/>
        <v>0</v>
      </c>
      <c r="AY478" s="3313">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20">
        <f t="shared" si="267"/>
        <v>0</v>
      </c>
    </row>
    <row r="479" spans="1:72">
      <c r="A479" s="3263"/>
      <c r="B479" s="3264"/>
      <c r="C479" s="3264"/>
      <c r="D479" s="3271"/>
      <c r="E479" s="3265">
        <f t="shared" si="239"/>
        <v>0</v>
      </c>
      <c r="F479" s="3266"/>
      <c r="G479" s="3267">
        <f t="shared" si="240"/>
        <v>0</v>
      </c>
      <c r="H479" s="3268">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5">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1051">
        <f t="shared" si="243"/>
        <v>0</v>
      </c>
      <c r="AW479" s="1051">
        <f t="shared" si="244"/>
        <v>0</v>
      </c>
      <c r="AX479" s="1051">
        <f t="shared" si="245"/>
        <v>0</v>
      </c>
      <c r="AY479" s="3313">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20">
        <f t="shared" si="267"/>
        <v>0</v>
      </c>
    </row>
    <row r="480" spans="1:72">
      <c r="A480" s="3263"/>
      <c r="B480" s="3264"/>
      <c r="C480" s="3264"/>
      <c r="D480" s="3271"/>
      <c r="E480" s="3265">
        <f t="shared" si="239"/>
        <v>0</v>
      </c>
      <c r="F480" s="3266"/>
      <c r="G480" s="3267">
        <f t="shared" si="240"/>
        <v>0</v>
      </c>
      <c r="H480" s="3268">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5">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1051">
        <f t="shared" si="243"/>
        <v>0</v>
      </c>
      <c r="AW480" s="1051">
        <f t="shared" si="244"/>
        <v>0</v>
      </c>
      <c r="AX480" s="1051">
        <f t="shared" si="245"/>
        <v>0</v>
      </c>
      <c r="AY480" s="3313">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20">
        <f t="shared" si="267"/>
        <v>0</v>
      </c>
    </row>
    <row r="481" spans="1:72">
      <c r="A481" s="3263"/>
      <c r="B481" s="3264"/>
      <c r="C481" s="3264"/>
      <c r="D481" s="3271"/>
      <c r="E481" s="3265">
        <f t="shared" si="239"/>
        <v>0</v>
      </c>
      <c r="F481" s="3266"/>
      <c r="G481" s="3267">
        <f t="shared" si="240"/>
        <v>0</v>
      </c>
      <c r="H481" s="3268">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5">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1051">
        <f t="shared" si="243"/>
        <v>0</v>
      </c>
      <c r="AW481" s="1051">
        <f t="shared" si="244"/>
        <v>0</v>
      </c>
      <c r="AX481" s="1051">
        <f t="shared" si="245"/>
        <v>0</v>
      </c>
      <c r="AY481" s="3313">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20">
        <f t="shared" si="267"/>
        <v>0</v>
      </c>
    </row>
    <row r="482" spans="1:72">
      <c r="A482" s="3263"/>
      <c r="B482" s="3264"/>
      <c r="C482" s="3264"/>
      <c r="D482" s="3271"/>
      <c r="E482" s="3265">
        <f t="shared" si="239"/>
        <v>0</v>
      </c>
      <c r="F482" s="3266"/>
      <c r="G482" s="3267">
        <f t="shared" si="240"/>
        <v>0</v>
      </c>
      <c r="H482" s="3268">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5">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1051">
        <f t="shared" si="243"/>
        <v>0</v>
      </c>
      <c r="AW482" s="1051">
        <f t="shared" si="244"/>
        <v>0</v>
      </c>
      <c r="AX482" s="1051">
        <f t="shared" si="245"/>
        <v>0</v>
      </c>
      <c r="AY482" s="3313">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20">
        <f t="shared" si="267"/>
        <v>0</v>
      </c>
    </row>
    <row r="483" spans="1:72">
      <c r="A483" s="3263"/>
      <c r="B483" s="3264"/>
      <c r="C483" s="3264"/>
      <c r="D483" s="3271"/>
      <c r="E483" s="3265">
        <f t="shared" si="239"/>
        <v>0</v>
      </c>
      <c r="F483" s="3266"/>
      <c r="G483" s="3267">
        <f t="shared" si="240"/>
        <v>0</v>
      </c>
      <c r="H483" s="3268">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5">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1051">
        <f t="shared" si="243"/>
        <v>0</v>
      </c>
      <c r="AW483" s="1051">
        <f t="shared" si="244"/>
        <v>0</v>
      </c>
      <c r="AX483" s="1051">
        <f t="shared" si="245"/>
        <v>0</v>
      </c>
      <c r="AY483" s="3313">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20">
        <f t="shared" si="267"/>
        <v>0</v>
      </c>
    </row>
    <row r="484" spans="1:72">
      <c r="A484" s="3263"/>
      <c r="B484" s="3264"/>
      <c r="C484" s="3264"/>
      <c r="D484" s="3271"/>
      <c r="E484" s="3265">
        <f t="shared" si="239"/>
        <v>0</v>
      </c>
      <c r="F484" s="3266"/>
      <c r="G484" s="3267">
        <f t="shared" si="240"/>
        <v>0</v>
      </c>
      <c r="H484" s="3268">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5">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1051">
        <f t="shared" si="243"/>
        <v>0</v>
      </c>
      <c r="AW484" s="1051">
        <f t="shared" si="244"/>
        <v>0</v>
      </c>
      <c r="AX484" s="1051">
        <f t="shared" si="245"/>
        <v>0</v>
      </c>
      <c r="AY484" s="3313">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20">
        <f t="shared" si="267"/>
        <v>0</v>
      </c>
    </row>
    <row r="485" spans="1:72">
      <c r="A485" s="3263"/>
      <c r="B485" s="3264"/>
      <c r="C485" s="3264"/>
      <c r="D485" s="3271"/>
      <c r="E485" s="3265">
        <f t="shared" si="239"/>
        <v>0</v>
      </c>
      <c r="F485" s="3266"/>
      <c r="G485" s="3267">
        <f t="shared" si="240"/>
        <v>0</v>
      </c>
      <c r="H485" s="3268">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5">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1051">
        <f t="shared" si="243"/>
        <v>0</v>
      </c>
      <c r="AW485" s="1051">
        <f t="shared" si="244"/>
        <v>0</v>
      </c>
      <c r="AX485" s="1051">
        <f t="shared" si="245"/>
        <v>0</v>
      </c>
      <c r="AY485" s="3313">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20">
        <f t="shared" si="267"/>
        <v>0</v>
      </c>
    </row>
    <row r="486" spans="1:72">
      <c r="A486" s="3263"/>
      <c r="B486" s="3264"/>
      <c r="C486" s="3264"/>
      <c r="D486" s="3271"/>
      <c r="E486" s="3265">
        <f t="shared" si="239"/>
        <v>0</v>
      </c>
      <c r="F486" s="3266"/>
      <c r="G486" s="3267">
        <f t="shared" si="240"/>
        <v>0</v>
      </c>
      <c r="H486" s="3268">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5">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1051">
        <f t="shared" si="243"/>
        <v>0</v>
      </c>
      <c r="AW486" s="1051">
        <f t="shared" si="244"/>
        <v>0</v>
      </c>
      <c r="AX486" s="1051">
        <f t="shared" si="245"/>
        <v>0</v>
      </c>
      <c r="AY486" s="3313">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20">
        <f t="shared" si="267"/>
        <v>0</v>
      </c>
    </row>
    <row r="487" spans="1:72">
      <c r="A487" s="3263"/>
      <c r="B487" s="3264"/>
      <c r="C487" s="3264"/>
      <c r="D487" s="3271"/>
      <c r="E487" s="3265">
        <f t="shared" si="239"/>
        <v>0</v>
      </c>
      <c r="F487" s="3266"/>
      <c r="G487" s="3267">
        <f t="shared" si="240"/>
        <v>0</v>
      </c>
      <c r="H487" s="3268">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5">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1051">
        <f t="shared" si="243"/>
        <v>0</v>
      </c>
      <c r="AW487" s="1051">
        <f t="shared" si="244"/>
        <v>0</v>
      </c>
      <c r="AX487" s="1051">
        <f t="shared" si="245"/>
        <v>0</v>
      </c>
      <c r="AY487" s="3313">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20">
        <f t="shared" si="267"/>
        <v>0</v>
      </c>
    </row>
    <row r="488" spans="1:72">
      <c r="A488" s="3263"/>
      <c r="B488" s="3264"/>
      <c r="C488" s="3264"/>
      <c r="D488" s="3271"/>
      <c r="E488" s="3265">
        <f t="shared" si="239"/>
        <v>0</v>
      </c>
      <c r="F488" s="3266"/>
      <c r="G488" s="3267">
        <f t="shared" si="240"/>
        <v>0</v>
      </c>
      <c r="H488" s="3268">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5">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1051">
        <f t="shared" si="243"/>
        <v>0</v>
      </c>
      <c r="AW488" s="1051">
        <f t="shared" si="244"/>
        <v>0</v>
      </c>
      <c r="AX488" s="1051">
        <f t="shared" si="245"/>
        <v>0</v>
      </c>
      <c r="AY488" s="3313">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20">
        <f t="shared" si="267"/>
        <v>0</v>
      </c>
    </row>
    <row r="489" spans="1:72">
      <c r="A489" s="3263"/>
      <c r="B489" s="3264"/>
      <c r="C489" s="3264"/>
      <c r="D489" s="3271"/>
      <c r="E489" s="3265">
        <f t="shared" si="239"/>
        <v>0</v>
      </c>
      <c r="F489" s="3266"/>
      <c r="G489" s="3267">
        <f t="shared" si="240"/>
        <v>0</v>
      </c>
      <c r="H489" s="3268">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5">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1051">
        <f t="shared" si="243"/>
        <v>0</v>
      </c>
      <c r="AW489" s="1051">
        <f t="shared" si="244"/>
        <v>0</v>
      </c>
      <c r="AX489" s="1051">
        <f t="shared" si="245"/>
        <v>0</v>
      </c>
      <c r="AY489" s="3313">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20">
        <f t="shared" si="267"/>
        <v>0</v>
      </c>
    </row>
    <row r="490" spans="1:72">
      <c r="A490" s="3263"/>
      <c r="B490" s="3263"/>
      <c r="C490" s="3263"/>
      <c r="D490" s="3271"/>
      <c r="E490" s="3265">
        <f t="shared" si="239"/>
        <v>0</v>
      </c>
      <c r="F490" s="3321"/>
      <c r="G490" s="3267">
        <f t="shared" ref="G490:G521" si="268">H490+AC490+AT490</f>
        <v>0</v>
      </c>
      <c r="H490" s="3268">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5">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1051">
        <f t="shared" si="243"/>
        <v>0</v>
      </c>
      <c r="AW490" s="1051">
        <f t="shared" si="244"/>
        <v>0</v>
      </c>
      <c r="AX490" s="1051">
        <f t="shared" si="245"/>
        <v>0</v>
      </c>
      <c r="AY490" s="3313">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20">
        <f t="shared" ref="BT490:BT521" si="292">IF($D490="是",AR490-AS490,0)</f>
        <v>0</v>
      </c>
    </row>
    <row r="491" spans="1:72">
      <c r="A491" s="3263"/>
      <c r="B491" s="3263"/>
      <c r="C491" s="3263"/>
      <c r="D491" s="3271"/>
      <c r="E491" s="3265">
        <f t="shared" si="239"/>
        <v>0</v>
      </c>
      <c r="F491" s="3321"/>
      <c r="G491" s="3267">
        <f t="shared" si="268"/>
        <v>0</v>
      </c>
      <c r="H491" s="3268">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5">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1051">
        <f t="shared" si="243"/>
        <v>0</v>
      </c>
      <c r="AW491" s="1051">
        <f t="shared" si="244"/>
        <v>0</v>
      </c>
      <c r="AX491" s="1051">
        <f t="shared" si="245"/>
        <v>0</v>
      </c>
      <c r="AY491" s="3313">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20">
        <f t="shared" si="292"/>
        <v>0</v>
      </c>
    </row>
    <row r="492" spans="1:72">
      <c r="A492" s="3263"/>
      <c r="B492" s="3263"/>
      <c r="C492" s="3263"/>
      <c r="D492" s="3271"/>
      <c r="E492" s="3265">
        <f t="shared" si="239"/>
        <v>0</v>
      </c>
      <c r="F492" s="3321"/>
      <c r="G492" s="3267">
        <f t="shared" si="268"/>
        <v>0</v>
      </c>
      <c r="H492" s="3268">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5">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1051">
        <f t="shared" si="243"/>
        <v>0</v>
      </c>
      <c r="AW492" s="1051">
        <f t="shared" si="244"/>
        <v>0</v>
      </c>
      <c r="AX492" s="1051">
        <f t="shared" si="245"/>
        <v>0</v>
      </c>
      <c r="AY492" s="3313">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20">
        <f t="shared" si="292"/>
        <v>0</v>
      </c>
    </row>
    <row r="493" spans="1:72">
      <c r="A493" s="3263"/>
      <c r="B493" s="3264"/>
      <c r="C493" s="3264"/>
      <c r="D493" s="3271"/>
      <c r="E493" s="3265">
        <f t="shared" ref="E493:E519" si="293">IF($C$3="是",ROUND($A$3*G493/$B$3,2),ROUND($A$3*(G493-AT493)/$B$3,2))</f>
        <v>0</v>
      </c>
      <c r="F493" s="3266"/>
      <c r="G493" s="3267">
        <f t="shared" si="268"/>
        <v>0</v>
      </c>
      <c r="H493" s="3268">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5">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1051">
        <f t="shared" ref="AV493:AV520" si="294">A493</f>
        <v>0</v>
      </c>
      <c r="AW493" s="1051">
        <f t="shared" ref="AW493:AW520" si="295">B493</f>
        <v>0</v>
      </c>
      <c r="AX493" s="1051">
        <f t="shared" ref="AX493:AX520" si="296">C493</f>
        <v>0</v>
      </c>
      <c r="AY493" s="3313">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20">
        <f t="shared" si="292"/>
        <v>0</v>
      </c>
    </row>
    <row r="494" spans="1:72">
      <c r="A494" s="3263"/>
      <c r="B494" s="3264"/>
      <c r="C494" s="3264"/>
      <c r="D494" s="3271"/>
      <c r="E494" s="3265">
        <f t="shared" si="293"/>
        <v>0</v>
      </c>
      <c r="F494" s="3266"/>
      <c r="G494" s="3267">
        <f t="shared" si="268"/>
        <v>0</v>
      </c>
      <c r="H494" s="3268">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5">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1051">
        <f t="shared" si="294"/>
        <v>0</v>
      </c>
      <c r="AW494" s="1051">
        <f t="shared" si="295"/>
        <v>0</v>
      </c>
      <c r="AX494" s="1051">
        <f t="shared" si="296"/>
        <v>0</v>
      </c>
      <c r="AY494" s="3313">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20">
        <f t="shared" si="292"/>
        <v>0</v>
      </c>
    </row>
    <row r="495" spans="1:72">
      <c r="A495" s="3263"/>
      <c r="B495" s="3264"/>
      <c r="C495" s="3264"/>
      <c r="D495" s="3271"/>
      <c r="E495" s="3265">
        <f t="shared" si="293"/>
        <v>0</v>
      </c>
      <c r="F495" s="3266"/>
      <c r="G495" s="3267">
        <f t="shared" si="268"/>
        <v>0</v>
      </c>
      <c r="H495" s="3268">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5">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1051">
        <f t="shared" si="294"/>
        <v>0</v>
      </c>
      <c r="AW495" s="1051">
        <f t="shared" si="295"/>
        <v>0</v>
      </c>
      <c r="AX495" s="1051">
        <f t="shared" si="296"/>
        <v>0</v>
      </c>
      <c r="AY495" s="3313">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20">
        <f t="shared" si="292"/>
        <v>0</v>
      </c>
    </row>
    <row r="496" spans="1:72">
      <c r="A496" s="3263"/>
      <c r="B496" s="3264"/>
      <c r="C496" s="3264"/>
      <c r="D496" s="3271"/>
      <c r="E496" s="3265">
        <f t="shared" si="293"/>
        <v>0</v>
      </c>
      <c r="F496" s="3266"/>
      <c r="G496" s="3267">
        <f t="shared" si="268"/>
        <v>0</v>
      </c>
      <c r="H496" s="3268">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5">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1051">
        <f t="shared" si="294"/>
        <v>0</v>
      </c>
      <c r="AW496" s="1051">
        <f t="shared" si="295"/>
        <v>0</v>
      </c>
      <c r="AX496" s="1051">
        <f t="shared" si="296"/>
        <v>0</v>
      </c>
      <c r="AY496" s="3313">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20">
        <f t="shared" si="292"/>
        <v>0</v>
      </c>
    </row>
    <row r="497" spans="1:72">
      <c r="A497" s="3263"/>
      <c r="B497" s="3264"/>
      <c r="C497" s="3264"/>
      <c r="D497" s="3271"/>
      <c r="E497" s="3265">
        <f t="shared" si="293"/>
        <v>0</v>
      </c>
      <c r="F497" s="3266"/>
      <c r="G497" s="3267">
        <f t="shared" si="268"/>
        <v>0</v>
      </c>
      <c r="H497" s="3268">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5">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1051">
        <f t="shared" si="294"/>
        <v>0</v>
      </c>
      <c r="AW497" s="1051">
        <f t="shared" si="295"/>
        <v>0</v>
      </c>
      <c r="AX497" s="1051">
        <f t="shared" si="296"/>
        <v>0</v>
      </c>
      <c r="AY497" s="3313">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20">
        <f t="shared" si="292"/>
        <v>0</v>
      </c>
    </row>
    <row r="498" spans="1:72">
      <c r="A498" s="3263"/>
      <c r="B498" s="3264"/>
      <c r="C498" s="3264"/>
      <c r="D498" s="3271"/>
      <c r="E498" s="3265">
        <f t="shared" si="293"/>
        <v>0</v>
      </c>
      <c r="F498" s="3266"/>
      <c r="G498" s="3267">
        <f t="shared" si="268"/>
        <v>0</v>
      </c>
      <c r="H498" s="3268">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5">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1051">
        <f t="shared" si="294"/>
        <v>0</v>
      </c>
      <c r="AW498" s="1051">
        <f t="shared" si="295"/>
        <v>0</v>
      </c>
      <c r="AX498" s="1051">
        <f t="shared" si="296"/>
        <v>0</v>
      </c>
      <c r="AY498" s="3313">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20">
        <f t="shared" si="292"/>
        <v>0</v>
      </c>
    </row>
    <row r="499" spans="1:72">
      <c r="A499" s="3263"/>
      <c r="B499" s="3264"/>
      <c r="C499" s="3264"/>
      <c r="D499" s="3271"/>
      <c r="E499" s="3265">
        <f t="shared" si="293"/>
        <v>0</v>
      </c>
      <c r="F499" s="3266"/>
      <c r="G499" s="3267">
        <f t="shared" si="268"/>
        <v>0</v>
      </c>
      <c r="H499" s="3268">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5">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1051">
        <f t="shared" si="294"/>
        <v>0</v>
      </c>
      <c r="AW499" s="1051">
        <f t="shared" si="295"/>
        <v>0</v>
      </c>
      <c r="AX499" s="1051">
        <f t="shared" si="296"/>
        <v>0</v>
      </c>
      <c r="AY499" s="3313">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20">
        <f t="shared" si="292"/>
        <v>0</v>
      </c>
    </row>
    <row r="500" spans="1:72">
      <c r="A500" s="3263"/>
      <c r="B500" s="3264"/>
      <c r="C500" s="3264"/>
      <c r="D500" s="3271"/>
      <c r="E500" s="3265">
        <f t="shared" si="293"/>
        <v>0</v>
      </c>
      <c r="F500" s="3266"/>
      <c r="G500" s="3267">
        <f t="shared" si="268"/>
        <v>0</v>
      </c>
      <c r="H500" s="3268">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5">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1051">
        <f t="shared" si="294"/>
        <v>0</v>
      </c>
      <c r="AW500" s="1051">
        <f t="shared" si="295"/>
        <v>0</v>
      </c>
      <c r="AX500" s="1051">
        <f t="shared" si="296"/>
        <v>0</v>
      </c>
      <c r="AY500" s="3313">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20">
        <f t="shared" si="292"/>
        <v>0</v>
      </c>
    </row>
    <row r="501" spans="1:72">
      <c r="A501" s="3263"/>
      <c r="B501" s="3264"/>
      <c r="C501" s="3264"/>
      <c r="D501" s="3271"/>
      <c r="E501" s="3265">
        <f t="shared" si="293"/>
        <v>0</v>
      </c>
      <c r="F501" s="3266"/>
      <c r="G501" s="3267">
        <f t="shared" si="268"/>
        <v>0</v>
      </c>
      <c r="H501" s="3268">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5">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1051">
        <f t="shared" si="294"/>
        <v>0</v>
      </c>
      <c r="AW501" s="1051">
        <f t="shared" si="295"/>
        <v>0</v>
      </c>
      <c r="AX501" s="1051">
        <f t="shared" si="296"/>
        <v>0</v>
      </c>
      <c r="AY501" s="3313">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20">
        <f t="shared" si="292"/>
        <v>0</v>
      </c>
    </row>
    <row r="502" spans="1:72">
      <c r="A502" s="3263"/>
      <c r="B502" s="3264"/>
      <c r="C502" s="3264"/>
      <c r="D502" s="3271"/>
      <c r="E502" s="3265">
        <f t="shared" si="293"/>
        <v>0</v>
      </c>
      <c r="F502" s="3266"/>
      <c r="G502" s="3267">
        <f t="shared" si="268"/>
        <v>0</v>
      </c>
      <c r="H502" s="3268">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5">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1051">
        <f t="shared" si="294"/>
        <v>0</v>
      </c>
      <c r="AW502" s="1051">
        <f t="shared" si="295"/>
        <v>0</v>
      </c>
      <c r="AX502" s="1051">
        <f t="shared" si="296"/>
        <v>0</v>
      </c>
      <c r="AY502" s="3313">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20">
        <f t="shared" si="292"/>
        <v>0</v>
      </c>
    </row>
    <row r="503" spans="1:72">
      <c r="A503" s="3263"/>
      <c r="B503" s="3264"/>
      <c r="C503" s="3264"/>
      <c r="D503" s="3271"/>
      <c r="E503" s="3265">
        <f t="shared" si="293"/>
        <v>0</v>
      </c>
      <c r="F503" s="3266"/>
      <c r="G503" s="3267">
        <f t="shared" si="268"/>
        <v>0</v>
      </c>
      <c r="H503" s="3268">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5">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1051">
        <f t="shared" si="294"/>
        <v>0</v>
      </c>
      <c r="AW503" s="1051">
        <f t="shared" si="295"/>
        <v>0</v>
      </c>
      <c r="AX503" s="1051">
        <f t="shared" si="296"/>
        <v>0</v>
      </c>
      <c r="AY503" s="3313">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20">
        <f t="shared" si="292"/>
        <v>0</v>
      </c>
    </row>
    <row r="504" spans="1:72">
      <c r="A504" s="3263"/>
      <c r="B504" s="3264"/>
      <c r="C504" s="3264"/>
      <c r="D504" s="3271"/>
      <c r="E504" s="3265">
        <f t="shared" si="293"/>
        <v>0</v>
      </c>
      <c r="F504" s="3266"/>
      <c r="G504" s="3267">
        <f t="shared" si="268"/>
        <v>0</v>
      </c>
      <c r="H504" s="3268">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5">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1051">
        <f t="shared" si="294"/>
        <v>0</v>
      </c>
      <c r="AW504" s="1051">
        <f t="shared" si="295"/>
        <v>0</v>
      </c>
      <c r="AX504" s="1051">
        <f t="shared" si="296"/>
        <v>0</v>
      </c>
      <c r="AY504" s="3313">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20">
        <f t="shared" si="292"/>
        <v>0</v>
      </c>
    </row>
    <row r="505" spans="1:72">
      <c r="A505" s="3263"/>
      <c r="B505" s="3264"/>
      <c r="C505" s="3264"/>
      <c r="D505" s="3271"/>
      <c r="E505" s="3265">
        <f t="shared" si="293"/>
        <v>0</v>
      </c>
      <c r="F505" s="3266"/>
      <c r="G505" s="3267">
        <f t="shared" si="268"/>
        <v>0</v>
      </c>
      <c r="H505" s="3268">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5">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1051">
        <f t="shared" si="294"/>
        <v>0</v>
      </c>
      <c r="AW505" s="1051">
        <f t="shared" si="295"/>
        <v>0</v>
      </c>
      <c r="AX505" s="1051">
        <f t="shared" si="296"/>
        <v>0</v>
      </c>
      <c r="AY505" s="3313">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20">
        <f t="shared" si="292"/>
        <v>0</v>
      </c>
    </row>
    <row r="506" spans="1:72">
      <c r="A506" s="3263"/>
      <c r="B506" s="3264"/>
      <c r="C506" s="3264"/>
      <c r="D506" s="3271"/>
      <c r="E506" s="3265">
        <f t="shared" si="293"/>
        <v>0</v>
      </c>
      <c r="F506" s="3266"/>
      <c r="G506" s="3267">
        <f t="shared" si="268"/>
        <v>0</v>
      </c>
      <c r="H506" s="3268">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5">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1051">
        <f t="shared" si="294"/>
        <v>0</v>
      </c>
      <c r="AW506" s="1051">
        <f t="shared" si="295"/>
        <v>0</v>
      </c>
      <c r="AX506" s="1051">
        <f t="shared" si="296"/>
        <v>0</v>
      </c>
      <c r="AY506" s="3313">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20">
        <f t="shared" si="292"/>
        <v>0</v>
      </c>
    </row>
    <row r="507" spans="1:72">
      <c r="A507" s="3263"/>
      <c r="B507" s="3264"/>
      <c r="C507" s="3264"/>
      <c r="D507" s="3271"/>
      <c r="E507" s="3265">
        <f t="shared" si="293"/>
        <v>0</v>
      </c>
      <c r="F507" s="3266"/>
      <c r="G507" s="3267">
        <f t="shared" si="268"/>
        <v>0</v>
      </c>
      <c r="H507" s="3268">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5">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1051">
        <f t="shared" si="294"/>
        <v>0</v>
      </c>
      <c r="AW507" s="1051">
        <f t="shared" si="295"/>
        <v>0</v>
      </c>
      <c r="AX507" s="1051">
        <f t="shared" si="296"/>
        <v>0</v>
      </c>
      <c r="AY507" s="3313">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20">
        <f t="shared" si="292"/>
        <v>0</v>
      </c>
    </row>
    <row r="508" spans="1:72">
      <c r="A508" s="3263"/>
      <c r="B508" s="3264"/>
      <c r="C508" s="3264"/>
      <c r="D508" s="3271"/>
      <c r="E508" s="3265">
        <f t="shared" si="293"/>
        <v>0</v>
      </c>
      <c r="F508" s="3266"/>
      <c r="G508" s="3267">
        <f t="shared" si="268"/>
        <v>0</v>
      </c>
      <c r="H508" s="3268">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5">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1051">
        <f t="shared" si="294"/>
        <v>0</v>
      </c>
      <c r="AW508" s="1051">
        <f t="shared" si="295"/>
        <v>0</v>
      </c>
      <c r="AX508" s="1051">
        <f t="shared" si="296"/>
        <v>0</v>
      </c>
      <c r="AY508" s="3313">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20">
        <f t="shared" si="292"/>
        <v>0</v>
      </c>
    </row>
    <row r="509" spans="1:72">
      <c r="A509" s="3263"/>
      <c r="B509" s="3264"/>
      <c r="C509" s="3264"/>
      <c r="D509" s="3271"/>
      <c r="E509" s="3265">
        <f t="shared" si="293"/>
        <v>0</v>
      </c>
      <c r="F509" s="3266"/>
      <c r="G509" s="3267">
        <f t="shared" si="268"/>
        <v>0</v>
      </c>
      <c r="H509" s="3268">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5">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1051">
        <f t="shared" si="294"/>
        <v>0</v>
      </c>
      <c r="AW509" s="1051">
        <f t="shared" si="295"/>
        <v>0</v>
      </c>
      <c r="AX509" s="1051">
        <f t="shared" si="296"/>
        <v>0</v>
      </c>
      <c r="AY509" s="3313">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20">
        <f t="shared" si="292"/>
        <v>0</v>
      </c>
    </row>
    <row r="510" spans="1:72">
      <c r="A510" s="3263"/>
      <c r="B510" s="3264"/>
      <c r="C510" s="3264"/>
      <c r="D510" s="3271"/>
      <c r="E510" s="3265">
        <f t="shared" si="293"/>
        <v>0</v>
      </c>
      <c r="F510" s="3266"/>
      <c r="G510" s="3267">
        <f t="shared" si="268"/>
        <v>0</v>
      </c>
      <c r="H510" s="3268">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5">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1051">
        <f t="shared" si="294"/>
        <v>0</v>
      </c>
      <c r="AW510" s="1051">
        <f t="shared" si="295"/>
        <v>0</v>
      </c>
      <c r="AX510" s="1051">
        <f t="shared" si="296"/>
        <v>0</v>
      </c>
      <c r="AY510" s="3313">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20">
        <f t="shared" si="292"/>
        <v>0</v>
      </c>
    </row>
    <row r="511" spans="1:72">
      <c r="A511" s="3263"/>
      <c r="B511" s="3264"/>
      <c r="C511" s="3264"/>
      <c r="D511" s="3271"/>
      <c r="E511" s="3265">
        <f t="shared" si="293"/>
        <v>0</v>
      </c>
      <c r="F511" s="3266"/>
      <c r="G511" s="3267">
        <f t="shared" si="268"/>
        <v>0</v>
      </c>
      <c r="H511" s="3268">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5">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1051">
        <f t="shared" si="294"/>
        <v>0</v>
      </c>
      <c r="AW511" s="1051">
        <f t="shared" si="295"/>
        <v>0</v>
      </c>
      <c r="AX511" s="1051">
        <f t="shared" si="296"/>
        <v>0</v>
      </c>
      <c r="AY511" s="3313">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20">
        <f t="shared" si="292"/>
        <v>0</v>
      </c>
    </row>
    <row r="512" spans="1:72">
      <c r="A512" s="3263"/>
      <c r="B512" s="3264"/>
      <c r="C512" s="3264"/>
      <c r="D512" s="3271"/>
      <c r="E512" s="3265">
        <f t="shared" si="293"/>
        <v>0</v>
      </c>
      <c r="F512" s="3266"/>
      <c r="G512" s="3267">
        <f t="shared" si="268"/>
        <v>0</v>
      </c>
      <c r="H512" s="3268">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5">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1051">
        <f t="shared" si="294"/>
        <v>0</v>
      </c>
      <c r="AW512" s="1051">
        <f t="shared" si="295"/>
        <v>0</v>
      </c>
      <c r="AX512" s="1051">
        <f t="shared" si="296"/>
        <v>0</v>
      </c>
      <c r="AY512" s="3313">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20">
        <f t="shared" si="292"/>
        <v>0</v>
      </c>
    </row>
    <row r="513" spans="1:72">
      <c r="A513" s="3263"/>
      <c r="B513" s="3264"/>
      <c r="C513" s="3264"/>
      <c r="D513" s="3271"/>
      <c r="E513" s="3265">
        <f t="shared" si="293"/>
        <v>0</v>
      </c>
      <c r="F513" s="3266"/>
      <c r="G513" s="3267">
        <f t="shared" si="268"/>
        <v>0</v>
      </c>
      <c r="H513" s="3268">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5">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1051">
        <f t="shared" si="294"/>
        <v>0</v>
      </c>
      <c r="AW513" s="1051">
        <f t="shared" si="295"/>
        <v>0</v>
      </c>
      <c r="AX513" s="1051">
        <f t="shared" si="296"/>
        <v>0</v>
      </c>
      <c r="AY513" s="3313">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20">
        <f t="shared" si="292"/>
        <v>0</v>
      </c>
    </row>
    <row r="514" spans="1:72">
      <c r="A514" s="3263"/>
      <c r="B514" s="3264"/>
      <c r="C514" s="3264"/>
      <c r="D514" s="3271"/>
      <c r="E514" s="3265">
        <f t="shared" si="293"/>
        <v>0</v>
      </c>
      <c r="F514" s="3266"/>
      <c r="G514" s="3267">
        <f t="shared" si="268"/>
        <v>0</v>
      </c>
      <c r="H514" s="3268">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5">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1051">
        <f t="shared" si="294"/>
        <v>0</v>
      </c>
      <c r="AW514" s="1051">
        <f t="shared" si="295"/>
        <v>0</v>
      </c>
      <c r="AX514" s="1051">
        <f t="shared" si="296"/>
        <v>0</v>
      </c>
      <c r="AY514" s="3313">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20">
        <f t="shared" si="292"/>
        <v>0</v>
      </c>
    </row>
    <row r="515" spans="1:72">
      <c r="A515" s="3263"/>
      <c r="B515" s="3264"/>
      <c r="C515" s="3264"/>
      <c r="D515" s="3271"/>
      <c r="E515" s="3265">
        <f t="shared" si="293"/>
        <v>0</v>
      </c>
      <c r="F515" s="3266"/>
      <c r="G515" s="3267">
        <f t="shared" si="268"/>
        <v>0</v>
      </c>
      <c r="H515" s="3268">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5">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1051">
        <f t="shared" si="294"/>
        <v>0</v>
      </c>
      <c r="AW515" s="1051">
        <f t="shared" si="295"/>
        <v>0</v>
      </c>
      <c r="AX515" s="1051">
        <f t="shared" si="296"/>
        <v>0</v>
      </c>
      <c r="AY515" s="3313">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20">
        <f t="shared" si="292"/>
        <v>0</v>
      </c>
    </row>
    <row r="516" spans="1:72">
      <c r="A516" s="3263"/>
      <c r="B516" s="3264"/>
      <c r="C516" s="3264"/>
      <c r="D516" s="3271"/>
      <c r="E516" s="3265">
        <f t="shared" si="293"/>
        <v>0</v>
      </c>
      <c r="F516" s="3266"/>
      <c r="G516" s="3267">
        <f t="shared" si="268"/>
        <v>0</v>
      </c>
      <c r="H516" s="3268">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5">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1051">
        <f t="shared" si="294"/>
        <v>0</v>
      </c>
      <c r="AW516" s="1051">
        <f t="shared" si="295"/>
        <v>0</v>
      </c>
      <c r="AX516" s="1051">
        <f t="shared" si="296"/>
        <v>0</v>
      </c>
      <c r="AY516" s="3313">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20">
        <f t="shared" si="292"/>
        <v>0</v>
      </c>
    </row>
    <row r="517" spans="1:72">
      <c r="A517" s="3263"/>
      <c r="B517" s="3264"/>
      <c r="C517" s="3264"/>
      <c r="D517" s="3271"/>
      <c r="E517" s="3265">
        <f t="shared" si="293"/>
        <v>0</v>
      </c>
      <c r="F517" s="3266"/>
      <c r="G517" s="3267">
        <f t="shared" si="268"/>
        <v>0</v>
      </c>
      <c r="H517" s="3268">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5">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1051">
        <f t="shared" si="294"/>
        <v>0</v>
      </c>
      <c r="AW517" s="1051">
        <f t="shared" si="295"/>
        <v>0</v>
      </c>
      <c r="AX517" s="1051">
        <f t="shared" si="296"/>
        <v>0</v>
      </c>
      <c r="AY517" s="3313">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20">
        <f t="shared" si="292"/>
        <v>0</v>
      </c>
    </row>
    <row r="518" spans="1:72">
      <c r="A518" s="3263"/>
      <c r="B518" s="3264"/>
      <c r="C518" s="3264"/>
      <c r="D518" s="3271"/>
      <c r="E518" s="3265">
        <f t="shared" si="293"/>
        <v>0</v>
      </c>
      <c r="F518" s="3266"/>
      <c r="G518" s="3267">
        <f t="shared" si="268"/>
        <v>0</v>
      </c>
      <c r="H518" s="3268">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5">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1051">
        <f t="shared" si="294"/>
        <v>0</v>
      </c>
      <c r="AW518" s="1051">
        <f t="shared" si="295"/>
        <v>0</v>
      </c>
      <c r="AX518" s="1051">
        <f t="shared" si="296"/>
        <v>0</v>
      </c>
      <c r="AY518" s="3313">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20">
        <f t="shared" si="292"/>
        <v>0</v>
      </c>
    </row>
    <row r="519" spans="1:72">
      <c r="A519" s="3263"/>
      <c r="B519" s="3264"/>
      <c r="C519" s="3264"/>
      <c r="D519" s="3271"/>
      <c r="E519" s="3265">
        <f t="shared" si="293"/>
        <v>0</v>
      </c>
      <c r="F519" s="3266"/>
      <c r="G519" s="3267">
        <f t="shared" si="268"/>
        <v>0</v>
      </c>
      <c r="H519" s="3268">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5">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1051">
        <f t="shared" si="294"/>
        <v>0</v>
      </c>
      <c r="AW519" s="1051">
        <f t="shared" si="295"/>
        <v>0</v>
      </c>
      <c r="AX519" s="1051">
        <f t="shared" si="296"/>
        <v>0</v>
      </c>
      <c r="AY519" s="3313">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20">
        <f t="shared" si="292"/>
        <v>0</v>
      </c>
    </row>
    <row r="520" spans="1:72">
      <c r="A520" s="3263"/>
      <c r="B520" s="3264"/>
      <c r="C520" s="3264"/>
      <c r="D520" s="3271"/>
      <c r="E520" s="3265">
        <f t="shared" ref="E520:E551" si="297">IF($C$3="是",ROUND($A$3*G520/$B$3,2),ROUND($A$3*(G520-AT520)/$B$3,2))</f>
        <v>0</v>
      </c>
      <c r="F520" s="3266"/>
      <c r="G520" s="3267">
        <f t="shared" si="268"/>
        <v>0</v>
      </c>
      <c r="H520" s="3268">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5">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1051">
        <f t="shared" si="294"/>
        <v>0</v>
      </c>
      <c r="AW520" s="1051">
        <f t="shared" si="295"/>
        <v>0</v>
      </c>
      <c r="AX520" s="1051">
        <f t="shared" si="296"/>
        <v>0</v>
      </c>
      <c r="AY520" s="3313">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20">
        <f t="shared" si="292"/>
        <v>0</v>
      </c>
    </row>
    <row r="521" spans="1:72">
      <c r="A521" s="3263"/>
      <c r="B521" s="3264"/>
      <c r="C521" s="3264"/>
      <c r="D521" s="3271"/>
      <c r="E521" s="3265">
        <f t="shared" si="297"/>
        <v>0</v>
      </c>
      <c r="F521" s="3266"/>
      <c r="G521" s="3267">
        <f t="shared" si="268"/>
        <v>0</v>
      </c>
      <c r="H521" s="3268">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5">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1051">
        <f t="shared" ref="AV521:AV552" si="298">A521</f>
        <v>0</v>
      </c>
      <c r="AW521" s="1051">
        <f t="shared" ref="AW521:AW552" si="299">B521</f>
        <v>0</v>
      </c>
      <c r="AX521" s="1051">
        <f t="shared" ref="AX521:AX552" si="300">C521</f>
        <v>0</v>
      </c>
      <c r="AY521" s="3313">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20">
        <f t="shared" si="292"/>
        <v>0</v>
      </c>
    </row>
    <row r="522" spans="1:72">
      <c r="A522" s="3263"/>
      <c r="B522" s="3264"/>
      <c r="C522" s="3264"/>
      <c r="D522" s="3271"/>
      <c r="E522" s="3265">
        <f t="shared" si="297"/>
        <v>0</v>
      </c>
      <c r="F522" s="3266"/>
      <c r="G522" s="3267">
        <f t="shared" ref="G522:G552" si="301">H522+AC522+AT522</f>
        <v>0</v>
      </c>
      <c r="H522" s="3268">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5">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1051">
        <f t="shared" si="298"/>
        <v>0</v>
      </c>
      <c r="AW522" s="1051">
        <f t="shared" si="299"/>
        <v>0</v>
      </c>
      <c r="AX522" s="1051">
        <f t="shared" si="300"/>
        <v>0</v>
      </c>
      <c r="AY522" s="3313">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20">
        <f t="shared" ref="BT522:BT552" si="325">IF($D522="是",AR522-AS522,0)</f>
        <v>0</v>
      </c>
    </row>
    <row r="523" spans="1:72">
      <c r="A523" s="3263"/>
      <c r="B523" s="3264"/>
      <c r="C523" s="3264"/>
      <c r="D523" s="3271"/>
      <c r="E523" s="3265">
        <f t="shared" si="297"/>
        <v>0</v>
      </c>
      <c r="F523" s="3266"/>
      <c r="G523" s="3267">
        <f t="shared" si="301"/>
        <v>0</v>
      </c>
      <c r="H523" s="3268">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5">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1051">
        <f t="shared" si="298"/>
        <v>0</v>
      </c>
      <c r="AW523" s="1051">
        <f t="shared" si="299"/>
        <v>0</v>
      </c>
      <c r="AX523" s="1051">
        <f t="shared" si="300"/>
        <v>0</v>
      </c>
      <c r="AY523" s="3313">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20">
        <f t="shared" si="325"/>
        <v>0</v>
      </c>
    </row>
    <row r="524" spans="1:72">
      <c r="A524" s="3263"/>
      <c r="B524" s="3264"/>
      <c r="C524" s="3264"/>
      <c r="D524" s="3271"/>
      <c r="E524" s="3265">
        <f t="shared" si="297"/>
        <v>0</v>
      </c>
      <c r="F524" s="3266"/>
      <c r="G524" s="3267">
        <f t="shared" si="301"/>
        <v>0</v>
      </c>
      <c r="H524" s="3268">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5">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1051">
        <f t="shared" si="298"/>
        <v>0</v>
      </c>
      <c r="AW524" s="1051">
        <f t="shared" si="299"/>
        <v>0</v>
      </c>
      <c r="AX524" s="1051">
        <f t="shared" si="300"/>
        <v>0</v>
      </c>
      <c r="AY524" s="3313">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20">
        <f t="shared" si="325"/>
        <v>0</v>
      </c>
    </row>
    <row r="525" spans="1:72">
      <c r="A525" s="3263"/>
      <c r="B525" s="3264"/>
      <c r="C525" s="3264"/>
      <c r="D525" s="3271"/>
      <c r="E525" s="3265">
        <f t="shared" si="297"/>
        <v>0</v>
      </c>
      <c r="F525" s="3266"/>
      <c r="G525" s="3267">
        <f t="shared" si="301"/>
        <v>0</v>
      </c>
      <c r="H525" s="3268">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5">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1051">
        <f t="shared" si="298"/>
        <v>0</v>
      </c>
      <c r="AW525" s="1051">
        <f t="shared" si="299"/>
        <v>0</v>
      </c>
      <c r="AX525" s="1051">
        <f t="shared" si="300"/>
        <v>0</v>
      </c>
      <c r="AY525" s="3313">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20">
        <f t="shared" si="325"/>
        <v>0</v>
      </c>
    </row>
    <row r="526" spans="1:72">
      <c r="A526" s="3263"/>
      <c r="B526" s="3264"/>
      <c r="C526" s="3264"/>
      <c r="D526" s="3271"/>
      <c r="E526" s="3265">
        <f t="shared" si="297"/>
        <v>0</v>
      </c>
      <c r="F526" s="3266"/>
      <c r="G526" s="3267">
        <f t="shared" si="301"/>
        <v>0</v>
      </c>
      <c r="H526" s="3268">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5">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1051">
        <f t="shared" si="298"/>
        <v>0</v>
      </c>
      <c r="AW526" s="1051">
        <f t="shared" si="299"/>
        <v>0</v>
      </c>
      <c r="AX526" s="1051">
        <f t="shared" si="300"/>
        <v>0</v>
      </c>
      <c r="AY526" s="3313">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20">
        <f t="shared" si="325"/>
        <v>0</v>
      </c>
    </row>
    <row r="527" spans="1:72">
      <c r="A527" s="3263"/>
      <c r="B527" s="3264"/>
      <c r="C527" s="3264"/>
      <c r="D527" s="3271"/>
      <c r="E527" s="3265">
        <f t="shared" si="297"/>
        <v>0</v>
      </c>
      <c r="F527" s="3266"/>
      <c r="G527" s="3267">
        <f t="shared" si="301"/>
        <v>0</v>
      </c>
      <c r="H527" s="3268">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5">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1051">
        <f t="shared" si="298"/>
        <v>0</v>
      </c>
      <c r="AW527" s="1051">
        <f t="shared" si="299"/>
        <v>0</v>
      </c>
      <c r="AX527" s="1051">
        <f t="shared" si="300"/>
        <v>0</v>
      </c>
      <c r="AY527" s="3313">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20">
        <f t="shared" si="325"/>
        <v>0</v>
      </c>
    </row>
    <row r="528" spans="1:72">
      <c r="A528" s="3263"/>
      <c r="B528" s="3264"/>
      <c r="C528" s="3264"/>
      <c r="D528" s="3271"/>
      <c r="E528" s="3265">
        <f t="shared" si="297"/>
        <v>0</v>
      </c>
      <c r="F528" s="3266"/>
      <c r="G528" s="3267">
        <f t="shared" si="301"/>
        <v>0</v>
      </c>
      <c r="H528" s="3268">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5">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1051">
        <f t="shared" si="298"/>
        <v>0</v>
      </c>
      <c r="AW528" s="1051">
        <f t="shared" si="299"/>
        <v>0</v>
      </c>
      <c r="AX528" s="1051">
        <f t="shared" si="300"/>
        <v>0</v>
      </c>
      <c r="AY528" s="3313">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20">
        <f t="shared" si="325"/>
        <v>0</v>
      </c>
    </row>
    <row r="529" spans="1:72">
      <c r="A529" s="3263"/>
      <c r="B529" s="3264"/>
      <c r="C529" s="3264"/>
      <c r="D529" s="3271"/>
      <c r="E529" s="3265">
        <f t="shared" si="297"/>
        <v>0</v>
      </c>
      <c r="F529" s="3266"/>
      <c r="G529" s="3267">
        <f t="shared" si="301"/>
        <v>0</v>
      </c>
      <c r="H529" s="3268">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5">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1051">
        <f t="shared" si="298"/>
        <v>0</v>
      </c>
      <c r="AW529" s="1051">
        <f t="shared" si="299"/>
        <v>0</v>
      </c>
      <c r="AX529" s="1051">
        <f t="shared" si="300"/>
        <v>0</v>
      </c>
      <c r="AY529" s="3313">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20">
        <f t="shared" si="325"/>
        <v>0</v>
      </c>
    </row>
    <row r="530" spans="1:72">
      <c r="A530" s="3263"/>
      <c r="B530" s="3264"/>
      <c r="C530" s="3264"/>
      <c r="D530" s="3271"/>
      <c r="E530" s="3265">
        <f t="shared" si="297"/>
        <v>0</v>
      </c>
      <c r="F530" s="3266"/>
      <c r="G530" s="3267">
        <f t="shared" si="301"/>
        <v>0</v>
      </c>
      <c r="H530" s="3268">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5">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1051">
        <f t="shared" si="298"/>
        <v>0</v>
      </c>
      <c r="AW530" s="1051">
        <f t="shared" si="299"/>
        <v>0</v>
      </c>
      <c r="AX530" s="1051">
        <f t="shared" si="300"/>
        <v>0</v>
      </c>
      <c r="AY530" s="3313">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20">
        <f t="shared" si="325"/>
        <v>0</v>
      </c>
    </row>
    <row r="531" spans="1:72">
      <c r="A531" s="3263"/>
      <c r="B531" s="3264"/>
      <c r="C531" s="3264"/>
      <c r="D531" s="3271"/>
      <c r="E531" s="3265">
        <f t="shared" si="297"/>
        <v>0</v>
      </c>
      <c r="F531" s="3266"/>
      <c r="G531" s="3267">
        <f t="shared" si="301"/>
        <v>0</v>
      </c>
      <c r="H531" s="3268">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5">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1051">
        <f t="shared" si="298"/>
        <v>0</v>
      </c>
      <c r="AW531" s="1051">
        <f t="shared" si="299"/>
        <v>0</v>
      </c>
      <c r="AX531" s="1051">
        <f t="shared" si="300"/>
        <v>0</v>
      </c>
      <c r="AY531" s="3313">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20">
        <f t="shared" si="325"/>
        <v>0</v>
      </c>
    </row>
    <row r="532" spans="1:72">
      <c r="A532" s="3263"/>
      <c r="B532" s="3264"/>
      <c r="C532" s="3264"/>
      <c r="D532" s="3271"/>
      <c r="E532" s="3265">
        <f t="shared" si="297"/>
        <v>0</v>
      </c>
      <c r="F532" s="3266"/>
      <c r="G532" s="3267">
        <f t="shared" si="301"/>
        <v>0</v>
      </c>
      <c r="H532" s="3268">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5">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1051">
        <f t="shared" si="298"/>
        <v>0</v>
      </c>
      <c r="AW532" s="1051">
        <f t="shared" si="299"/>
        <v>0</v>
      </c>
      <c r="AX532" s="1051">
        <f t="shared" si="300"/>
        <v>0</v>
      </c>
      <c r="AY532" s="3313">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20">
        <f t="shared" si="325"/>
        <v>0</v>
      </c>
    </row>
    <row r="533" spans="1:72">
      <c r="A533" s="3263"/>
      <c r="B533" s="3264"/>
      <c r="C533" s="3264"/>
      <c r="D533" s="3271"/>
      <c r="E533" s="3265">
        <f t="shared" si="297"/>
        <v>0</v>
      </c>
      <c r="F533" s="3266"/>
      <c r="G533" s="3267">
        <f t="shared" si="301"/>
        <v>0</v>
      </c>
      <c r="H533" s="3268">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5">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1051">
        <f t="shared" si="298"/>
        <v>0</v>
      </c>
      <c r="AW533" s="1051">
        <f t="shared" si="299"/>
        <v>0</v>
      </c>
      <c r="AX533" s="1051">
        <f t="shared" si="300"/>
        <v>0</v>
      </c>
      <c r="AY533" s="3313">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20">
        <f t="shared" si="325"/>
        <v>0</v>
      </c>
    </row>
    <row r="534" spans="1:72">
      <c r="A534" s="3263"/>
      <c r="B534" s="3264"/>
      <c r="C534" s="3264"/>
      <c r="D534" s="3271"/>
      <c r="E534" s="3265">
        <f t="shared" si="297"/>
        <v>0</v>
      </c>
      <c r="F534" s="3266"/>
      <c r="G534" s="3267">
        <f t="shared" si="301"/>
        <v>0</v>
      </c>
      <c r="H534" s="3268">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5">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1051">
        <f t="shared" si="298"/>
        <v>0</v>
      </c>
      <c r="AW534" s="1051">
        <f t="shared" si="299"/>
        <v>0</v>
      </c>
      <c r="AX534" s="1051">
        <f t="shared" si="300"/>
        <v>0</v>
      </c>
      <c r="AY534" s="3313">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20">
        <f t="shared" si="325"/>
        <v>0</v>
      </c>
    </row>
    <row r="535" spans="1:72">
      <c r="A535" s="3263"/>
      <c r="B535" s="3264"/>
      <c r="C535" s="3264"/>
      <c r="D535" s="3271"/>
      <c r="E535" s="3265">
        <f t="shared" si="297"/>
        <v>0</v>
      </c>
      <c r="F535" s="3266"/>
      <c r="G535" s="3267">
        <f t="shared" si="301"/>
        <v>0</v>
      </c>
      <c r="H535" s="3268">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5">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1051">
        <f t="shared" si="298"/>
        <v>0</v>
      </c>
      <c r="AW535" s="1051">
        <f t="shared" si="299"/>
        <v>0</v>
      </c>
      <c r="AX535" s="1051">
        <f t="shared" si="300"/>
        <v>0</v>
      </c>
      <c r="AY535" s="3313">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20">
        <f t="shared" si="325"/>
        <v>0</v>
      </c>
    </row>
    <row r="536" spans="1:72">
      <c r="A536" s="3263"/>
      <c r="B536" s="3264"/>
      <c r="C536" s="3264"/>
      <c r="D536" s="3271"/>
      <c r="E536" s="3265">
        <f t="shared" si="297"/>
        <v>0</v>
      </c>
      <c r="F536" s="3266"/>
      <c r="G536" s="3267">
        <f t="shared" si="301"/>
        <v>0</v>
      </c>
      <c r="H536" s="3268">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5">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1051">
        <f t="shared" si="298"/>
        <v>0</v>
      </c>
      <c r="AW536" s="1051">
        <f t="shared" si="299"/>
        <v>0</v>
      </c>
      <c r="AX536" s="1051">
        <f t="shared" si="300"/>
        <v>0</v>
      </c>
      <c r="AY536" s="3313">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20">
        <f t="shared" si="325"/>
        <v>0</v>
      </c>
    </row>
    <row r="537" spans="1:72">
      <c r="A537" s="3263"/>
      <c r="B537" s="3264"/>
      <c r="C537" s="3264"/>
      <c r="D537" s="3271"/>
      <c r="E537" s="3265">
        <f t="shared" si="297"/>
        <v>0</v>
      </c>
      <c r="F537" s="3266"/>
      <c r="G537" s="3267">
        <f t="shared" si="301"/>
        <v>0</v>
      </c>
      <c r="H537" s="3268">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5">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1051">
        <f t="shared" si="298"/>
        <v>0</v>
      </c>
      <c r="AW537" s="1051">
        <f t="shared" si="299"/>
        <v>0</v>
      </c>
      <c r="AX537" s="1051">
        <f t="shared" si="300"/>
        <v>0</v>
      </c>
      <c r="AY537" s="3313">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20">
        <f t="shared" si="325"/>
        <v>0</v>
      </c>
    </row>
    <row r="538" spans="1:72">
      <c r="A538" s="3263"/>
      <c r="B538" s="3264"/>
      <c r="C538" s="3264"/>
      <c r="D538" s="3271"/>
      <c r="E538" s="3265">
        <f t="shared" si="297"/>
        <v>0</v>
      </c>
      <c r="F538" s="3266"/>
      <c r="G538" s="3267">
        <f t="shared" si="301"/>
        <v>0</v>
      </c>
      <c r="H538" s="3268">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5">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1051">
        <f t="shared" si="298"/>
        <v>0</v>
      </c>
      <c r="AW538" s="1051">
        <f t="shared" si="299"/>
        <v>0</v>
      </c>
      <c r="AX538" s="1051">
        <f t="shared" si="300"/>
        <v>0</v>
      </c>
      <c r="AY538" s="3313">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20">
        <f t="shared" si="325"/>
        <v>0</v>
      </c>
    </row>
    <row r="539" spans="1:72">
      <c r="A539" s="3263"/>
      <c r="B539" s="3264"/>
      <c r="C539" s="3264"/>
      <c r="D539" s="3271"/>
      <c r="E539" s="3265">
        <f t="shared" si="297"/>
        <v>0</v>
      </c>
      <c r="F539" s="3266"/>
      <c r="G539" s="3267">
        <f t="shared" si="301"/>
        <v>0</v>
      </c>
      <c r="H539" s="3268">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5">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1051">
        <f t="shared" si="298"/>
        <v>0</v>
      </c>
      <c r="AW539" s="1051">
        <f t="shared" si="299"/>
        <v>0</v>
      </c>
      <c r="AX539" s="1051">
        <f t="shared" si="300"/>
        <v>0</v>
      </c>
      <c r="AY539" s="3313">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20">
        <f t="shared" si="325"/>
        <v>0</v>
      </c>
    </row>
    <row r="540" spans="1:72">
      <c r="A540" s="3263"/>
      <c r="B540" s="3264"/>
      <c r="C540" s="3264"/>
      <c r="D540" s="3271"/>
      <c r="E540" s="3265">
        <f t="shared" si="297"/>
        <v>0</v>
      </c>
      <c r="F540" s="3266"/>
      <c r="G540" s="3267">
        <f t="shared" si="301"/>
        <v>0</v>
      </c>
      <c r="H540" s="3268">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5">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1051">
        <f t="shared" si="298"/>
        <v>0</v>
      </c>
      <c r="AW540" s="1051">
        <f t="shared" si="299"/>
        <v>0</v>
      </c>
      <c r="AX540" s="1051">
        <f t="shared" si="300"/>
        <v>0</v>
      </c>
      <c r="AY540" s="3313">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20">
        <f t="shared" si="325"/>
        <v>0</v>
      </c>
    </row>
    <row r="541" spans="1:72">
      <c r="A541" s="3263"/>
      <c r="B541" s="3264"/>
      <c r="C541" s="3264"/>
      <c r="D541" s="3271"/>
      <c r="E541" s="3265">
        <f t="shared" si="297"/>
        <v>0</v>
      </c>
      <c r="F541" s="3266"/>
      <c r="G541" s="3267">
        <f t="shared" si="301"/>
        <v>0</v>
      </c>
      <c r="H541" s="3268">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5">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1051">
        <f t="shared" si="298"/>
        <v>0</v>
      </c>
      <c r="AW541" s="1051">
        <f t="shared" si="299"/>
        <v>0</v>
      </c>
      <c r="AX541" s="1051">
        <f t="shared" si="300"/>
        <v>0</v>
      </c>
      <c r="AY541" s="3313">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20">
        <f t="shared" si="325"/>
        <v>0</v>
      </c>
    </row>
    <row r="542" spans="1:72">
      <c r="A542" s="3263"/>
      <c r="B542" s="3264"/>
      <c r="C542" s="3264"/>
      <c r="D542" s="3271"/>
      <c r="E542" s="3265">
        <f t="shared" si="297"/>
        <v>0</v>
      </c>
      <c r="F542" s="3266"/>
      <c r="G542" s="3267">
        <f t="shared" si="301"/>
        <v>0</v>
      </c>
      <c r="H542" s="3268">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5">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1051">
        <f t="shared" si="298"/>
        <v>0</v>
      </c>
      <c r="AW542" s="1051">
        <f t="shared" si="299"/>
        <v>0</v>
      </c>
      <c r="AX542" s="1051">
        <f t="shared" si="300"/>
        <v>0</v>
      </c>
      <c r="AY542" s="3313">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20">
        <f t="shared" si="325"/>
        <v>0</v>
      </c>
    </row>
    <row r="543" spans="1:72">
      <c r="A543" s="3263"/>
      <c r="B543" s="3264"/>
      <c r="C543" s="3264"/>
      <c r="D543" s="3271"/>
      <c r="E543" s="3265">
        <f t="shared" si="297"/>
        <v>0</v>
      </c>
      <c r="F543" s="3266"/>
      <c r="G543" s="3267">
        <f t="shared" si="301"/>
        <v>0</v>
      </c>
      <c r="H543" s="3268">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5">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1051">
        <f t="shared" si="298"/>
        <v>0</v>
      </c>
      <c r="AW543" s="1051">
        <f t="shared" si="299"/>
        <v>0</v>
      </c>
      <c r="AX543" s="1051">
        <f t="shared" si="300"/>
        <v>0</v>
      </c>
      <c r="AY543" s="3313">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20">
        <f t="shared" si="325"/>
        <v>0</v>
      </c>
    </row>
    <row r="544" spans="1:72">
      <c r="A544" s="3263"/>
      <c r="B544" s="3264"/>
      <c r="C544" s="3264"/>
      <c r="D544" s="3271"/>
      <c r="E544" s="3265">
        <f t="shared" si="297"/>
        <v>0</v>
      </c>
      <c r="F544" s="3266"/>
      <c r="G544" s="3267">
        <f t="shared" si="301"/>
        <v>0</v>
      </c>
      <c r="H544" s="3268">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5">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1051">
        <f t="shared" si="298"/>
        <v>0</v>
      </c>
      <c r="AW544" s="1051">
        <f t="shared" si="299"/>
        <v>0</v>
      </c>
      <c r="AX544" s="1051">
        <f t="shared" si="300"/>
        <v>0</v>
      </c>
      <c r="AY544" s="3313">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20">
        <f t="shared" si="325"/>
        <v>0</v>
      </c>
    </row>
    <row r="545" spans="1:72">
      <c r="A545" s="3263"/>
      <c r="B545" s="3264"/>
      <c r="C545" s="3264"/>
      <c r="D545" s="3271"/>
      <c r="E545" s="3265">
        <f t="shared" si="297"/>
        <v>0</v>
      </c>
      <c r="F545" s="3266"/>
      <c r="G545" s="3267">
        <f t="shared" si="301"/>
        <v>0</v>
      </c>
      <c r="H545" s="3268">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5">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1051">
        <f t="shared" si="298"/>
        <v>0</v>
      </c>
      <c r="AW545" s="1051">
        <f t="shared" si="299"/>
        <v>0</v>
      </c>
      <c r="AX545" s="1051">
        <f t="shared" si="300"/>
        <v>0</v>
      </c>
      <c r="AY545" s="3313">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20">
        <f t="shared" si="325"/>
        <v>0</v>
      </c>
    </row>
    <row r="546" spans="1:72">
      <c r="A546" s="3263"/>
      <c r="B546" s="3264"/>
      <c r="C546" s="3264"/>
      <c r="D546" s="3271"/>
      <c r="E546" s="3265">
        <f t="shared" si="297"/>
        <v>0</v>
      </c>
      <c r="F546" s="3266"/>
      <c r="G546" s="3267">
        <f t="shared" si="301"/>
        <v>0</v>
      </c>
      <c r="H546" s="3268">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5">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1051">
        <f t="shared" si="298"/>
        <v>0</v>
      </c>
      <c r="AW546" s="1051">
        <f t="shared" si="299"/>
        <v>0</v>
      </c>
      <c r="AX546" s="1051">
        <f t="shared" si="300"/>
        <v>0</v>
      </c>
      <c r="AY546" s="3313">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20">
        <f t="shared" si="325"/>
        <v>0</v>
      </c>
    </row>
    <row r="547" spans="1:72">
      <c r="A547" s="3263"/>
      <c r="B547" s="3264"/>
      <c r="C547" s="3264"/>
      <c r="D547" s="3271"/>
      <c r="E547" s="3265">
        <f t="shared" si="297"/>
        <v>0</v>
      </c>
      <c r="F547" s="3266"/>
      <c r="G547" s="3267">
        <f t="shared" si="301"/>
        <v>0</v>
      </c>
      <c r="H547" s="3268">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5">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1051">
        <f t="shared" si="298"/>
        <v>0</v>
      </c>
      <c r="AW547" s="1051">
        <f t="shared" si="299"/>
        <v>0</v>
      </c>
      <c r="AX547" s="1051">
        <f t="shared" si="300"/>
        <v>0</v>
      </c>
      <c r="AY547" s="3313">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20">
        <f t="shared" si="325"/>
        <v>0</v>
      </c>
    </row>
    <row r="548" spans="1:72">
      <c r="A548" s="3263"/>
      <c r="B548" s="3264"/>
      <c r="C548" s="3264"/>
      <c r="D548" s="3271"/>
      <c r="E548" s="3265">
        <f t="shared" si="297"/>
        <v>0</v>
      </c>
      <c r="F548" s="3266"/>
      <c r="G548" s="3267">
        <f t="shared" si="301"/>
        <v>0</v>
      </c>
      <c r="H548" s="3268">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5">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1051">
        <f t="shared" si="298"/>
        <v>0</v>
      </c>
      <c r="AW548" s="1051">
        <f t="shared" si="299"/>
        <v>0</v>
      </c>
      <c r="AX548" s="1051">
        <f t="shared" si="300"/>
        <v>0</v>
      </c>
      <c r="AY548" s="3313">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20">
        <f t="shared" si="325"/>
        <v>0</v>
      </c>
    </row>
    <row r="549" spans="1:72">
      <c r="A549" s="3263"/>
      <c r="B549" s="3264"/>
      <c r="C549" s="3264"/>
      <c r="D549" s="3271"/>
      <c r="E549" s="3265">
        <f t="shared" si="297"/>
        <v>0</v>
      </c>
      <c r="F549" s="3266"/>
      <c r="G549" s="3267">
        <f t="shared" si="301"/>
        <v>0</v>
      </c>
      <c r="H549" s="3268">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5">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1051">
        <f t="shared" si="298"/>
        <v>0</v>
      </c>
      <c r="AW549" s="1051">
        <f t="shared" si="299"/>
        <v>0</v>
      </c>
      <c r="AX549" s="1051">
        <f t="shared" si="300"/>
        <v>0</v>
      </c>
      <c r="AY549" s="3313">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20">
        <f t="shared" si="325"/>
        <v>0</v>
      </c>
    </row>
    <row r="550" spans="1:72">
      <c r="A550" s="3263"/>
      <c r="B550" s="3264"/>
      <c r="C550" s="3264"/>
      <c r="D550" s="3271"/>
      <c r="E550" s="3265">
        <f t="shared" si="297"/>
        <v>0</v>
      </c>
      <c r="F550" s="3266"/>
      <c r="G550" s="3267">
        <f t="shared" si="301"/>
        <v>0</v>
      </c>
      <c r="H550" s="3268">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5">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1051">
        <f t="shared" si="298"/>
        <v>0</v>
      </c>
      <c r="AW550" s="1051">
        <f t="shared" si="299"/>
        <v>0</v>
      </c>
      <c r="AX550" s="1051">
        <f t="shared" si="300"/>
        <v>0</v>
      </c>
      <c r="AY550" s="3313">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20">
        <f t="shared" si="325"/>
        <v>0</v>
      </c>
    </row>
    <row r="551" spans="1:72">
      <c r="A551" s="3263"/>
      <c r="B551" s="3264"/>
      <c r="C551" s="3264"/>
      <c r="D551" s="3271"/>
      <c r="E551" s="3265">
        <f t="shared" si="297"/>
        <v>0</v>
      </c>
      <c r="F551" s="3266"/>
      <c r="G551" s="3267">
        <f t="shared" si="301"/>
        <v>0</v>
      </c>
      <c r="H551" s="3268">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5">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1051">
        <f t="shared" si="298"/>
        <v>0</v>
      </c>
      <c r="AW551" s="1051">
        <f t="shared" si="299"/>
        <v>0</v>
      </c>
      <c r="AX551" s="1051">
        <f t="shared" si="300"/>
        <v>0</v>
      </c>
      <c r="AY551" s="3313">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20">
        <f t="shared" si="325"/>
        <v>0</v>
      </c>
    </row>
    <row r="552" spans="1:72">
      <c r="A552" s="3263"/>
      <c r="B552" s="3264"/>
      <c r="C552" s="3264"/>
      <c r="D552" s="3271"/>
      <c r="E552" s="3265">
        <f t="shared" ref="E552:E587" si="326">IF($C$3="是",ROUND($A$3*G552/$B$3,2),ROUND($A$3*(G552-AT552)/$B$3,2))</f>
        <v>0</v>
      </c>
      <c r="F552" s="3266"/>
      <c r="G552" s="3267">
        <f t="shared" si="301"/>
        <v>0</v>
      </c>
      <c r="H552" s="3268">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5">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1051">
        <f t="shared" si="298"/>
        <v>0</v>
      </c>
      <c r="AW552" s="1051">
        <f t="shared" si="299"/>
        <v>0</v>
      </c>
      <c r="AX552" s="1051">
        <f t="shared" si="300"/>
        <v>0</v>
      </c>
      <c r="AY552" s="3313">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20">
        <f t="shared" si="325"/>
        <v>0</v>
      </c>
    </row>
    <row r="553" spans="1:72">
      <c r="A553" s="3263"/>
      <c r="B553" s="3264"/>
      <c r="C553" s="3264"/>
      <c r="D553" s="3271"/>
      <c r="E553" s="3265">
        <f t="shared" si="326"/>
        <v>0</v>
      </c>
      <c r="F553" s="3266"/>
      <c r="G553" s="3267">
        <f t="shared" ref="G553:G587" si="327">H553+AC553+AT553</f>
        <v>0</v>
      </c>
      <c r="H553" s="3268">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5">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1051">
        <f t="shared" ref="AV553:AV587" si="330">A553</f>
        <v>0</v>
      </c>
      <c r="AW553" s="1051">
        <f t="shared" ref="AW553:AW587" si="331">B553</f>
        <v>0</v>
      </c>
      <c r="AX553" s="1051">
        <f t="shared" ref="AX553:AX587" si="332">C553</f>
        <v>0</v>
      </c>
      <c r="AY553" s="3313">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20">
        <f t="shared" ref="BT553:BT587" si="354">IF($D553="是",AR553-AS553,0)</f>
        <v>0</v>
      </c>
    </row>
    <row r="554" spans="1:72">
      <c r="A554" s="3263"/>
      <c r="B554" s="3264"/>
      <c r="C554" s="3264"/>
      <c r="D554" s="3271"/>
      <c r="E554" s="3265">
        <f t="shared" si="326"/>
        <v>0</v>
      </c>
      <c r="F554" s="3266"/>
      <c r="G554" s="3267">
        <f t="shared" si="327"/>
        <v>0</v>
      </c>
      <c r="H554" s="3268">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5">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1051">
        <f t="shared" si="330"/>
        <v>0</v>
      </c>
      <c r="AW554" s="1051">
        <f t="shared" si="331"/>
        <v>0</v>
      </c>
      <c r="AX554" s="1051">
        <f t="shared" si="332"/>
        <v>0</v>
      </c>
      <c r="AY554" s="3313">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20">
        <f t="shared" si="354"/>
        <v>0</v>
      </c>
    </row>
    <row r="555" spans="1:72">
      <c r="A555" s="3263"/>
      <c r="B555" s="3264"/>
      <c r="C555" s="3264"/>
      <c r="D555" s="3271"/>
      <c r="E555" s="3265">
        <f t="shared" si="326"/>
        <v>0</v>
      </c>
      <c r="F555" s="3266"/>
      <c r="G555" s="3267">
        <f t="shared" si="327"/>
        <v>0</v>
      </c>
      <c r="H555" s="3268">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5">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1051">
        <f t="shared" si="330"/>
        <v>0</v>
      </c>
      <c r="AW555" s="1051">
        <f t="shared" si="331"/>
        <v>0</v>
      </c>
      <c r="AX555" s="1051">
        <f t="shared" si="332"/>
        <v>0</v>
      </c>
      <c r="AY555" s="3313">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20">
        <f t="shared" si="354"/>
        <v>0</v>
      </c>
    </row>
    <row r="556" spans="1:72">
      <c r="A556" s="3263"/>
      <c r="B556" s="3264"/>
      <c r="C556" s="3264"/>
      <c r="D556" s="3271"/>
      <c r="E556" s="3265">
        <f t="shared" si="326"/>
        <v>0</v>
      </c>
      <c r="F556" s="3266"/>
      <c r="G556" s="3267">
        <f t="shared" si="327"/>
        <v>0</v>
      </c>
      <c r="H556" s="3268">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5">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1051">
        <f t="shared" si="330"/>
        <v>0</v>
      </c>
      <c r="AW556" s="1051">
        <f t="shared" si="331"/>
        <v>0</v>
      </c>
      <c r="AX556" s="1051">
        <f t="shared" si="332"/>
        <v>0</v>
      </c>
      <c r="AY556" s="3313">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20">
        <f t="shared" si="354"/>
        <v>0</v>
      </c>
    </row>
    <row r="557" spans="1:72">
      <c r="A557" s="3263"/>
      <c r="B557" s="3264"/>
      <c r="C557" s="3264"/>
      <c r="D557" s="3271"/>
      <c r="E557" s="3265">
        <f t="shared" si="326"/>
        <v>0</v>
      </c>
      <c r="F557" s="3266"/>
      <c r="G557" s="3267">
        <f t="shared" si="327"/>
        <v>0</v>
      </c>
      <c r="H557" s="3268">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5">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1051">
        <f t="shared" si="330"/>
        <v>0</v>
      </c>
      <c r="AW557" s="1051">
        <f t="shared" si="331"/>
        <v>0</v>
      </c>
      <c r="AX557" s="1051">
        <f t="shared" si="332"/>
        <v>0</v>
      </c>
      <c r="AY557" s="3313">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20">
        <f t="shared" si="354"/>
        <v>0</v>
      </c>
    </row>
    <row r="558" spans="1:72">
      <c r="A558" s="3263"/>
      <c r="B558" s="3264"/>
      <c r="C558" s="3264"/>
      <c r="D558" s="3271"/>
      <c r="E558" s="3265">
        <f t="shared" si="326"/>
        <v>0</v>
      </c>
      <c r="F558" s="3266"/>
      <c r="G558" s="3267">
        <f t="shared" si="327"/>
        <v>0</v>
      </c>
      <c r="H558" s="3268">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5">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1051">
        <f t="shared" si="330"/>
        <v>0</v>
      </c>
      <c r="AW558" s="1051">
        <f t="shared" si="331"/>
        <v>0</v>
      </c>
      <c r="AX558" s="1051">
        <f t="shared" si="332"/>
        <v>0</v>
      </c>
      <c r="AY558" s="3313">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20">
        <f t="shared" si="354"/>
        <v>0</v>
      </c>
    </row>
    <row r="559" spans="1:72">
      <c r="A559" s="3263"/>
      <c r="B559" s="3264"/>
      <c r="C559" s="3264"/>
      <c r="D559" s="3271"/>
      <c r="E559" s="3265">
        <f t="shared" si="326"/>
        <v>0</v>
      </c>
      <c r="F559" s="3266"/>
      <c r="G559" s="3267">
        <f t="shared" si="327"/>
        <v>0</v>
      </c>
      <c r="H559" s="3268">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5">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1051">
        <f t="shared" si="330"/>
        <v>0</v>
      </c>
      <c r="AW559" s="1051">
        <f t="shared" si="331"/>
        <v>0</v>
      </c>
      <c r="AX559" s="1051">
        <f t="shared" si="332"/>
        <v>0</v>
      </c>
      <c r="AY559" s="3313">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20">
        <f t="shared" si="354"/>
        <v>0</v>
      </c>
    </row>
    <row r="560" spans="1:72">
      <c r="A560" s="3263"/>
      <c r="B560" s="3264"/>
      <c r="C560" s="3264"/>
      <c r="D560" s="3271"/>
      <c r="E560" s="3265">
        <f t="shared" si="326"/>
        <v>0</v>
      </c>
      <c r="F560" s="3266"/>
      <c r="G560" s="3267">
        <f t="shared" si="327"/>
        <v>0</v>
      </c>
      <c r="H560" s="3268">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5">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1051">
        <f t="shared" si="330"/>
        <v>0</v>
      </c>
      <c r="AW560" s="1051">
        <f t="shared" si="331"/>
        <v>0</v>
      </c>
      <c r="AX560" s="1051">
        <f t="shared" si="332"/>
        <v>0</v>
      </c>
      <c r="AY560" s="3313">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20">
        <f t="shared" si="354"/>
        <v>0</v>
      </c>
    </row>
    <row r="561" spans="1:72">
      <c r="A561" s="3263"/>
      <c r="B561" s="3264"/>
      <c r="C561" s="3264"/>
      <c r="D561" s="3271"/>
      <c r="E561" s="3265">
        <f t="shared" si="326"/>
        <v>0</v>
      </c>
      <c r="F561" s="3266"/>
      <c r="G561" s="3267">
        <f t="shared" si="327"/>
        <v>0</v>
      </c>
      <c r="H561" s="3268">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5">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1051">
        <f t="shared" si="330"/>
        <v>0</v>
      </c>
      <c r="AW561" s="1051">
        <f t="shared" si="331"/>
        <v>0</v>
      </c>
      <c r="AX561" s="1051">
        <f t="shared" si="332"/>
        <v>0</v>
      </c>
      <c r="AY561" s="3313">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20">
        <f t="shared" si="354"/>
        <v>0</v>
      </c>
    </row>
    <row r="562" spans="1:72">
      <c r="A562" s="3263"/>
      <c r="B562" s="3264"/>
      <c r="C562" s="3264"/>
      <c r="D562" s="3271"/>
      <c r="E562" s="3265">
        <f t="shared" si="326"/>
        <v>0</v>
      </c>
      <c r="F562" s="3266"/>
      <c r="G562" s="3267">
        <f t="shared" si="327"/>
        <v>0</v>
      </c>
      <c r="H562" s="3268">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5">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1051">
        <f t="shared" si="330"/>
        <v>0</v>
      </c>
      <c r="AW562" s="1051">
        <f t="shared" si="331"/>
        <v>0</v>
      </c>
      <c r="AX562" s="1051">
        <f t="shared" si="332"/>
        <v>0</v>
      </c>
      <c r="AY562" s="3313">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20">
        <f t="shared" si="354"/>
        <v>0</v>
      </c>
    </row>
    <row r="563" spans="1:72">
      <c r="A563" s="3263"/>
      <c r="B563" s="3264"/>
      <c r="C563" s="3264"/>
      <c r="D563" s="3271"/>
      <c r="E563" s="3265">
        <f t="shared" si="326"/>
        <v>0</v>
      </c>
      <c r="F563" s="3266"/>
      <c r="G563" s="3267">
        <f t="shared" si="327"/>
        <v>0</v>
      </c>
      <c r="H563" s="3268">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5">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1051">
        <f t="shared" si="330"/>
        <v>0</v>
      </c>
      <c r="AW563" s="1051">
        <f t="shared" si="331"/>
        <v>0</v>
      </c>
      <c r="AX563" s="1051">
        <f t="shared" si="332"/>
        <v>0</v>
      </c>
      <c r="AY563" s="3313">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20">
        <f t="shared" si="354"/>
        <v>0</v>
      </c>
    </row>
    <row r="564" spans="1:72">
      <c r="A564" s="3263"/>
      <c r="B564" s="3264"/>
      <c r="C564" s="3264"/>
      <c r="D564" s="3271"/>
      <c r="E564" s="3265">
        <f t="shared" si="326"/>
        <v>0</v>
      </c>
      <c r="F564" s="3266"/>
      <c r="G564" s="3267">
        <f t="shared" si="327"/>
        <v>0</v>
      </c>
      <c r="H564" s="3268">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5">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1051">
        <f t="shared" si="330"/>
        <v>0</v>
      </c>
      <c r="AW564" s="1051">
        <f t="shared" si="331"/>
        <v>0</v>
      </c>
      <c r="AX564" s="1051">
        <f t="shared" si="332"/>
        <v>0</v>
      </c>
      <c r="AY564" s="3313">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20">
        <f t="shared" si="354"/>
        <v>0</v>
      </c>
    </row>
    <row r="565" spans="1:72">
      <c r="A565" s="3263"/>
      <c r="B565" s="3264"/>
      <c r="C565" s="3264"/>
      <c r="D565" s="3271"/>
      <c r="E565" s="3265">
        <f t="shared" si="326"/>
        <v>0</v>
      </c>
      <c r="F565" s="3266"/>
      <c r="G565" s="3267">
        <f t="shared" si="327"/>
        <v>0</v>
      </c>
      <c r="H565" s="3268">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5">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1051">
        <f t="shared" si="330"/>
        <v>0</v>
      </c>
      <c r="AW565" s="1051">
        <f t="shared" si="331"/>
        <v>0</v>
      </c>
      <c r="AX565" s="1051">
        <f t="shared" si="332"/>
        <v>0</v>
      </c>
      <c r="AY565" s="3313">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20">
        <f t="shared" si="354"/>
        <v>0</v>
      </c>
    </row>
    <row r="566" spans="1:72">
      <c r="A566" s="3263"/>
      <c r="B566" s="3264"/>
      <c r="C566" s="3264"/>
      <c r="D566" s="3271"/>
      <c r="E566" s="3265">
        <f t="shared" si="326"/>
        <v>0</v>
      </c>
      <c r="F566" s="3266"/>
      <c r="G566" s="3267">
        <f t="shared" si="327"/>
        <v>0</v>
      </c>
      <c r="H566" s="3268">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5">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1051">
        <f t="shared" si="330"/>
        <v>0</v>
      </c>
      <c r="AW566" s="1051">
        <f t="shared" si="331"/>
        <v>0</v>
      </c>
      <c r="AX566" s="1051">
        <f t="shared" si="332"/>
        <v>0</v>
      </c>
      <c r="AY566" s="3313">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20">
        <f t="shared" si="354"/>
        <v>0</v>
      </c>
    </row>
    <row r="567" spans="1:72">
      <c r="A567" s="3263"/>
      <c r="B567" s="3264"/>
      <c r="C567" s="3264"/>
      <c r="D567" s="3271"/>
      <c r="E567" s="3265">
        <f t="shared" si="326"/>
        <v>0</v>
      </c>
      <c r="F567" s="3266"/>
      <c r="G567" s="3267">
        <f t="shared" si="327"/>
        <v>0</v>
      </c>
      <c r="H567" s="3268">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5">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1051">
        <f t="shared" si="330"/>
        <v>0</v>
      </c>
      <c r="AW567" s="1051">
        <f t="shared" si="331"/>
        <v>0</v>
      </c>
      <c r="AX567" s="1051">
        <f t="shared" si="332"/>
        <v>0</v>
      </c>
      <c r="AY567" s="3313">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20">
        <f t="shared" si="354"/>
        <v>0</v>
      </c>
    </row>
    <row r="568" spans="1:72">
      <c r="A568" s="3263"/>
      <c r="B568" s="3264"/>
      <c r="C568" s="3264"/>
      <c r="D568" s="3271"/>
      <c r="E568" s="3265">
        <f t="shared" si="326"/>
        <v>0</v>
      </c>
      <c r="F568" s="3266"/>
      <c r="G568" s="3267">
        <f t="shared" si="327"/>
        <v>0</v>
      </c>
      <c r="H568" s="3268">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5">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1051">
        <f t="shared" si="330"/>
        <v>0</v>
      </c>
      <c r="AW568" s="1051">
        <f t="shared" si="331"/>
        <v>0</v>
      </c>
      <c r="AX568" s="1051">
        <f t="shared" si="332"/>
        <v>0</v>
      </c>
      <c r="AY568" s="3313">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20">
        <f t="shared" si="354"/>
        <v>0</v>
      </c>
    </row>
    <row r="569" spans="1:72">
      <c r="A569" s="3263"/>
      <c r="B569" s="3264"/>
      <c r="C569" s="3264"/>
      <c r="D569" s="3271"/>
      <c r="E569" s="3265">
        <f t="shared" si="326"/>
        <v>0</v>
      </c>
      <c r="F569" s="3266"/>
      <c r="G569" s="3267">
        <f t="shared" si="327"/>
        <v>0</v>
      </c>
      <c r="H569" s="3268">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5">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1051">
        <f t="shared" si="330"/>
        <v>0</v>
      </c>
      <c r="AW569" s="1051">
        <f t="shared" si="331"/>
        <v>0</v>
      </c>
      <c r="AX569" s="1051">
        <f t="shared" si="332"/>
        <v>0</v>
      </c>
      <c r="AY569" s="3313">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20">
        <f t="shared" si="354"/>
        <v>0</v>
      </c>
    </row>
    <row r="570" spans="1:72">
      <c r="A570" s="3263"/>
      <c r="B570" s="3264"/>
      <c r="C570" s="3264"/>
      <c r="D570" s="3271"/>
      <c r="E570" s="3265">
        <f t="shared" si="326"/>
        <v>0</v>
      </c>
      <c r="F570" s="3266"/>
      <c r="G570" s="3267">
        <f t="shared" si="327"/>
        <v>0</v>
      </c>
      <c r="H570" s="3268">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5">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1051">
        <f t="shared" si="330"/>
        <v>0</v>
      </c>
      <c r="AW570" s="1051">
        <f t="shared" si="331"/>
        <v>0</v>
      </c>
      <c r="AX570" s="1051">
        <f t="shared" si="332"/>
        <v>0</v>
      </c>
      <c r="AY570" s="3313">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20">
        <f t="shared" si="354"/>
        <v>0</v>
      </c>
    </row>
    <row r="571" spans="1:72">
      <c r="A571" s="3263"/>
      <c r="B571" s="3264"/>
      <c r="C571" s="3264"/>
      <c r="D571" s="3271"/>
      <c r="E571" s="3265">
        <f t="shared" si="326"/>
        <v>0</v>
      </c>
      <c r="F571" s="3266"/>
      <c r="G571" s="3267">
        <f t="shared" si="327"/>
        <v>0</v>
      </c>
      <c r="H571" s="3268">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5">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1051">
        <f t="shared" si="330"/>
        <v>0</v>
      </c>
      <c r="AW571" s="1051">
        <f t="shared" si="331"/>
        <v>0</v>
      </c>
      <c r="AX571" s="1051">
        <f t="shared" si="332"/>
        <v>0</v>
      </c>
      <c r="AY571" s="3313">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20">
        <f t="shared" si="354"/>
        <v>0</v>
      </c>
    </row>
    <row r="572" spans="1:72">
      <c r="A572" s="3263"/>
      <c r="B572" s="3264"/>
      <c r="C572" s="3264"/>
      <c r="D572" s="3271"/>
      <c r="E572" s="3265">
        <f t="shared" si="326"/>
        <v>0</v>
      </c>
      <c r="F572" s="3266"/>
      <c r="G572" s="3267">
        <f t="shared" si="327"/>
        <v>0</v>
      </c>
      <c r="H572" s="3268">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5">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1051">
        <f t="shared" si="330"/>
        <v>0</v>
      </c>
      <c r="AW572" s="1051">
        <f t="shared" si="331"/>
        <v>0</v>
      </c>
      <c r="AX572" s="1051">
        <f t="shared" si="332"/>
        <v>0</v>
      </c>
      <c r="AY572" s="3313">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20">
        <f t="shared" si="354"/>
        <v>0</v>
      </c>
    </row>
    <row r="573" spans="1:72">
      <c r="A573" s="3263"/>
      <c r="B573" s="3264"/>
      <c r="C573" s="3264"/>
      <c r="D573" s="3271"/>
      <c r="E573" s="3265">
        <f t="shared" si="326"/>
        <v>0</v>
      </c>
      <c r="F573" s="3266"/>
      <c r="G573" s="3267">
        <f t="shared" si="327"/>
        <v>0</v>
      </c>
      <c r="H573" s="3268">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5">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1051">
        <f t="shared" si="330"/>
        <v>0</v>
      </c>
      <c r="AW573" s="1051">
        <f t="shared" si="331"/>
        <v>0</v>
      </c>
      <c r="AX573" s="1051">
        <f t="shared" si="332"/>
        <v>0</v>
      </c>
      <c r="AY573" s="3313">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20">
        <f t="shared" si="354"/>
        <v>0</v>
      </c>
    </row>
    <row r="574" spans="1:72">
      <c r="A574" s="3263"/>
      <c r="B574" s="3264"/>
      <c r="C574" s="3264"/>
      <c r="D574" s="3271"/>
      <c r="E574" s="3265">
        <f t="shared" si="326"/>
        <v>0</v>
      </c>
      <c r="F574" s="3266"/>
      <c r="G574" s="3267">
        <f t="shared" si="327"/>
        <v>0</v>
      </c>
      <c r="H574" s="3268">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5">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1051">
        <f t="shared" si="330"/>
        <v>0</v>
      </c>
      <c r="AW574" s="1051">
        <f t="shared" si="331"/>
        <v>0</v>
      </c>
      <c r="AX574" s="1051">
        <f t="shared" si="332"/>
        <v>0</v>
      </c>
      <c r="AY574" s="3313">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20">
        <f t="shared" si="354"/>
        <v>0</v>
      </c>
    </row>
    <row r="575" spans="1:72">
      <c r="A575" s="3263"/>
      <c r="B575" s="3264"/>
      <c r="C575" s="3264"/>
      <c r="D575" s="3271"/>
      <c r="E575" s="3265">
        <f t="shared" si="326"/>
        <v>0</v>
      </c>
      <c r="F575" s="3266"/>
      <c r="G575" s="3267">
        <f t="shared" si="327"/>
        <v>0</v>
      </c>
      <c r="H575" s="3268">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5">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1051">
        <f t="shared" si="330"/>
        <v>0</v>
      </c>
      <c r="AW575" s="1051">
        <f t="shared" si="331"/>
        <v>0</v>
      </c>
      <c r="AX575" s="1051">
        <f t="shared" si="332"/>
        <v>0</v>
      </c>
      <c r="AY575" s="3313">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20">
        <f t="shared" si="354"/>
        <v>0</v>
      </c>
    </row>
    <row r="576" spans="1:72">
      <c r="A576" s="3263"/>
      <c r="B576" s="3264"/>
      <c r="C576" s="3264"/>
      <c r="D576" s="3271"/>
      <c r="E576" s="3265">
        <f t="shared" si="326"/>
        <v>0</v>
      </c>
      <c r="F576" s="3266"/>
      <c r="G576" s="3267">
        <f t="shared" si="327"/>
        <v>0</v>
      </c>
      <c r="H576" s="3268">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5">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1051">
        <f t="shared" si="330"/>
        <v>0</v>
      </c>
      <c r="AW576" s="1051">
        <f t="shared" si="331"/>
        <v>0</v>
      </c>
      <c r="AX576" s="1051">
        <f t="shared" si="332"/>
        <v>0</v>
      </c>
      <c r="AY576" s="3313">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20">
        <f t="shared" si="354"/>
        <v>0</v>
      </c>
    </row>
    <row r="577" spans="1:72">
      <c r="A577" s="3263"/>
      <c r="B577" s="3264"/>
      <c r="C577" s="3264"/>
      <c r="D577" s="3271"/>
      <c r="E577" s="3265">
        <f t="shared" si="326"/>
        <v>0</v>
      </c>
      <c r="F577" s="3266"/>
      <c r="G577" s="3267">
        <f t="shared" si="327"/>
        <v>0</v>
      </c>
      <c r="H577" s="3268">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5">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1051">
        <f t="shared" si="330"/>
        <v>0</v>
      </c>
      <c r="AW577" s="1051">
        <f t="shared" si="331"/>
        <v>0</v>
      </c>
      <c r="AX577" s="1051">
        <f t="shared" si="332"/>
        <v>0</v>
      </c>
      <c r="AY577" s="3313">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20">
        <f t="shared" si="354"/>
        <v>0</v>
      </c>
    </row>
    <row r="578" spans="1:72">
      <c r="A578" s="3263"/>
      <c r="B578" s="3264"/>
      <c r="C578" s="3264"/>
      <c r="D578" s="3271"/>
      <c r="E578" s="3265">
        <f t="shared" si="326"/>
        <v>0</v>
      </c>
      <c r="F578" s="3266"/>
      <c r="G578" s="3267">
        <f t="shared" si="327"/>
        <v>0</v>
      </c>
      <c r="H578" s="3268">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5">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1051">
        <f t="shared" si="330"/>
        <v>0</v>
      </c>
      <c r="AW578" s="1051">
        <f t="shared" si="331"/>
        <v>0</v>
      </c>
      <c r="AX578" s="1051">
        <f t="shared" si="332"/>
        <v>0</v>
      </c>
      <c r="AY578" s="3313">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20">
        <f t="shared" si="354"/>
        <v>0</v>
      </c>
    </row>
    <row r="579" spans="1:72">
      <c r="A579" s="3263"/>
      <c r="B579" s="3264"/>
      <c r="C579" s="3264"/>
      <c r="D579" s="3271"/>
      <c r="E579" s="3265">
        <f t="shared" si="326"/>
        <v>0</v>
      </c>
      <c r="F579" s="3266"/>
      <c r="G579" s="3267">
        <f t="shared" si="327"/>
        <v>0</v>
      </c>
      <c r="H579" s="3268">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5">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1051">
        <f t="shared" si="330"/>
        <v>0</v>
      </c>
      <c r="AW579" s="1051">
        <f t="shared" si="331"/>
        <v>0</v>
      </c>
      <c r="AX579" s="1051">
        <f t="shared" si="332"/>
        <v>0</v>
      </c>
      <c r="AY579" s="3313">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20">
        <f t="shared" si="354"/>
        <v>0</v>
      </c>
    </row>
    <row r="580" spans="1:72">
      <c r="A580" s="3263"/>
      <c r="B580" s="3264"/>
      <c r="C580" s="3264"/>
      <c r="D580" s="3271"/>
      <c r="E580" s="3265">
        <f t="shared" si="326"/>
        <v>0</v>
      </c>
      <c r="F580" s="3266"/>
      <c r="G580" s="3267">
        <f t="shared" si="327"/>
        <v>0</v>
      </c>
      <c r="H580" s="3268">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5">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1051">
        <f t="shared" si="330"/>
        <v>0</v>
      </c>
      <c r="AW580" s="1051">
        <f t="shared" si="331"/>
        <v>0</v>
      </c>
      <c r="AX580" s="1051">
        <f t="shared" si="332"/>
        <v>0</v>
      </c>
      <c r="AY580" s="3313">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20">
        <f t="shared" si="354"/>
        <v>0</v>
      </c>
    </row>
    <row r="581" spans="1:72">
      <c r="A581" s="3263"/>
      <c r="B581" s="3264"/>
      <c r="C581" s="3264"/>
      <c r="D581" s="3271"/>
      <c r="E581" s="3265">
        <f t="shared" si="326"/>
        <v>0</v>
      </c>
      <c r="F581" s="3266"/>
      <c r="G581" s="3267">
        <f t="shared" si="327"/>
        <v>0</v>
      </c>
      <c r="H581" s="3268">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5">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1051">
        <f t="shared" si="330"/>
        <v>0</v>
      </c>
      <c r="AW581" s="1051">
        <f t="shared" si="331"/>
        <v>0</v>
      </c>
      <c r="AX581" s="1051">
        <f t="shared" si="332"/>
        <v>0</v>
      </c>
      <c r="AY581" s="3313">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20">
        <f t="shared" si="354"/>
        <v>0</v>
      </c>
    </row>
    <row r="582" spans="1:72">
      <c r="A582" s="3263"/>
      <c r="B582" s="3264"/>
      <c r="C582" s="3264"/>
      <c r="D582" s="3271"/>
      <c r="E582" s="3265">
        <f t="shared" si="326"/>
        <v>0</v>
      </c>
      <c r="F582" s="3266"/>
      <c r="G582" s="3267">
        <f t="shared" si="327"/>
        <v>0</v>
      </c>
      <c r="H582" s="3268">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5">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1051">
        <f t="shared" si="330"/>
        <v>0</v>
      </c>
      <c r="AW582" s="1051">
        <f t="shared" si="331"/>
        <v>0</v>
      </c>
      <c r="AX582" s="1051">
        <f t="shared" si="332"/>
        <v>0</v>
      </c>
      <c r="AY582" s="3313">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20">
        <f t="shared" si="354"/>
        <v>0</v>
      </c>
    </row>
    <row r="583" spans="1:72">
      <c r="A583" s="3263"/>
      <c r="B583" s="3264"/>
      <c r="C583" s="3264"/>
      <c r="D583" s="3271"/>
      <c r="E583" s="3265">
        <f t="shared" si="326"/>
        <v>0</v>
      </c>
      <c r="F583" s="3266"/>
      <c r="G583" s="3267">
        <f t="shared" si="327"/>
        <v>0</v>
      </c>
      <c r="H583" s="3268">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5">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1051">
        <f t="shared" si="330"/>
        <v>0</v>
      </c>
      <c r="AW583" s="1051">
        <f t="shared" si="331"/>
        <v>0</v>
      </c>
      <c r="AX583" s="1051">
        <f t="shared" si="332"/>
        <v>0</v>
      </c>
      <c r="AY583" s="3313">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20">
        <f t="shared" si="354"/>
        <v>0</v>
      </c>
    </row>
    <row r="584" spans="1:72">
      <c r="A584" s="3263"/>
      <c r="B584" s="3264"/>
      <c r="C584" s="3264"/>
      <c r="D584" s="3271"/>
      <c r="E584" s="3265">
        <f t="shared" si="326"/>
        <v>0</v>
      </c>
      <c r="F584" s="3266"/>
      <c r="G584" s="3267">
        <f t="shared" si="327"/>
        <v>0</v>
      </c>
      <c r="H584" s="3268">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5">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1051">
        <f t="shared" si="330"/>
        <v>0</v>
      </c>
      <c r="AW584" s="1051">
        <f t="shared" si="331"/>
        <v>0</v>
      </c>
      <c r="AX584" s="1051">
        <f t="shared" si="332"/>
        <v>0</v>
      </c>
      <c r="AY584" s="3313">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20">
        <f t="shared" si="354"/>
        <v>0</v>
      </c>
    </row>
    <row r="585" spans="1:72">
      <c r="A585" s="3263"/>
      <c r="B585" s="3263"/>
      <c r="C585" s="3263"/>
      <c r="D585" s="3271"/>
      <c r="E585" s="3265">
        <f t="shared" si="326"/>
        <v>0</v>
      </c>
      <c r="F585" s="3321"/>
      <c r="G585" s="3267">
        <f t="shared" si="327"/>
        <v>0</v>
      </c>
      <c r="H585" s="3268">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5">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1051">
        <f t="shared" si="330"/>
        <v>0</v>
      </c>
      <c r="AW585" s="1051">
        <f t="shared" si="331"/>
        <v>0</v>
      </c>
      <c r="AX585" s="1051">
        <f t="shared" si="332"/>
        <v>0</v>
      </c>
      <c r="AY585" s="3313">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20">
        <f t="shared" si="354"/>
        <v>0</v>
      </c>
    </row>
    <row r="586" spans="1:72">
      <c r="A586" s="3263"/>
      <c r="B586" s="3263"/>
      <c r="C586" s="3263"/>
      <c r="D586" s="3271"/>
      <c r="E586" s="3265">
        <f t="shared" si="326"/>
        <v>0</v>
      </c>
      <c r="F586" s="3321"/>
      <c r="G586" s="3267">
        <f t="shared" si="327"/>
        <v>0</v>
      </c>
      <c r="H586" s="3268">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5">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1051">
        <f t="shared" si="330"/>
        <v>0</v>
      </c>
      <c r="AW586" s="1051">
        <f t="shared" si="331"/>
        <v>0</v>
      </c>
      <c r="AX586" s="1051">
        <f t="shared" si="332"/>
        <v>0</v>
      </c>
      <c r="AY586" s="3313">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20">
        <f t="shared" si="354"/>
        <v>0</v>
      </c>
    </row>
    <row r="587" spans="1:72">
      <c r="A587" s="3263"/>
      <c r="B587" s="3263"/>
      <c r="C587" s="3263"/>
      <c r="D587" s="3271"/>
      <c r="E587" s="3265">
        <f t="shared" si="326"/>
        <v>0</v>
      </c>
      <c r="F587" s="3321"/>
      <c r="G587" s="3267">
        <f t="shared" si="327"/>
        <v>0</v>
      </c>
      <c r="H587" s="3268">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5">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1051">
        <f t="shared" si="330"/>
        <v>0</v>
      </c>
      <c r="AW587" s="1051">
        <f t="shared" si="331"/>
        <v>0</v>
      </c>
      <c r="AX587" s="1051">
        <f t="shared" si="332"/>
        <v>0</v>
      </c>
      <c r="AY587" s="3313">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20">
        <f t="shared" si="354"/>
        <v>0</v>
      </c>
    </row>
    <row r="588" s="3233"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4" customFormat="1" spans="3:4">
      <c r="C589" s="3326"/>
      <c r="D589" s="3326"/>
    </row>
    <row r="590" s="3234" customFormat="1" spans="3:4">
      <c r="C590" s="3326"/>
      <c r="D590" s="3326"/>
    </row>
    <row r="593" spans="2:2">
      <c r="B593" s="3326"/>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0 D5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95" customWidth="1"/>
    <col min="2" max="2" width="10.6666666666667" style="2795" customWidth="1"/>
    <col min="3" max="3" width="15.775" style="2795" customWidth="1"/>
    <col min="4" max="7" width="9.44166666666667" style="2795" customWidth="1"/>
    <col min="8" max="13" width="9.10833333333333" style="2795" customWidth="1"/>
    <col min="14" max="16384" width="9" style="2795"/>
  </cols>
  <sheetData>
    <row r="1" ht="14.25" spans="1:13">
      <c r="A1" s="3227" t="s">
        <v>488</v>
      </c>
      <c r="B1" s="3227" t="s">
        <v>489</v>
      </c>
      <c r="C1" s="3227" t="s">
        <v>490</v>
      </c>
      <c r="D1" s="3228" t="s">
        <v>491</v>
      </c>
      <c r="E1" s="3228" t="s">
        <v>492</v>
      </c>
      <c r="F1" s="3228"/>
      <c r="G1" s="3228"/>
      <c r="H1" s="3228"/>
      <c r="I1" s="3228"/>
      <c r="J1" s="3228"/>
      <c r="K1" s="3228"/>
      <c r="L1" s="3228"/>
      <c r="M1" s="3228"/>
    </row>
    <row r="2" ht="27" customHeight="1" spans="1:13">
      <c r="A2" s="3227"/>
      <c r="B2" s="3227"/>
      <c r="C2" s="3227"/>
      <c r="D2" s="3228"/>
      <c r="E2" s="3228" t="s">
        <v>493</v>
      </c>
      <c r="F2" s="3228" t="s">
        <v>494</v>
      </c>
      <c r="G2" s="3228"/>
      <c r="H2" s="3228"/>
      <c r="I2" s="3228"/>
      <c r="J2" s="3228" t="s">
        <v>495</v>
      </c>
      <c r="K2" s="3228"/>
      <c r="L2" s="3228"/>
      <c r="M2" s="3228"/>
    </row>
    <row r="3" ht="28.5" spans="1:13">
      <c r="A3" s="3227"/>
      <c r="B3" s="3227"/>
      <c r="C3" s="3227"/>
      <c r="D3" s="3228"/>
      <c r="E3" s="3228"/>
      <c r="F3" s="3229" t="s">
        <v>496</v>
      </c>
      <c r="G3" s="3229" t="s">
        <v>497</v>
      </c>
      <c r="H3" s="3229" t="s">
        <v>498</v>
      </c>
      <c r="I3" s="3229" t="s">
        <v>499</v>
      </c>
      <c r="J3" s="3229" t="s">
        <v>496</v>
      </c>
      <c r="K3" s="3229" t="s">
        <v>500</v>
      </c>
      <c r="L3" s="3229" t="s">
        <v>501</v>
      </c>
      <c r="M3" s="3229" t="s">
        <v>502</v>
      </c>
    </row>
    <row r="4" ht="42.75" spans="1:13">
      <c r="A4" s="3229" t="s">
        <v>503</v>
      </c>
      <c r="B4" s="3229" t="s">
        <v>504</v>
      </c>
      <c r="C4" s="3229" t="s">
        <v>505</v>
      </c>
      <c r="D4" s="3228">
        <v>3807.94</v>
      </c>
      <c r="E4" s="3228">
        <v>20666.91</v>
      </c>
      <c r="F4" s="3228">
        <v>19673</v>
      </c>
      <c r="G4" s="3228">
        <v>0</v>
      </c>
      <c r="H4" s="3228">
        <v>19673</v>
      </c>
      <c r="I4" s="3228">
        <v>0</v>
      </c>
      <c r="J4" s="3228">
        <v>993.91</v>
      </c>
      <c r="K4" s="3228">
        <v>0</v>
      </c>
      <c r="L4" s="3228">
        <v>0</v>
      </c>
      <c r="M4" s="3228">
        <v>993.91</v>
      </c>
    </row>
    <row r="5" ht="42.75" spans="1:13">
      <c r="A5" s="3229" t="s">
        <v>503</v>
      </c>
      <c r="B5" s="3229" t="s">
        <v>506</v>
      </c>
      <c r="C5" s="3229" t="s">
        <v>507</v>
      </c>
      <c r="D5" s="3228">
        <v>3667.86</v>
      </c>
      <c r="E5" s="3228">
        <v>19906.61</v>
      </c>
      <c r="F5" s="3228">
        <v>18792.87</v>
      </c>
      <c r="G5" s="3228">
        <v>18792.87</v>
      </c>
      <c r="H5" s="3228">
        <v>0</v>
      </c>
      <c r="I5" s="3228">
        <v>0</v>
      </c>
      <c r="J5" s="3228">
        <v>1113.74</v>
      </c>
      <c r="K5" s="3228">
        <v>55.59</v>
      </c>
      <c r="L5" s="3228">
        <v>0</v>
      </c>
      <c r="M5" s="3228">
        <v>1058.15</v>
      </c>
    </row>
    <row r="6" ht="42.75" spans="1:13">
      <c r="A6" s="3229" t="s">
        <v>503</v>
      </c>
      <c r="B6" s="3229" t="s">
        <v>506</v>
      </c>
      <c r="C6" s="3229" t="s">
        <v>508</v>
      </c>
      <c r="D6" s="3228">
        <v>2067.52</v>
      </c>
      <c r="E6" s="3228">
        <v>11221.06</v>
      </c>
      <c r="F6" s="3228">
        <v>9934.13</v>
      </c>
      <c r="G6" s="3228">
        <v>9934.13</v>
      </c>
      <c r="H6" s="3228">
        <v>0</v>
      </c>
      <c r="I6" s="3228">
        <v>0</v>
      </c>
      <c r="J6" s="3228">
        <v>1286.93</v>
      </c>
      <c r="K6" s="3228">
        <v>0</v>
      </c>
      <c r="L6" s="3228">
        <v>0</v>
      </c>
      <c r="M6" s="3228">
        <v>1286.93</v>
      </c>
    </row>
    <row r="7" ht="42.75" spans="1:13">
      <c r="A7" s="3229" t="s">
        <v>503</v>
      </c>
      <c r="B7" s="3229" t="s">
        <v>506</v>
      </c>
      <c r="C7" s="3229" t="s">
        <v>509</v>
      </c>
      <c r="D7" s="3228">
        <v>8.18</v>
      </c>
      <c r="E7" s="3228">
        <v>44.41</v>
      </c>
      <c r="F7" s="3228">
        <v>0</v>
      </c>
      <c r="G7" s="3228">
        <v>0</v>
      </c>
      <c r="H7" s="3228">
        <v>0</v>
      </c>
      <c r="I7" s="3228">
        <v>0</v>
      </c>
      <c r="J7" s="3228">
        <v>44.41</v>
      </c>
      <c r="K7" s="3228">
        <v>44.41</v>
      </c>
      <c r="L7" s="3228">
        <v>0</v>
      </c>
      <c r="M7" s="3228">
        <v>0</v>
      </c>
    </row>
    <row r="8" ht="42.75" spans="1:13">
      <c r="A8" s="3229" t="s">
        <v>503</v>
      </c>
      <c r="B8" s="3229" t="s">
        <v>506</v>
      </c>
      <c r="C8" s="3229" t="s">
        <v>499</v>
      </c>
      <c r="D8" s="3228">
        <v>2455.53</v>
      </c>
      <c r="E8" s="3228">
        <v>13326.96</v>
      </c>
      <c r="F8" s="3228">
        <v>9231.05</v>
      </c>
      <c r="G8" s="3228">
        <v>0</v>
      </c>
      <c r="H8" s="3228">
        <v>0</v>
      </c>
      <c r="I8" s="3228">
        <v>9231.05</v>
      </c>
      <c r="J8" s="3228">
        <v>4095.91</v>
      </c>
      <c r="K8" s="3228">
        <v>0</v>
      </c>
      <c r="L8" s="3228">
        <v>3320.79</v>
      </c>
      <c r="M8" s="3228">
        <v>775.12</v>
      </c>
    </row>
    <row r="9" ht="27" customHeight="1" spans="1:13">
      <c r="A9" s="3228" t="s">
        <v>510</v>
      </c>
      <c r="B9" s="3228"/>
      <c r="C9" s="3228"/>
      <c r="D9" s="3228">
        <v>12007.03</v>
      </c>
      <c r="E9" s="3228">
        <v>65165.95</v>
      </c>
      <c r="F9" s="3228">
        <v>57631.05</v>
      </c>
      <c r="G9" s="3228">
        <v>28727</v>
      </c>
      <c r="H9" s="3228">
        <v>19673</v>
      </c>
      <c r="I9" s="3228">
        <v>9231.05</v>
      </c>
      <c r="J9" s="3228">
        <v>7534.9</v>
      </c>
      <c r="K9" s="3228">
        <v>100</v>
      </c>
      <c r="L9" s="3228">
        <v>3320.79</v>
      </c>
      <c r="M9" s="322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E20" sqref="E20"/>
    </sheetView>
  </sheetViews>
  <sheetFormatPr defaultColWidth="9.21666666666667" defaultRowHeight="14.25"/>
  <cols>
    <col min="1" max="1" width="12.1083333333333" style="3132" customWidth="1"/>
    <col min="2" max="2" width="10.2166666666667" style="3132" customWidth="1"/>
    <col min="3" max="3" width="18.4416666666667" style="3132" customWidth="1"/>
    <col min="4" max="4" width="11.6666666666667" style="3132" customWidth="1"/>
    <col min="5" max="5" width="13.3333333333333" style="3132" customWidth="1"/>
    <col min="6" max="8" width="11.4416666666667" style="3132" customWidth="1"/>
    <col min="9" max="9" width="11.1083333333333" style="3132" customWidth="1"/>
    <col min="10" max="10" width="3.10833333333333" style="3133" customWidth="1"/>
    <col min="11" max="16" width="10" style="3132" customWidth="1"/>
    <col min="17" max="17" width="2.66666666666667" style="3132" customWidth="1"/>
    <col min="18" max="18" width="9.33333333333333" style="3132" customWidth="1"/>
    <col min="19" max="19" width="10.4416666666667" style="3132" customWidth="1"/>
    <col min="20" max="16384" width="9.21666666666667" style="3132"/>
  </cols>
  <sheetData>
    <row r="1" ht="19.5" spans="1:16">
      <c r="A1" s="1926" t="s">
        <v>511</v>
      </c>
      <c r="B1" s="2015"/>
      <c r="C1" s="2015"/>
      <c r="D1" s="2015"/>
      <c r="E1" s="2015"/>
      <c r="F1" s="2015"/>
      <c r="G1" s="2015"/>
      <c r="H1" s="2015"/>
      <c r="I1" s="2015"/>
      <c r="J1" s="2015"/>
      <c r="K1" s="2015"/>
      <c r="L1" s="2015"/>
      <c r="M1" s="2015"/>
      <c r="N1" s="2015"/>
      <c r="O1" s="2015"/>
      <c r="P1" s="2015"/>
    </row>
    <row r="2" spans="1:16">
      <c r="A2" s="1854" t="s">
        <v>512</v>
      </c>
      <c r="B2" s="1854"/>
      <c r="C2" s="1854"/>
      <c r="D2" s="1854" t="s">
        <v>513</v>
      </c>
      <c r="E2" s="3134" t="s">
        <v>514</v>
      </c>
      <c r="F2" s="3135"/>
      <c r="G2" s="3136"/>
      <c r="H2" s="3137"/>
      <c r="I2" s="2199" t="s">
        <v>515</v>
      </c>
      <c r="J2" s="3135"/>
      <c r="K2" s="3135"/>
      <c r="L2" s="3135"/>
      <c r="M2" s="3135"/>
      <c r="N2" s="1182"/>
      <c r="O2" s="3135"/>
      <c r="P2" s="3135"/>
    </row>
    <row r="3" ht="15.75" spans="1:16">
      <c r="A3" s="3138" t="s">
        <v>516</v>
      </c>
      <c r="B3" s="3138"/>
      <c r="C3" s="3138"/>
      <c r="D3" s="3139">
        <f>'数据-基础表'!AY6</f>
        <v>0</v>
      </c>
      <c r="E3" s="3139">
        <f>'数据-基础表'!AZ5</f>
        <v>33735.37</v>
      </c>
      <c r="F3" s="3135"/>
      <c r="G3" s="3140"/>
      <c r="H3" s="1961" t="s">
        <v>517</v>
      </c>
      <c r="I3" s="3203" t="e">
        <f>ROUND('数据-基础表'!B3/'数据-基础表'!A3,2)</f>
        <v>#DIV/0!</v>
      </c>
      <c r="J3" s="3135"/>
      <c r="K3" s="3135"/>
      <c r="L3" s="3135"/>
      <c r="M3" s="3135"/>
      <c r="N3" s="1182"/>
      <c r="O3" s="3135"/>
      <c r="P3" s="3135"/>
    </row>
    <row r="4" ht="15" spans="1:16">
      <c r="A4" s="2197"/>
      <c r="B4" s="2198"/>
      <c r="C4" s="3141"/>
      <c r="D4" s="3142" t="s">
        <v>513</v>
      </c>
      <c r="E4" s="3143" t="s">
        <v>514</v>
      </c>
      <c r="F4" s="3135"/>
      <c r="G4" s="3144" t="s">
        <v>518</v>
      </c>
      <c r="H4" s="1961" t="s">
        <v>519</v>
      </c>
      <c r="I4" s="3203" t="e">
        <f>ROUND(SUMIF('数据-基础表'!I9:AS9,"地上",'数据-基础表'!I5:AS5)/'数据-基础表'!A3,2)</f>
        <v>#DIV/0!</v>
      </c>
      <c r="J4" s="3135"/>
      <c r="K4" s="3135"/>
      <c r="L4" s="3135"/>
      <c r="M4" s="3135"/>
      <c r="N4" s="1182"/>
      <c r="O4" s="3135"/>
      <c r="P4" s="3135"/>
    </row>
    <row r="5" spans="1:16">
      <c r="A5" s="3145" t="s">
        <v>520</v>
      </c>
      <c r="B5" s="1067" t="s">
        <v>521</v>
      </c>
      <c r="C5" s="1067"/>
      <c r="D5" s="3146">
        <f>ROUND($D$3*E5/$E$3,2)</f>
        <v>0</v>
      </c>
      <c r="E5" s="3147">
        <f>SUMIF('数据-基础表'!$11:$11,"住宅",'数据-基础表'!$5:$5)</f>
        <v>0</v>
      </c>
      <c r="F5" s="3135"/>
      <c r="G5" s="3140"/>
      <c r="H5" s="1961" t="s">
        <v>517</v>
      </c>
      <c r="I5" s="3203" t="e">
        <f>ROUND(E31/D31,2)</f>
        <v>#DIV/0!</v>
      </c>
      <c r="J5" s="3135"/>
      <c r="K5" s="3135"/>
      <c r="L5" s="3135"/>
      <c r="M5" s="3135"/>
      <c r="N5" s="3135"/>
      <c r="O5" s="3135"/>
      <c r="P5" s="3135"/>
    </row>
    <row r="6" ht="15" spans="1:16">
      <c r="A6" s="3148"/>
      <c r="B6" s="1067" t="s">
        <v>522</v>
      </c>
      <c r="C6" s="1067"/>
      <c r="D6" s="3146">
        <f>ROUND($D$3*E6/$E$3,2)</f>
        <v>0</v>
      </c>
      <c r="E6" s="3147">
        <f>E3-E5</f>
        <v>33735.37</v>
      </c>
      <c r="F6" s="3135"/>
      <c r="G6" s="3149" t="s">
        <v>523</v>
      </c>
      <c r="H6" s="3150" t="s">
        <v>519</v>
      </c>
      <c r="I6" s="3204" t="e">
        <f>ROUND(F31/D31,2)</f>
        <v>#DIV/0!</v>
      </c>
      <c r="J6" s="3135"/>
      <c r="K6" s="3135"/>
      <c r="L6" s="3135"/>
      <c r="M6" s="3135"/>
      <c r="N6" s="3135"/>
      <c r="O6" s="3135"/>
      <c r="P6" s="3135"/>
    </row>
    <row r="7" ht="15" spans="1:16">
      <c r="A7" s="3151"/>
      <c r="B7" s="3152"/>
      <c r="C7" s="3153"/>
      <c r="D7" s="3142" t="s">
        <v>513</v>
      </c>
      <c r="E7" s="3154" t="s">
        <v>524</v>
      </c>
      <c r="F7" s="3135"/>
      <c r="G7" s="3155" t="s">
        <v>525</v>
      </c>
      <c r="H7" s="3156"/>
      <c r="I7" s="3205">
        <v>2.5</v>
      </c>
      <c r="J7" s="3135"/>
      <c r="K7" s="3135"/>
      <c r="L7" s="3135"/>
      <c r="M7" s="3135"/>
      <c r="N7" s="3135"/>
      <c r="O7" s="3135"/>
      <c r="P7" s="3135"/>
    </row>
    <row r="8" spans="1:16">
      <c r="A8" s="3145" t="s">
        <v>526</v>
      </c>
      <c r="B8" s="3157" t="s">
        <v>527</v>
      </c>
      <c r="C8" s="3146" t="s">
        <v>528</v>
      </c>
      <c r="D8" s="3146">
        <f t="shared" ref="D8:D15" si="0">ROUND($D$3*E8/$E$3,2)</f>
        <v>0</v>
      </c>
      <c r="E8" s="3158">
        <f>SUMIF('数据-基础表'!BB10:BK10,"地上",'数据-基础表'!BB5:BK5)</f>
        <v>25215.42</v>
      </c>
      <c r="F8" s="3135"/>
      <c r="G8" s="3159"/>
      <c r="H8" s="3159"/>
      <c r="I8" s="3135"/>
      <c r="J8" s="3135"/>
      <c r="K8" s="3135"/>
      <c r="L8" s="3135"/>
      <c r="M8" s="3135"/>
      <c r="N8" s="3135"/>
      <c r="O8" s="3135"/>
      <c r="P8" s="3135"/>
    </row>
    <row r="9" spans="1:16">
      <c r="A9" s="3160"/>
      <c r="B9" s="3161"/>
      <c r="C9" s="3146" t="s">
        <v>529</v>
      </c>
      <c r="D9" s="3146">
        <f t="shared" si="0"/>
        <v>0</v>
      </c>
      <c r="E9" s="3162">
        <v>0</v>
      </c>
      <c r="F9" s="3135"/>
      <c r="G9" s="3159"/>
      <c r="H9" s="3159"/>
      <c r="I9" s="3135"/>
      <c r="J9" s="3135"/>
      <c r="K9" s="3135"/>
      <c r="L9" s="3135"/>
      <c r="M9" s="3135"/>
      <c r="N9" s="3135"/>
      <c r="O9" s="3135"/>
      <c r="P9" s="3135"/>
    </row>
    <row r="10" spans="1:16">
      <c r="A10" s="3160"/>
      <c r="B10" s="3161"/>
      <c r="C10" s="3146" t="s">
        <v>530</v>
      </c>
      <c r="D10" s="3146">
        <f t="shared" si="0"/>
        <v>0</v>
      </c>
      <c r="E10" s="3158">
        <f>SUMPRODUCT(('数据-基础表'!BB10:BK10="地下")*('数据-基础表'!BB11:BK11="商业")*('数据-基础表'!BB5:BK5))</f>
        <v>7379.7</v>
      </c>
      <c r="F10" s="3135"/>
      <c r="G10" s="3159"/>
      <c r="H10" s="3159"/>
      <c r="I10" s="3135"/>
      <c r="J10" s="3135"/>
      <c r="K10" s="3135"/>
      <c r="L10" s="3135"/>
      <c r="M10" s="3135"/>
      <c r="N10" s="3135"/>
      <c r="O10" s="3135"/>
      <c r="P10" s="3135"/>
    </row>
    <row r="11" spans="1:16">
      <c r="A11" s="3160"/>
      <c r="B11" s="3161"/>
      <c r="C11" s="3146" t="s">
        <v>531</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532</v>
      </c>
      <c r="D12" s="3146">
        <f t="shared" si="0"/>
        <v>0</v>
      </c>
      <c r="E12" s="3158">
        <f>SUMPRODUCT(('数据-基础表'!BB10:BK10="地下")*('数据-基础表'!BB11:BK11="仓储")*('数据-基础表'!BB5:BK5))</f>
        <v>1140.25</v>
      </c>
      <c r="F12" s="3135"/>
      <c r="G12" s="3159"/>
      <c r="H12" s="3159"/>
      <c r="I12" s="3135"/>
      <c r="J12" s="3135"/>
      <c r="K12" s="3135"/>
      <c r="L12" s="3135"/>
      <c r="M12" s="3135"/>
      <c r="N12" s="3135"/>
      <c r="O12" s="3135"/>
      <c r="P12" s="3135"/>
    </row>
    <row r="13" spans="1:16">
      <c r="A13" s="3160"/>
      <c r="B13" s="3161"/>
      <c r="C13" s="3146" t="s">
        <v>533</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534</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5" spans="1:16">
      <c r="A15" s="3160"/>
      <c r="B15" s="3161"/>
      <c r="C15" s="3146" t="s">
        <v>535</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5" spans="1:16">
      <c r="A16" s="3148"/>
      <c r="B16" s="3161"/>
      <c r="C16" s="3157" t="s">
        <v>536</v>
      </c>
      <c r="D16" s="3157">
        <f>SUM(D8:D15)</f>
        <v>0</v>
      </c>
      <c r="E16" s="3163">
        <f>SUM(E8:E15)</f>
        <v>33735.37</v>
      </c>
      <c r="F16" s="3135"/>
      <c r="G16" s="3159"/>
      <c r="H16" s="3164" t="s">
        <v>537</v>
      </c>
      <c r="I16" s="3206"/>
      <c r="J16" s="2015"/>
      <c r="K16" s="3207" t="s">
        <v>537</v>
      </c>
      <c r="L16" s="3166"/>
      <c r="M16" s="3166"/>
      <c r="N16" s="3166"/>
      <c r="O16" s="3166"/>
      <c r="P16" s="3208"/>
    </row>
    <row r="17" ht="15" spans="1:19">
      <c r="A17" s="3094" t="s">
        <v>538</v>
      </c>
      <c r="B17" s="3165" t="s">
        <v>539</v>
      </c>
      <c r="C17" s="3093" t="s">
        <v>540</v>
      </c>
      <c r="D17" s="3166" t="s">
        <v>513</v>
      </c>
      <c r="E17" s="3167" t="s">
        <v>514</v>
      </c>
      <c r="F17" s="3168"/>
      <c r="G17" s="3169"/>
      <c r="H17" s="3170" t="s">
        <v>541</v>
      </c>
      <c r="I17" s="3209" t="s">
        <v>542</v>
      </c>
      <c r="J17" s="2015"/>
      <c r="K17" s="3210" t="s">
        <v>543</v>
      </c>
      <c r="L17" s="3211"/>
      <c r="M17" s="3212"/>
      <c r="N17" s="3210" t="s">
        <v>544</v>
      </c>
      <c r="O17" s="3211"/>
      <c r="P17" s="3212"/>
      <c r="R17" s="3225" t="s">
        <v>545</v>
      </c>
      <c r="S17" s="1947"/>
    </row>
    <row r="18" ht="15" spans="1:19">
      <c r="A18" s="3160"/>
      <c r="B18" s="3171"/>
      <c r="C18" s="3172"/>
      <c r="D18" s="3173"/>
      <c r="E18" s="3174" t="s">
        <v>546</v>
      </c>
      <c r="F18" s="3175" t="s">
        <v>519</v>
      </c>
      <c r="G18" s="3176" t="s">
        <v>547</v>
      </c>
      <c r="H18" s="3099" t="s">
        <v>548</v>
      </c>
      <c r="I18" s="3213" t="s">
        <v>549</v>
      </c>
      <c r="J18" s="2015"/>
      <c r="K18" s="3099" t="s">
        <v>550</v>
      </c>
      <c r="L18" s="2218" t="s">
        <v>551</v>
      </c>
      <c r="M18" s="3203" t="s">
        <v>552</v>
      </c>
      <c r="N18" s="3099" t="s">
        <v>550</v>
      </c>
      <c r="O18" s="2218" t="s">
        <v>551</v>
      </c>
      <c r="P18" s="3203" t="s">
        <v>552</v>
      </c>
      <c r="R18" s="1961" t="s">
        <v>548</v>
      </c>
      <c r="S18" s="1961" t="s">
        <v>549</v>
      </c>
    </row>
    <row r="19" spans="1:19">
      <c r="A19" s="3177"/>
      <c r="B19" s="3157" t="s">
        <v>553</v>
      </c>
      <c r="C19" s="3178" t="s">
        <v>459</v>
      </c>
      <c r="D19" s="3146">
        <f>ROUND($D$3*E19/$E$3,2)</f>
        <v>0</v>
      </c>
      <c r="E19" s="3179">
        <f t="shared" ref="E19:E26" si="1">SUM(F19:G19)</f>
        <v>24827.5</v>
      </c>
      <c r="F19" s="3180">
        <f>'数据-基础表'!I5-F21</f>
        <v>17447.8</v>
      </c>
      <c r="G19" s="3181">
        <f>'数据-基础表'!K5</f>
        <v>7379.7</v>
      </c>
      <c r="H19" s="3083">
        <f>ROUND($D$3*I19/$E$3,2)</f>
        <v>0</v>
      </c>
      <c r="I19" s="3158">
        <f t="shared" ref="I19:I26" si="2">IF($I$17="自定义",P19,M19)</f>
        <v>0</v>
      </c>
      <c r="J19" s="2015"/>
      <c r="K19" s="3214">
        <f t="shared" ref="K19:K26" si="3">ROUND(E$28*E19/E$27,2)</f>
        <v>0</v>
      </c>
      <c r="L19" s="1961">
        <f t="shared" ref="L19:L26" si="4">ROUND(IF(COUNTIF(C19,"*住宅*")&gt;0,E$29*E19/E$32,0),2)</f>
        <v>0</v>
      </c>
      <c r="M19" s="3215">
        <f>K19+L19</f>
        <v>0</v>
      </c>
      <c r="N19" s="3216"/>
      <c r="O19" s="3217"/>
      <c r="P19" s="3215">
        <f>N19+O19</f>
        <v>0</v>
      </c>
      <c r="R19" s="1961">
        <f t="shared" ref="R19:S26" si="5">D19+H19</f>
        <v>0</v>
      </c>
      <c r="S19" s="3226">
        <f t="shared" si="5"/>
        <v>24827.5</v>
      </c>
    </row>
    <row r="20" spans="1:19">
      <c r="A20" s="3182"/>
      <c r="B20" s="3157" t="s">
        <v>553</v>
      </c>
      <c r="C20" s="3178" t="s">
        <v>460</v>
      </c>
      <c r="D20" s="3146">
        <f t="shared" ref="D20:D26" si="6">ROUND($D$3*E20/$E$3,2)</f>
        <v>0</v>
      </c>
      <c r="E20" s="3179">
        <f t="shared" si="1"/>
        <v>1140.25</v>
      </c>
      <c r="F20" s="3180"/>
      <c r="G20" s="3181">
        <f>'数据-基础表'!M5</f>
        <v>1140.25</v>
      </c>
      <c r="H20" s="3083">
        <f t="shared" ref="H20:H26" si="7">ROUND($D$3*I20/$E$3,2)</f>
        <v>0</v>
      </c>
      <c r="I20" s="3158">
        <f t="shared" si="2"/>
        <v>0</v>
      </c>
      <c r="J20" s="2015"/>
      <c r="K20" s="3214">
        <f t="shared" si="3"/>
        <v>0</v>
      </c>
      <c r="L20" s="1961">
        <f t="shared" si="4"/>
        <v>0</v>
      </c>
      <c r="M20" s="3215">
        <f t="shared" ref="M20:M26" si="8">K20+L20</f>
        <v>0</v>
      </c>
      <c r="N20" s="3216"/>
      <c r="O20" s="3217"/>
      <c r="P20" s="3215">
        <f t="shared" ref="P20:P26" si="9">N20+O20</f>
        <v>0</v>
      </c>
      <c r="R20" s="1961">
        <f t="shared" si="5"/>
        <v>0</v>
      </c>
      <c r="S20" s="3226">
        <f t="shared" si="5"/>
        <v>1140.25</v>
      </c>
    </row>
    <row r="21" spans="1:19">
      <c r="A21" s="3182"/>
      <c r="B21" s="3157" t="s">
        <v>553</v>
      </c>
      <c r="C21" s="3178" t="s">
        <v>554</v>
      </c>
      <c r="D21" s="3146">
        <f t="shared" si="6"/>
        <v>0</v>
      </c>
      <c r="E21" s="3179">
        <f t="shared" si="1"/>
        <v>7767.62</v>
      </c>
      <c r="F21" s="3180">
        <f>'数据-基础表'!G19+'数据-基础表'!G20+'数据-基础表'!G21+'数据-基础表'!G22+'数据-基础表'!G23+'数据-基础表'!G24+'数据-基础表'!G25+'数据-基础表'!G26+'数据-基础表'!G27+'数据-基础表'!G28</f>
        <v>7767.62</v>
      </c>
      <c r="G21" s="3181"/>
      <c r="H21" s="3083">
        <f t="shared" si="7"/>
        <v>0</v>
      </c>
      <c r="I21" s="3158">
        <f t="shared" si="2"/>
        <v>0</v>
      </c>
      <c r="J21" s="2015"/>
      <c r="K21" s="3214">
        <f t="shared" si="3"/>
        <v>0</v>
      </c>
      <c r="L21" s="1961">
        <f t="shared" si="4"/>
        <v>0</v>
      </c>
      <c r="M21" s="3215">
        <f t="shared" si="8"/>
        <v>0</v>
      </c>
      <c r="N21" s="3216"/>
      <c r="O21" s="3217"/>
      <c r="P21" s="3215">
        <f t="shared" si="9"/>
        <v>0</v>
      </c>
      <c r="R21" s="1961">
        <f t="shared" si="5"/>
        <v>0</v>
      </c>
      <c r="S21" s="3226">
        <f t="shared" si="5"/>
        <v>7767.62</v>
      </c>
    </row>
    <row r="22" spans="1:19">
      <c r="A22" s="3182"/>
      <c r="B22" s="3157" t="s">
        <v>553</v>
      </c>
      <c r="C22" s="3183"/>
      <c r="D22" s="3146">
        <f t="shared" si="6"/>
        <v>0</v>
      </c>
      <c r="E22" s="3179">
        <f t="shared" si="1"/>
        <v>0</v>
      </c>
      <c r="F22" s="3184"/>
      <c r="G22" s="3185"/>
      <c r="H22" s="3083">
        <f t="shared" si="7"/>
        <v>0</v>
      </c>
      <c r="I22" s="3158">
        <f t="shared" si="2"/>
        <v>0</v>
      </c>
      <c r="J22" s="2015"/>
      <c r="K22" s="3214">
        <f t="shared" si="3"/>
        <v>0</v>
      </c>
      <c r="L22" s="1961">
        <f t="shared" si="4"/>
        <v>0</v>
      </c>
      <c r="M22" s="3215">
        <f t="shared" si="8"/>
        <v>0</v>
      </c>
      <c r="N22" s="3216"/>
      <c r="O22" s="3217"/>
      <c r="P22" s="3215">
        <f t="shared" si="9"/>
        <v>0</v>
      </c>
      <c r="R22" s="1961">
        <f t="shared" si="5"/>
        <v>0</v>
      </c>
      <c r="S22" s="3226">
        <f t="shared" si="5"/>
        <v>0</v>
      </c>
    </row>
    <row r="23" spans="1:19">
      <c r="A23" s="3182"/>
      <c r="B23" s="3157" t="s">
        <v>553</v>
      </c>
      <c r="C23" s="3183"/>
      <c r="D23" s="3146">
        <f t="shared" si="6"/>
        <v>0</v>
      </c>
      <c r="E23" s="3179">
        <f t="shared" si="1"/>
        <v>0</v>
      </c>
      <c r="F23" s="3184"/>
      <c r="G23" s="3185"/>
      <c r="H23" s="3083">
        <f t="shared" si="7"/>
        <v>0</v>
      </c>
      <c r="I23" s="3158">
        <f t="shared" si="2"/>
        <v>0</v>
      </c>
      <c r="J23" s="2015"/>
      <c r="K23" s="3214">
        <f t="shared" si="3"/>
        <v>0</v>
      </c>
      <c r="L23" s="1961">
        <f t="shared" si="4"/>
        <v>0</v>
      </c>
      <c r="M23" s="3215">
        <f t="shared" si="8"/>
        <v>0</v>
      </c>
      <c r="N23" s="3216"/>
      <c r="O23" s="3217"/>
      <c r="P23" s="3215">
        <f t="shared" si="9"/>
        <v>0</v>
      </c>
      <c r="R23" s="1961">
        <f t="shared" si="5"/>
        <v>0</v>
      </c>
      <c r="S23" s="3226">
        <f t="shared" si="5"/>
        <v>0</v>
      </c>
    </row>
    <row r="24" spans="1:19">
      <c r="A24" s="3182"/>
      <c r="B24" s="3157" t="s">
        <v>553</v>
      </c>
      <c r="C24" s="3183"/>
      <c r="D24" s="3146">
        <f t="shared" si="6"/>
        <v>0</v>
      </c>
      <c r="E24" s="3179">
        <f t="shared" si="1"/>
        <v>0</v>
      </c>
      <c r="F24" s="3184"/>
      <c r="G24" s="3185"/>
      <c r="H24" s="3083">
        <f t="shared" si="7"/>
        <v>0</v>
      </c>
      <c r="I24" s="3158">
        <f t="shared" si="2"/>
        <v>0</v>
      </c>
      <c r="J24" s="2015"/>
      <c r="K24" s="3214">
        <f t="shared" si="3"/>
        <v>0</v>
      </c>
      <c r="L24" s="1961">
        <f t="shared" si="4"/>
        <v>0</v>
      </c>
      <c r="M24" s="3215">
        <f t="shared" si="8"/>
        <v>0</v>
      </c>
      <c r="N24" s="3216"/>
      <c r="O24" s="3217"/>
      <c r="P24" s="3215">
        <f t="shared" si="9"/>
        <v>0</v>
      </c>
      <c r="R24" s="1961">
        <f t="shared" si="5"/>
        <v>0</v>
      </c>
      <c r="S24" s="3226">
        <f t="shared" si="5"/>
        <v>0</v>
      </c>
    </row>
    <row r="25" spans="1:19">
      <c r="A25" s="3182"/>
      <c r="B25" s="3157" t="s">
        <v>553</v>
      </c>
      <c r="C25" s="3183"/>
      <c r="D25" s="3146">
        <f t="shared" si="6"/>
        <v>0</v>
      </c>
      <c r="E25" s="3179">
        <f t="shared" si="1"/>
        <v>0</v>
      </c>
      <c r="F25" s="3184"/>
      <c r="G25" s="3185"/>
      <c r="H25" s="3145">
        <f t="shared" si="7"/>
        <v>0</v>
      </c>
      <c r="I25" s="3158">
        <f t="shared" si="2"/>
        <v>0</v>
      </c>
      <c r="J25" s="2015"/>
      <c r="K25" s="3214">
        <f t="shared" si="3"/>
        <v>0</v>
      </c>
      <c r="L25" s="1961">
        <f t="shared" si="4"/>
        <v>0</v>
      </c>
      <c r="M25" s="3215">
        <f t="shared" si="8"/>
        <v>0</v>
      </c>
      <c r="N25" s="3216"/>
      <c r="O25" s="3217"/>
      <c r="P25" s="3215">
        <f t="shared" si="9"/>
        <v>0</v>
      </c>
      <c r="R25" s="1961">
        <f t="shared" si="5"/>
        <v>0</v>
      </c>
      <c r="S25" s="3226">
        <f t="shared" si="5"/>
        <v>0</v>
      </c>
    </row>
    <row r="26" spans="1:19">
      <c r="A26" s="3182"/>
      <c r="B26" s="3157" t="s">
        <v>553</v>
      </c>
      <c r="C26" s="3186"/>
      <c r="D26" s="3146">
        <f t="shared" si="6"/>
        <v>0</v>
      </c>
      <c r="E26" s="3179">
        <f t="shared" si="1"/>
        <v>0</v>
      </c>
      <c r="F26" s="3184"/>
      <c r="G26" s="3185"/>
      <c r="H26" s="3145">
        <f t="shared" si="7"/>
        <v>0</v>
      </c>
      <c r="I26" s="3158">
        <f t="shared" si="2"/>
        <v>0</v>
      </c>
      <c r="J26" s="2015"/>
      <c r="K26" s="3140">
        <f t="shared" si="3"/>
        <v>0</v>
      </c>
      <c r="L26" s="3150">
        <f t="shared" si="4"/>
        <v>0</v>
      </c>
      <c r="M26" s="3193">
        <f t="shared" si="8"/>
        <v>0</v>
      </c>
      <c r="N26" s="3218"/>
      <c r="O26" s="3219"/>
      <c r="P26" s="3193">
        <f t="shared" si="9"/>
        <v>0</v>
      </c>
      <c r="R26" s="1961">
        <f t="shared" si="5"/>
        <v>0</v>
      </c>
      <c r="S26" s="3226">
        <f t="shared" si="5"/>
        <v>0</v>
      </c>
    </row>
    <row r="27" ht="15.75" spans="1:19">
      <c r="A27" s="3182"/>
      <c r="B27" s="3146"/>
      <c r="C27" s="2204" t="s">
        <v>555</v>
      </c>
      <c r="D27" s="3187">
        <f>SUM(D19:D26)</f>
        <v>0</v>
      </c>
      <c r="E27" s="3188">
        <f>IF(SUM(E19:E26)='数据-基础表'!BA5,SUM(E19:E26),IF(F27="地上面积有误","面积有误","地下面积有误"))</f>
        <v>33735.37</v>
      </c>
      <c r="F27" s="3187">
        <f>IF(SUM(F19:F26)=E8,SUM(F19:F26),"地上面积有误")</f>
        <v>25215.42</v>
      </c>
      <c r="G27" s="3189">
        <f>SUM(G19:G26)</f>
        <v>8519.95</v>
      </c>
      <c r="H27" s="3190">
        <f>SUM(H19:H26)</f>
        <v>0</v>
      </c>
      <c r="I27" s="3220">
        <f>SUM(I19:I26)</f>
        <v>0</v>
      </c>
      <c r="J27" s="2015"/>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0</v>
      </c>
      <c r="S27" s="1961">
        <f>IF(SUM(S19:S26)=$E$3,SUM(S19:S26),SUM(S19:S26)&amp;"误差"&amp;ROUND(SUM(S19:S26)-E3,2))</f>
        <v>33735.37</v>
      </c>
    </row>
    <row r="28" spans="1:16">
      <c r="A28" s="3182"/>
      <c r="B28" s="3157" t="s">
        <v>556</v>
      </c>
      <c r="C28" s="3103" t="s">
        <v>557</v>
      </c>
      <c r="D28" s="3146">
        <f>ROUND($D$3*E28/$E$3,2)</f>
        <v>0</v>
      </c>
      <c r="E28" s="3179">
        <f>SUM(F28:G28)</f>
        <v>0</v>
      </c>
      <c r="F28" s="1947">
        <f>'数据-基础表'!BQ5+'数据-基础表'!BS5</f>
        <v>0</v>
      </c>
      <c r="G28" s="3191">
        <f>'数据-基础表'!BR5+'数据-基础表'!BT5</f>
        <v>0</v>
      </c>
      <c r="H28" s="3135"/>
      <c r="I28" s="3135"/>
      <c r="J28" s="3135"/>
      <c r="K28" s="3135"/>
      <c r="L28" s="3135"/>
      <c r="M28" s="3135"/>
      <c r="N28" s="3135"/>
      <c r="O28" s="3135"/>
      <c r="P28" s="3135"/>
    </row>
    <row r="29" spans="1:16">
      <c r="A29" s="3182"/>
      <c r="B29" s="3157" t="s">
        <v>556</v>
      </c>
      <c r="C29" s="2013" t="s">
        <v>558</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ht="15" spans="1:16">
      <c r="A30" s="3182"/>
      <c r="B30" s="3157"/>
      <c r="C30" s="3194" t="s">
        <v>555</v>
      </c>
      <c r="D30" s="3187">
        <f>SUM(D28:D29)</f>
        <v>0</v>
      </c>
      <c r="E30" s="3187">
        <f>SUM(E28:E29)</f>
        <v>0</v>
      </c>
      <c r="F30" s="3187">
        <f>SUM(F28:F29)</f>
        <v>0</v>
      </c>
      <c r="G30" s="3189">
        <f>SUM(G28:G29)</f>
        <v>0</v>
      </c>
      <c r="H30" s="3135"/>
      <c r="I30" s="3135"/>
      <c r="J30" s="3135"/>
      <c r="K30" s="3135"/>
      <c r="L30" s="3135"/>
      <c r="M30" s="3135"/>
      <c r="N30" s="3135"/>
      <c r="O30" s="3135"/>
      <c r="P30" s="3135"/>
    </row>
    <row r="31" ht="15.75" spans="1:16">
      <c r="A31" s="3195"/>
      <c r="B31" s="3196"/>
      <c r="C31" s="1897" t="s">
        <v>559</v>
      </c>
      <c r="D31" s="3197">
        <f>D27+D30</f>
        <v>0</v>
      </c>
      <c r="E31" s="3197">
        <f>E27+E30</f>
        <v>33735.37</v>
      </c>
      <c r="F31" s="3198">
        <f>F27+F30</f>
        <v>25215.42</v>
      </c>
      <c r="G31" s="3199">
        <f>G27+G30</f>
        <v>8519.95</v>
      </c>
      <c r="H31" s="3135"/>
      <c r="I31" s="3135"/>
      <c r="J31" s="3135"/>
      <c r="K31" s="3135"/>
      <c r="L31" s="3135"/>
      <c r="M31" s="3135"/>
      <c r="N31" s="3135"/>
      <c r="O31" s="3135"/>
      <c r="P31" s="3135"/>
    </row>
    <row r="32" spans="1:16">
      <c r="A32" s="3200"/>
      <c r="B32" s="3200" t="s">
        <v>560</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F6" activePane="bottomRight" state="frozen"/>
      <selection/>
      <selection pane="topRight"/>
      <selection pane="bottomLeft"/>
      <selection pane="bottomRight" activeCell="Q27" sqref="Q27"/>
    </sheetView>
  </sheetViews>
  <sheetFormatPr defaultColWidth="13.775" defaultRowHeight="12.75"/>
  <cols>
    <col min="1" max="1" width="20.8833333333333" style="2933" customWidth="1"/>
    <col min="2" max="2" width="12" style="2934" customWidth="1"/>
    <col min="3" max="3" width="12.775" style="2934" customWidth="1"/>
    <col min="4" max="4" width="9.10833333333333" style="2935" customWidth="1"/>
    <col min="5" max="5" width="15" style="2934" customWidth="1"/>
    <col min="6" max="10" width="8.88333333333333" style="2934" customWidth="1"/>
    <col min="11" max="12" width="12.3333333333333" style="2936" customWidth="1"/>
    <col min="13" max="13" width="8.66666666666667" style="2934" customWidth="1"/>
    <col min="14" max="14" width="13.9666666666667" style="2934" customWidth="1"/>
    <col min="15" max="15" width="8.44166666666667" style="2934" customWidth="1"/>
    <col min="16" max="17" width="10.8833333333333" style="2934" customWidth="1"/>
    <col min="18" max="19" width="12.4416666666667" style="2934" customWidth="1"/>
    <col min="20" max="20" width="12.1083333333333" style="2934" customWidth="1"/>
    <col min="21" max="21" width="7.44166666666667" style="2934" customWidth="1"/>
    <col min="22" max="22" width="6.33333333333333" style="2934" customWidth="1"/>
    <col min="23" max="30" width="6.775" style="2934" customWidth="1"/>
    <col min="31" max="31" width="8" style="2934" customWidth="1"/>
    <col min="32" max="34" width="7.21666666666667" style="2934" customWidth="1"/>
    <col min="35" max="39" width="8" style="2934" customWidth="1"/>
    <col min="40" max="40" width="13.775" style="2932"/>
    <col min="41" max="41" width="11.6666666666667" style="2932" customWidth="1"/>
    <col min="42" max="42" width="9.775" style="2932" customWidth="1"/>
    <col min="43" max="67" width="13.775" style="2932"/>
    <col min="68" max="16384" width="13.775" style="2934"/>
  </cols>
  <sheetData>
    <row r="1" ht="19.5" spans="1:44">
      <c r="A1" s="2937" t="s">
        <v>561</v>
      </c>
      <c r="B1" s="2938"/>
      <c r="C1" s="1640"/>
      <c r="D1" s="2939"/>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2929" customFormat="1" ht="15.75" spans="1:67">
      <c r="A2" s="2940" t="s">
        <v>562</v>
      </c>
      <c r="B2" s="2941">
        <f>项目基本情况!D3</f>
        <v>44461</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5" spans="1:67">
      <c r="A4" s="1313" t="s">
        <v>563</v>
      </c>
      <c r="B4" s="1970"/>
      <c r="C4" s="2946"/>
      <c r="D4" s="2947"/>
      <c r="E4" s="2946" t="s">
        <v>564</v>
      </c>
      <c r="F4" s="2946"/>
      <c r="G4" s="2946"/>
      <c r="H4" s="2946"/>
      <c r="I4" s="2946"/>
      <c r="J4" s="3040"/>
      <c r="K4" s="3041"/>
      <c r="L4" s="3042"/>
      <c r="M4" s="2946"/>
      <c r="N4" s="2946" t="s">
        <v>565</v>
      </c>
      <c r="O4" s="2946"/>
      <c r="P4" s="2946"/>
      <c r="Q4" s="2946"/>
      <c r="R4" s="2946"/>
      <c r="S4" s="3040"/>
      <c r="T4" s="3066" t="str">
        <f>'数据-汇总表'!I17</f>
        <v>按面积比例</v>
      </c>
      <c r="U4" s="1970" t="s">
        <v>566</v>
      </c>
      <c r="V4" s="2946"/>
      <c r="W4" s="2946"/>
      <c r="X4" s="2946"/>
      <c r="Y4" s="3040"/>
      <c r="Z4" s="3093" t="s">
        <v>567</v>
      </c>
      <c r="AA4" s="3093"/>
      <c r="AB4" s="3093"/>
      <c r="AC4" s="3093"/>
      <c r="AD4" s="3093"/>
      <c r="AE4" s="3094" t="s">
        <v>568</v>
      </c>
      <c r="AF4" s="3093"/>
      <c r="AG4" s="3107"/>
      <c r="AH4" s="1970"/>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540</v>
      </c>
      <c r="B5" s="2949" t="s">
        <v>539</v>
      </c>
      <c r="C5" s="2950" t="s">
        <v>569</v>
      </c>
      <c r="D5" s="2951" t="s">
        <v>570</v>
      </c>
      <c r="E5" s="2952" t="s">
        <v>571</v>
      </c>
      <c r="F5" s="2953" t="s">
        <v>572</v>
      </c>
      <c r="G5" s="2952" t="s">
        <v>573</v>
      </c>
      <c r="H5" s="2952" t="s">
        <v>574</v>
      </c>
      <c r="I5" s="2952" t="s">
        <v>575</v>
      </c>
      <c r="J5" s="3043" t="s">
        <v>576</v>
      </c>
      <c r="K5" s="3044" t="s">
        <v>549</v>
      </c>
      <c r="L5" s="3045" t="s">
        <v>577</v>
      </c>
      <c r="M5" s="3046" t="s">
        <v>578</v>
      </c>
      <c r="N5" s="3047" t="s">
        <v>579</v>
      </c>
      <c r="O5" s="3045" t="s">
        <v>580</v>
      </c>
      <c r="P5" s="3048" t="s">
        <v>581</v>
      </c>
      <c r="Q5" s="1193" t="s">
        <v>582</v>
      </c>
      <c r="R5" s="3067" t="s">
        <v>583</v>
      </c>
      <c r="S5" s="3068" t="s">
        <v>584</v>
      </c>
      <c r="T5" s="3069" t="s">
        <v>585</v>
      </c>
      <c r="U5" s="3070" t="s">
        <v>586</v>
      </c>
      <c r="V5" s="2952" t="s">
        <v>587</v>
      </c>
      <c r="W5" s="2952" t="s">
        <v>588</v>
      </c>
      <c r="X5" s="854"/>
      <c r="Y5" s="1331" t="s">
        <v>589</v>
      </c>
      <c r="Z5" s="3095" t="s">
        <v>586</v>
      </c>
      <c r="AA5" s="2952" t="s">
        <v>587</v>
      </c>
      <c r="AB5" s="2952" t="s">
        <v>588</v>
      </c>
      <c r="AC5" s="854"/>
      <c r="AD5" s="854" t="s">
        <v>589</v>
      </c>
      <c r="AE5" s="3070" t="s">
        <v>590</v>
      </c>
      <c r="AF5" s="2952" t="s">
        <v>591</v>
      </c>
      <c r="AG5" s="1331" t="s">
        <v>592</v>
      </c>
      <c r="AH5" s="3070" t="s">
        <v>593</v>
      </c>
      <c r="AI5" s="3095" t="s">
        <v>594</v>
      </c>
      <c r="AJ5" s="3095" t="s">
        <v>595</v>
      </c>
      <c r="AK5" s="2952" t="s">
        <v>596</v>
      </c>
      <c r="AL5" s="2952" t="s">
        <v>597</v>
      </c>
      <c r="AM5" s="1331" t="s">
        <v>598</v>
      </c>
      <c r="AN5" s="3108" t="s">
        <v>599</v>
      </c>
      <c r="AO5" s="3125" t="s">
        <v>600</v>
      </c>
      <c r="AP5" s="3126" t="s">
        <v>601</v>
      </c>
      <c r="AQ5" s="3127" t="s">
        <v>602</v>
      </c>
      <c r="AR5" s="3127" t="s">
        <v>603</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25" spans="1:67">
      <c r="A6" s="2954" t="str">
        <f>'数据-汇总表'!C19</f>
        <v>商业</v>
      </c>
      <c r="B6" s="2955" t="str">
        <f>IF(A6=0,"","经营性")</f>
        <v>经营性</v>
      </c>
      <c r="C6" s="2956" t="s">
        <v>459</v>
      </c>
      <c r="D6" s="2957">
        <f>SUMIF(项目基本情况!D$12:I$12,C6,项目基本情况!D$14:I$14)</f>
        <v>40</v>
      </c>
      <c r="E6" s="2958">
        <f>IF(B6="","",SUMIF(项目基本情况!D$12:I$12,C6,项目基本情况!D$13:I$13))</f>
        <v>0</v>
      </c>
      <c r="F6" s="2959">
        <f>SUMIF(项目基本情况!D$12:I$12,C6,项目基本情况!D$15:I$15)</f>
        <v>40</v>
      </c>
      <c r="G6" s="2960">
        <f>IF(ISERROR(ROUND(POWER(1+H6,D6-F6)*(POWER(1+H6,F6)-1)/(POWER(1+H6,D6)-1),3)),0,ROUND(POWER(1+H6,D6-F6)*(POWER(1+H6,F6)-1)/(POWER(1+H6,D6)-1),3))</f>
        <v>1</v>
      </c>
      <c r="H6" s="2961">
        <v>0.055</v>
      </c>
      <c r="I6" s="2961">
        <v>0.06</v>
      </c>
      <c r="J6" s="2962">
        <v>0.04</v>
      </c>
      <c r="K6" s="3049">
        <f>SUMIF('数据-汇总表'!C$19:C$33,A6,'数据-汇总表'!E$19:E$33)</f>
        <v>24827.5</v>
      </c>
      <c r="L6" s="3050">
        <f>N22</f>
        <v>3131</v>
      </c>
      <c r="M6" s="3051">
        <f t="shared" ref="M6:M14" si="0">ROUND(K6*L6/10000,0)</f>
        <v>7773</v>
      </c>
      <c r="N6" s="3052">
        <f>Q27</f>
        <v>0.95</v>
      </c>
      <c r="O6" s="3051" t="str">
        <f>IF($N$5="成新度","——",ROUND(M6*N6,0))</f>
        <v>——</v>
      </c>
      <c r="P6" s="3053" t="str">
        <f>IF($N$5="成新度","——",M6-O6)</f>
        <v>——</v>
      </c>
      <c r="Q6" s="3071">
        <v>0.15</v>
      </c>
      <c r="R6" s="3072">
        <f ca="1">SUMIF('数据-汇总表'!C$19:C$33,A6,'数据-汇总表'!R$19:R$27)</f>
        <v>0</v>
      </c>
      <c r="S6" s="3073">
        <f>IF('数据-汇总表'!$I$17="按面积比例",SUMIF('数据-汇总表'!C$19:C$33,A6,'数据-汇总表'!K$19:K$33),SUMIF('数据-汇总表'!C$19:C$33,A6,'数据-汇总表'!N$19:N$33))</f>
        <v>0</v>
      </c>
      <c r="T6" s="3074">
        <f>ROUND($L$14*S6/10000,0)</f>
        <v>0</v>
      </c>
      <c r="U6" s="3075"/>
      <c r="V6" s="3076"/>
      <c r="W6" s="3076"/>
      <c r="X6" s="3077"/>
      <c r="Y6" s="3096"/>
      <c r="Z6" s="3097"/>
      <c r="AA6" s="2962"/>
      <c r="AB6" s="2962"/>
      <c r="AC6" s="3077"/>
      <c r="AD6" s="3098"/>
      <c r="AE6" s="3099">
        <f ca="1">IF(AN6="",0,SUMIF(INDIRECT("'"&amp;AN6&amp;"'"&amp;"!E:E"),$AE$5,INDIRECT("'"&amp;AN6&amp;"'"&amp;"!F:F")))</f>
        <v>0</v>
      </c>
      <c r="AF6" s="1942"/>
      <c r="AG6" s="1963">
        <f ca="1">IF(AF6="",0,AE6-AF6)</f>
        <v>0</v>
      </c>
      <c r="AH6" s="3081"/>
      <c r="AI6" s="3109"/>
      <c r="AJ6" s="3110"/>
      <c r="AK6" s="3111"/>
      <c r="AL6" s="3112"/>
      <c r="AM6" s="3113"/>
      <c r="AN6" s="3114"/>
      <c r="AO6" s="1067" t="e">
        <f ca="1">SUMIF(INDIRECT("'"&amp;AN6&amp;"'"&amp;"!A:A"),"总价",INDIRECT("'"&amp;AN6&amp;"'"&amp;"!B:B"))</f>
        <v>#REF!</v>
      </c>
      <c r="AP6" s="3128">
        <f>IF(C6="住宅",K6*L6,0)</f>
        <v>0</v>
      </c>
      <c r="AQ6" s="1067">
        <f>ROUND($L$14*$N$14*S6/10000,0)</f>
        <v>0</v>
      </c>
      <c r="AR6" s="1067">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25" spans="1:67">
      <c r="A7" s="2954" t="str">
        <f>'数据-汇总表'!C20</f>
        <v>仓储</v>
      </c>
      <c r="B7" s="2955" t="str">
        <f t="shared" ref="B7:B13" si="1">IF(A7=0,"","经营性")</f>
        <v>经营性</v>
      </c>
      <c r="C7" s="2956" t="s">
        <v>460</v>
      </c>
      <c r="D7" s="2957">
        <f>SUMIF(项目基本情况!D$12:I$12,C7,项目基本情况!D$14:I$14)</f>
        <v>50</v>
      </c>
      <c r="E7" s="2958">
        <f>IF(B7="","",SUMIF(项目基本情况!D$12:I$12,C7,项目基本情况!D$13:I$13))</f>
        <v>0</v>
      </c>
      <c r="F7" s="2959">
        <f>SUMIF(项目基本情况!D$12:I$12,C7,项目基本情况!D$15:I$15)</f>
        <v>50</v>
      </c>
      <c r="G7" s="2960">
        <f t="shared" ref="G7:G13" si="2">IF(ISERROR(ROUND(POWER(1+H7,D7-F7)*(POWER(1+H7,F7)-1)/(POWER(1+H7,D7)-1),3)),0,ROUND(POWER(1+H7,D7-F7)*(POWER(1+H7,F7)-1)/(POWER(1+H7,D7)-1),3))</f>
        <v>1</v>
      </c>
      <c r="H7" s="2961">
        <v>0.05</v>
      </c>
      <c r="I7" s="2961">
        <v>0.055</v>
      </c>
      <c r="J7" s="2962">
        <f>J6</f>
        <v>0.04</v>
      </c>
      <c r="K7" s="3049">
        <f>SUMIF('数据-汇总表'!C$19:C$33,A7,'数据-汇总表'!E$19:E$33)</f>
        <v>1140.25</v>
      </c>
      <c r="L7" s="3050">
        <v>3000</v>
      </c>
      <c r="M7" s="3051">
        <f t="shared" si="0"/>
        <v>342</v>
      </c>
      <c r="N7" s="3052">
        <f>N6</f>
        <v>0.95</v>
      </c>
      <c r="O7" s="3051" t="str">
        <f t="shared" ref="O7:O14" si="3">IF($N$5="成新度","——",ROUND(M7*N7,0))</f>
        <v>——</v>
      </c>
      <c r="P7" s="3053" t="str">
        <f t="shared" ref="P7:P14" si="4">IF($N$5="成新度","——",M7-O7)</f>
        <v>——</v>
      </c>
      <c r="Q7" s="3071">
        <v>0.08</v>
      </c>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5">
        <v>0.6</v>
      </c>
      <c r="V7" s="3076">
        <v>0.005</v>
      </c>
      <c r="W7" s="3076">
        <v>0.1</v>
      </c>
      <c r="X7" s="3077"/>
      <c r="Y7" s="3096">
        <v>0.95</v>
      </c>
      <c r="Z7" s="3097"/>
      <c r="AA7" s="2962"/>
      <c r="AB7" s="2962"/>
      <c r="AC7" s="3077"/>
      <c r="AD7" s="3098"/>
      <c r="AE7" s="3099">
        <f ca="1" t="shared" ref="AE7:AE13" si="6">IF(AN7="",0,SUMIF(INDIRECT("'"&amp;AN7&amp;"'"&amp;"!E:E"),$AE$5,INDIRECT("'"&amp;AN7&amp;"'"&amp;"!F:F")))</f>
        <v>50</v>
      </c>
      <c r="AF7" s="1942"/>
      <c r="AG7" s="1963">
        <f ca="1" t="shared" ref="AG7:AG13" si="7">IF(AF7="",0,AE7-AF7)</f>
        <v>0</v>
      </c>
      <c r="AH7" s="3081"/>
      <c r="AI7" s="3109">
        <v>365</v>
      </c>
      <c r="AJ7" s="3110"/>
      <c r="AK7" s="3111">
        <v>0.01</v>
      </c>
      <c r="AL7" s="3112">
        <v>0.001</v>
      </c>
      <c r="AM7" s="3113">
        <v>0.01</v>
      </c>
      <c r="AN7" s="3114" t="s">
        <v>268</v>
      </c>
      <c r="AO7" s="1067">
        <f ca="1" t="shared" ref="AO7:AO13" si="8">SUMIF(INDIRECT("'"&amp;AN7&amp;"'"&amp;"!A:A"),"总价",INDIRECT("'"&amp;AN7&amp;"'"&amp;"!B:B"))</f>
        <v>249</v>
      </c>
      <c r="AP7" s="3128">
        <f t="shared" ref="AP7:AP13" si="9">IF(C7="住宅",K7*L7,0)</f>
        <v>0</v>
      </c>
      <c r="AQ7" s="1067">
        <f t="shared" ref="AQ7:AQ13" si="10">ROUND($L$14*$N$14*S7/10000,0)</f>
        <v>0</v>
      </c>
      <c r="AR7" s="1067">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25" spans="1:67">
      <c r="A8" s="2954" t="str">
        <f>'数据-汇总表'!C21</f>
        <v>酒店</v>
      </c>
      <c r="B8" s="2955" t="str">
        <f t="shared" si="1"/>
        <v>经营性</v>
      </c>
      <c r="C8" s="2956" t="s">
        <v>459</v>
      </c>
      <c r="D8" s="2957">
        <f>SUMIF(项目基本情况!D$12:I$12,C8,项目基本情况!D$14:I$14)</f>
        <v>40</v>
      </c>
      <c r="E8" s="2958">
        <f>IF(B8="","",SUMIF(项目基本情况!D$12:I$12,C8,项目基本情况!D$13:I$13))</f>
        <v>0</v>
      </c>
      <c r="F8" s="2959">
        <f>SUMIF(项目基本情况!D$12:I$12,C8,项目基本情况!D$15:I$15)</f>
        <v>40</v>
      </c>
      <c r="G8" s="2960">
        <f t="shared" si="2"/>
        <v>1</v>
      </c>
      <c r="H8" s="2961">
        <v>0.055</v>
      </c>
      <c r="I8" s="2961">
        <v>0.06</v>
      </c>
      <c r="J8" s="2962">
        <f>J6</f>
        <v>0.04</v>
      </c>
      <c r="K8" s="3049">
        <f>SUMIF('数据-汇总表'!C$19:C$33,A8,'数据-汇总表'!E$19:E$33)</f>
        <v>7767.62</v>
      </c>
      <c r="L8" s="3050">
        <v>3000</v>
      </c>
      <c r="M8" s="3051">
        <f t="shared" si="0"/>
        <v>2330</v>
      </c>
      <c r="N8" s="3052">
        <f>N6</f>
        <v>0.95</v>
      </c>
      <c r="O8" s="3051" t="str">
        <f t="shared" si="3"/>
        <v>——</v>
      </c>
      <c r="P8" s="3053" t="str">
        <f t="shared" si="4"/>
        <v>——</v>
      </c>
      <c r="Q8" s="3071">
        <v>0.1</v>
      </c>
      <c r="R8" s="3072">
        <f ca="1">SUMIF('数据-汇总表'!C$19:C$33,A8,'数据-汇总表'!R$19:R$27)</f>
        <v>0</v>
      </c>
      <c r="S8" s="3073">
        <f>IF('数据-汇总表'!$I$17="按面积比例",SUMIF('数据-汇总表'!C$19:C$33,A8,'数据-汇总表'!K$19:K$33),SUMIF('数据-汇总表'!C$19:C$33,A8,'数据-汇总表'!N$19:N$33))</f>
        <v>0</v>
      </c>
      <c r="T8" s="3074">
        <f t="shared" si="5"/>
        <v>0</v>
      </c>
      <c r="U8" s="3078"/>
      <c r="V8" s="3079"/>
      <c r="W8" s="3079"/>
      <c r="X8" s="3077"/>
      <c r="Y8" s="3100"/>
      <c r="Z8" s="3097"/>
      <c r="AA8" s="2962"/>
      <c r="AB8" s="2962"/>
      <c r="AC8" s="3077"/>
      <c r="AD8" s="3098"/>
      <c r="AE8" s="3099">
        <f ca="1" t="shared" si="6"/>
        <v>0</v>
      </c>
      <c r="AF8" s="1942"/>
      <c r="AG8" s="1963">
        <f ca="1" t="shared" si="7"/>
        <v>0</v>
      </c>
      <c r="AH8" s="3115"/>
      <c r="AI8" s="3109"/>
      <c r="AJ8" s="3110"/>
      <c r="AK8" s="3116"/>
      <c r="AL8" s="3117"/>
      <c r="AM8" s="3118"/>
      <c r="AN8" s="3114"/>
      <c r="AO8" s="1067" t="e">
        <f ca="1" t="shared" si="8"/>
        <v>#REF!</v>
      </c>
      <c r="AP8" s="3128">
        <f t="shared" si="9"/>
        <v>0</v>
      </c>
      <c r="AQ8" s="1067">
        <f t="shared" si="10"/>
        <v>0</v>
      </c>
      <c r="AR8" s="1067">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25" spans="1:67">
      <c r="A9" s="2954">
        <f>'数据-汇总表'!C22</f>
        <v>0</v>
      </c>
      <c r="B9" s="2955" t="str">
        <f t="shared" si="1"/>
        <v/>
      </c>
      <c r="C9" s="2956"/>
      <c r="D9" s="2957">
        <f>SUMIF(项目基本情况!D$12:I$12,C9,项目基本情况!D$14:I$14)</f>
        <v>0</v>
      </c>
      <c r="E9" s="2958" t="str">
        <f>IF(B9="","",SUMIF(项目基本情况!D$12:I$12,C9,项目基本情况!D$13:I$13))</f>
        <v/>
      </c>
      <c r="F9" s="2959">
        <f>SUMIF(项目基本情况!D$12:I$12,C9,项目基本情况!D$15:I$15)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2"/>
      <c r="AB9" s="2962"/>
      <c r="AC9" s="3077"/>
      <c r="AD9" s="3098"/>
      <c r="AE9" s="3099">
        <f ca="1" t="shared" si="6"/>
        <v>0</v>
      </c>
      <c r="AF9" s="1942"/>
      <c r="AG9" s="1963">
        <f ca="1" t="shared" si="7"/>
        <v>0</v>
      </c>
      <c r="AH9" s="3081"/>
      <c r="AI9" s="3109"/>
      <c r="AJ9" s="3110"/>
      <c r="AK9" s="3111"/>
      <c r="AL9" s="3112"/>
      <c r="AM9" s="3113"/>
      <c r="AN9" s="3114"/>
      <c r="AO9" s="1067" t="e">
        <f ca="1" t="shared" si="8"/>
        <v>#REF!</v>
      </c>
      <c r="AP9" s="3128">
        <f t="shared" si="9"/>
        <v>0</v>
      </c>
      <c r="AQ9" s="1067">
        <f t="shared" si="10"/>
        <v>0</v>
      </c>
      <c r="AR9" s="1067">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25" spans="1:67">
      <c r="A10" s="2954">
        <f>'数据-汇总表'!C23</f>
        <v>0</v>
      </c>
      <c r="B10" s="2955" t="str">
        <f t="shared" si="1"/>
        <v/>
      </c>
      <c r="C10" s="2956"/>
      <c r="D10" s="2957">
        <f>SUMIF(项目基本情况!D$12:I$12,C10,项目基本情况!D$14:I$14)</f>
        <v>0</v>
      </c>
      <c r="E10" s="2958" t="str">
        <f>IF(B10="","",SUMIF(项目基本情况!D$12:I$12,C10,项目基本情况!D$13:I$13))</f>
        <v/>
      </c>
      <c r="F10" s="2959">
        <f>SUMIF(项目基本情况!D$12:I$12,C10,项目基本情况!D$15:I$15)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2"/>
      <c r="AB10" s="2962"/>
      <c r="AC10" s="3077"/>
      <c r="AD10" s="3098"/>
      <c r="AE10" s="3099">
        <f ca="1" t="shared" si="6"/>
        <v>0</v>
      </c>
      <c r="AF10" s="1942"/>
      <c r="AG10" s="1963">
        <f ca="1" t="shared" si="7"/>
        <v>0</v>
      </c>
      <c r="AH10" s="3081"/>
      <c r="AI10" s="3109"/>
      <c r="AJ10" s="3110"/>
      <c r="AK10" s="3111"/>
      <c r="AL10" s="3112"/>
      <c r="AM10" s="3113"/>
      <c r="AN10" s="3114"/>
      <c r="AO10" s="1067" t="e">
        <f ca="1" t="shared" si="8"/>
        <v>#REF!</v>
      </c>
      <c r="AP10" s="3128">
        <f t="shared" si="9"/>
        <v>0</v>
      </c>
      <c r="AQ10" s="1067">
        <f t="shared" si="10"/>
        <v>0</v>
      </c>
      <c r="AR10" s="1067">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25" spans="1:67">
      <c r="A11" s="2954">
        <f>'数据-汇总表'!C24</f>
        <v>0</v>
      </c>
      <c r="B11" s="2955" t="str">
        <f t="shared" si="1"/>
        <v/>
      </c>
      <c r="C11" s="2956"/>
      <c r="D11" s="2957">
        <f>SUMIF(项目基本情况!D$12:I$12,C11,项目基本情况!D$14:I$14)</f>
        <v>0</v>
      </c>
      <c r="E11" s="2958" t="str">
        <f>IF(B11="","",SUMIF(项目基本情况!D$12:I$12,C11,项目基本情况!D$13:I$13))</f>
        <v/>
      </c>
      <c r="F11" s="2959">
        <f>SUMIF(项目基本情况!D$12:I$12,C11,项目基本情况!D$15:I$15)</f>
        <v>0</v>
      </c>
      <c r="G11" s="2960">
        <f t="shared" si="2"/>
        <v>0</v>
      </c>
      <c r="H11" s="2962"/>
      <c r="I11" s="2962"/>
      <c r="J11" s="2962"/>
      <c r="K11" s="3049">
        <f>SUMIF('数据-汇总表'!C$19:C$33,A11,'数据-汇总表'!E$19:E$33)</f>
        <v>0</v>
      </c>
      <c r="L11" s="3054"/>
      <c r="M11" s="3051">
        <f t="shared" si="0"/>
        <v>0</v>
      </c>
      <c r="N11" s="3055"/>
      <c r="O11" s="3051" t="str">
        <f t="shared" si="3"/>
        <v>——</v>
      </c>
      <c r="P11" s="3053" t="str">
        <f t="shared" si="4"/>
        <v>——</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81"/>
      <c r="V11" s="2962"/>
      <c r="W11" s="2962"/>
      <c r="X11" s="3077"/>
      <c r="Y11" s="3096"/>
      <c r="Z11" s="3101"/>
      <c r="AA11" s="2962"/>
      <c r="AB11" s="2962"/>
      <c r="AC11" s="3077"/>
      <c r="AD11" s="3098"/>
      <c r="AE11" s="3099">
        <f ca="1" t="shared" si="6"/>
        <v>0</v>
      </c>
      <c r="AF11" s="1942"/>
      <c r="AG11" s="1963">
        <f ca="1" t="shared" si="7"/>
        <v>0</v>
      </c>
      <c r="AH11" s="3081"/>
      <c r="AI11" s="3109"/>
      <c r="AJ11" s="3110"/>
      <c r="AK11" s="3119"/>
      <c r="AL11" s="3120"/>
      <c r="AM11" s="3121"/>
      <c r="AN11" s="3114"/>
      <c r="AO11" s="1067" t="e">
        <f ca="1" t="shared" si="8"/>
        <v>#REF!</v>
      </c>
      <c r="AP11" s="3128">
        <f t="shared" si="9"/>
        <v>0</v>
      </c>
      <c r="AQ11" s="1067">
        <f t="shared" si="10"/>
        <v>0</v>
      </c>
      <c r="AR11" s="1067">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25" spans="1:67">
      <c r="A12" s="2954">
        <f>'数据-汇总表'!C25</f>
        <v>0</v>
      </c>
      <c r="B12" s="2955" t="str">
        <f t="shared" si="1"/>
        <v/>
      </c>
      <c r="C12" s="2956"/>
      <c r="D12" s="2957">
        <f>SUMIF(项目基本情况!D$12:I$12,C12,项目基本情况!D$14:I$14)</f>
        <v>0</v>
      </c>
      <c r="E12" s="2958" t="str">
        <f>IF(B12="","",SUMIF(项目基本情况!D$12:I$12,C12,项目基本情况!D$13:I$13))</f>
        <v/>
      </c>
      <c r="F12" s="2959">
        <f>SUMIF(项目基本情况!D$12:I$12,C12,项目基本情况!D$15:I$15)</f>
        <v>0</v>
      </c>
      <c r="G12" s="2960">
        <f t="shared" si="2"/>
        <v>0</v>
      </c>
      <c r="H12" s="2962"/>
      <c r="I12" s="2962"/>
      <c r="J12" s="2962"/>
      <c r="K12" s="3049">
        <f>SUMIF('数据-汇总表'!C$19:C$33,A12,'数据-汇总表'!E$19:E$33)</f>
        <v>0</v>
      </c>
      <c r="L12" s="3054"/>
      <c r="M12" s="3051">
        <f t="shared" si="0"/>
        <v>0</v>
      </c>
      <c r="N12" s="3055"/>
      <c r="O12" s="3051" t="str">
        <f t="shared" si="3"/>
        <v>——</v>
      </c>
      <c r="P12" s="3053" t="str">
        <f t="shared" si="4"/>
        <v>——</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81"/>
      <c r="V12" s="2962"/>
      <c r="W12" s="2962"/>
      <c r="X12" s="3077"/>
      <c r="Y12" s="3096"/>
      <c r="Z12" s="3101"/>
      <c r="AA12" s="2962"/>
      <c r="AB12" s="2962"/>
      <c r="AC12" s="3077"/>
      <c r="AD12" s="3098"/>
      <c r="AE12" s="3099">
        <f ca="1" t="shared" si="6"/>
        <v>0</v>
      </c>
      <c r="AF12" s="1942"/>
      <c r="AG12" s="1963">
        <f ca="1" t="shared" si="7"/>
        <v>0</v>
      </c>
      <c r="AH12" s="3081"/>
      <c r="AI12" s="3109"/>
      <c r="AJ12" s="3110"/>
      <c r="AK12" s="3119"/>
      <c r="AL12" s="3120"/>
      <c r="AM12" s="3121"/>
      <c r="AN12" s="3114"/>
      <c r="AO12" s="1067" t="e">
        <f ca="1" t="shared" si="8"/>
        <v>#REF!</v>
      </c>
      <c r="AP12" s="3128">
        <f t="shared" si="9"/>
        <v>0</v>
      </c>
      <c r="AQ12" s="1067">
        <f t="shared" si="10"/>
        <v>0</v>
      </c>
      <c r="AR12" s="1067">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25" spans="1:67">
      <c r="A13" s="2954">
        <f>'数据-汇总表'!C26</f>
        <v>0</v>
      </c>
      <c r="B13" s="2955" t="str">
        <f t="shared" si="1"/>
        <v/>
      </c>
      <c r="C13" s="2956"/>
      <c r="D13" s="2957">
        <f>SUMIF(项目基本情况!D$12:I$12,C13,项目基本情况!D$14:I$14)</f>
        <v>0</v>
      </c>
      <c r="E13" s="2958" t="str">
        <f>IF(B13="","",SUMIF(项目基本情况!D$12:I$12,C13,项目基本情况!D$13:I$13))</f>
        <v/>
      </c>
      <c r="F13" s="2959">
        <f>SUMIF(项目基本情况!D$12:I$12,C13,项目基本情况!D$15:I$15)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75"/>
      <c r="V13" s="3076"/>
      <c r="W13" s="3076"/>
      <c r="X13" s="3077"/>
      <c r="Y13" s="3096"/>
      <c r="Z13" s="3097"/>
      <c r="AA13" s="2962"/>
      <c r="AB13" s="2962"/>
      <c r="AC13" s="3077"/>
      <c r="AD13" s="3098"/>
      <c r="AE13" s="3099">
        <f ca="1" t="shared" si="6"/>
        <v>0</v>
      </c>
      <c r="AF13" s="1942"/>
      <c r="AG13" s="1963">
        <f ca="1" t="shared" si="7"/>
        <v>0</v>
      </c>
      <c r="AH13" s="3081"/>
      <c r="AI13" s="3109"/>
      <c r="AJ13" s="3110"/>
      <c r="AK13" s="3111"/>
      <c r="AL13" s="3112"/>
      <c r="AM13" s="3113"/>
      <c r="AN13" s="3114"/>
      <c r="AO13" s="1067" t="e">
        <f ca="1" t="shared" si="8"/>
        <v>#REF!</v>
      </c>
      <c r="AP13" s="3128">
        <f t="shared" si="9"/>
        <v>0</v>
      </c>
      <c r="AQ13" s="1067">
        <f t="shared" si="10"/>
        <v>0</v>
      </c>
      <c r="AR13" s="1067">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25" spans="1:67">
      <c r="A14" s="2963" t="s">
        <v>557</v>
      </c>
      <c r="B14" s="2955" t="s">
        <v>556</v>
      </c>
      <c r="C14" s="2964" t="s">
        <v>557</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2"/>
      <c r="R14" s="3072"/>
      <c r="S14" s="3073"/>
      <c r="T14" s="3074"/>
      <c r="U14" s="3083"/>
      <c r="V14" s="3084"/>
      <c r="W14" s="3084"/>
      <c r="X14" s="3085"/>
      <c r="Y14" s="3102"/>
      <c r="Z14" s="3103"/>
      <c r="AA14" s="3104"/>
      <c r="AB14" s="3104"/>
      <c r="AC14" s="3077"/>
      <c r="AD14" s="3085"/>
      <c r="AE14" s="3099"/>
      <c r="AF14" s="1067"/>
      <c r="AG14" s="1963"/>
      <c r="AH14" s="3099"/>
      <c r="AI14" s="1050"/>
      <c r="AJ14" s="1066"/>
      <c r="AK14" s="3122"/>
      <c r="AL14" s="3123"/>
      <c r="AM14" s="3124"/>
      <c r="AN14" s="1837"/>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7" spans="1:67">
      <c r="A15" s="2963" t="s">
        <v>558</v>
      </c>
      <c r="B15" s="2955" t="s">
        <v>556</v>
      </c>
      <c r="C15" s="2964" t="s">
        <v>604</v>
      </c>
      <c r="D15" s="2957"/>
      <c r="E15" s="2958"/>
      <c r="F15" s="2959"/>
      <c r="G15" s="2960"/>
      <c r="H15" s="2965"/>
      <c r="I15" s="2965"/>
      <c r="J15" s="2965"/>
      <c r="K15" s="3049">
        <f>SUMIF('数据-汇总表'!C$19:C$33,A15,'数据-汇总表'!E$19:E$33)</f>
        <v>0</v>
      </c>
      <c r="L15" s="3056"/>
      <c r="M15" s="3051"/>
      <c r="N15" s="3057"/>
      <c r="O15" s="3051"/>
      <c r="P15" s="3053"/>
      <c r="Q15" s="3082"/>
      <c r="R15" s="3072"/>
      <c r="S15" s="3073"/>
      <c r="T15" s="3074"/>
      <c r="U15" s="3083"/>
      <c r="V15" s="3084"/>
      <c r="W15" s="3084"/>
      <c r="X15" s="3085"/>
      <c r="Y15" s="3102"/>
      <c r="Z15" s="3103"/>
      <c r="AA15" s="3104"/>
      <c r="AB15" s="3104"/>
      <c r="AC15" s="3077"/>
      <c r="AD15" s="3085"/>
      <c r="AE15" s="3099"/>
      <c r="AF15" s="1067"/>
      <c r="AG15" s="1963"/>
      <c r="AH15" s="3099"/>
      <c r="AI15" s="1050"/>
      <c r="AJ15" s="1066"/>
      <c r="AK15" s="3122"/>
      <c r="AL15" s="3123"/>
      <c r="AM15" s="3124"/>
      <c r="AN15" s="1837"/>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5.75" spans="1:67">
      <c r="A16" s="2966" t="s">
        <v>559</v>
      </c>
      <c r="B16" s="2967"/>
      <c r="C16" s="1895"/>
      <c r="D16" s="2968"/>
      <c r="E16" s="2967"/>
      <c r="F16" s="2967"/>
      <c r="G16" s="2969">
        <f>ROUND(SUMPRODUCT(G6:G13,K6:K13)/SUMPRODUCT((G6:G13&gt;0)*(K6:K13)),3)</f>
        <v>1</v>
      </c>
      <c r="H16" s="2970">
        <f>ROUND(SUMPRODUCT(H6:H13,K6:K13)/SUMPRODUCT((H6:H13&gt;0)*(K6:K13)),3)</f>
        <v>0.055</v>
      </c>
      <c r="I16" s="3058"/>
      <c r="J16" s="3058"/>
      <c r="K16" s="3059">
        <f>SUM(K6:K15)</f>
        <v>33735.37</v>
      </c>
      <c r="L16" s="3060">
        <f>ROUND(M16*10000/SUM(K6:K14),0)</f>
        <v>3096</v>
      </c>
      <c r="M16" s="3060">
        <f>SUM(M6:M14)</f>
        <v>10445</v>
      </c>
      <c r="N16" s="3061">
        <f>ROUND(SUMPRODUCT(M6:M14,N6:N14)/M16,3)</f>
        <v>0.95</v>
      </c>
      <c r="O16" s="3060">
        <f>SUM(O6:O14)</f>
        <v>0</v>
      </c>
      <c r="P16" s="3060">
        <f>SUM(P6:P14)</f>
        <v>0</v>
      </c>
      <c r="Q16" s="3086">
        <f>ROUND(SUMPRODUCT(Q6:Q13,K6:K13)/SUMPRODUCT((Q6:Q13&gt;0)*(K6:K13)),2)</f>
        <v>0.14</v>
      </c>
      <c r="R16" s="3087">
        <f ca="1">SUM(R6:R13)</f>
        <v>0</v>
      </c>
      <c r="S16" s="3088">
        <f>SUM(S6:S13)</f>
        <v>0</v>
      </c>
      <c r="T16" s="3089">
        <f>IF(SUMIF(T6:T13,"&lt;9E307")=M14,SUMIF(T6:T13,"&lt;9E307"),"有误，请检查")</f>
        <v>0</v>
      </c>
      <c r="U16" s="3090"/>
      <c r="V16" s="3091"/>
      <c r="W16" s="3091"/>
      <c r="X16" s="3092"/>
      <c r="Y16" s="3105"/>
      <c r="Z16" s="3106"/>
      <c r="AA16" s="3091"/>
      <c r="AB16" s="3091"/>
      <c r="AC16" s="3092"/>
      <c r="AD16" s="3092"/>
      <c r="AE16" s="3090"/>
      <c r="AF16" s="3091"/>
      <c r="AG16" s="3105"/>
      <c r="AH16" s="3090"/>
      <c r="AI16" s="3106"/>
      <c r="AJ16" s="3106"/>
      <c r="AK16" s="3091"/>
      <c r="AL16" s="3091"/>
      <c r="AM16" s="3105"/>
      <c r="AN16" s="1837"/>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5" spans="1:44">
      <c r="A17" s="2971"/>
      <c r="B17" s="2972"/>
      <c r="C17" s="1837"/>
      <c r="D17" s="2973"/>
      <c r="E17" s="2973"/>
      <c r="F17" s="1837"/>
      <c r="G17" s="1837"/>
      <c r="H17" s="1837"/>
      <c r="I17" s="1837"/>
      <c r="J17" s="1837"/>
      <c r="K17" s="3062"/>
      <c r="L17" s="3062"/>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605</v>
      </c>
      <c r="B18" s="2974"/>
      <c r="C18" s="2975"/>
      <c r="D18" s="2976"/>
      <c r="E18" s="2975"/>
      <c r="F18" s="2975"/>
      <c r="G18" s="2975"/>
      <c r="H18" s="2975"/>
      <c r="I18" s="2975"/>
      <c r="J18" s="2975"/>
      <c r="K18" s="3062"/>
      <c r="L18" s="3062"/>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2977" t="s">
        <v>606</v>
      </c>
      <c r="B19" s="2978">
        <v>0</v>
      </c>
      <c r="C19" s="2979" t="s">
        <v>607</v>
      </c>
      <c r="D19" s="2976"/>
      <c r="E19" s="2975"/>
      <c r="F19" s="2975"/>
      <c r="G19" s="2975"/>
      <c r="H19" s="2975"/>
      <c r="I19" s="2975"/>
      <c r="J19" s="2975"/>
      <c r="K19" s="3062"/>
      <c r="L19" s="3062"/>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2980" t="s">
        <v>608</v>
      </c>
      <c r="B20" s="2981">
        <v>2</v>
      </c>
      <c r="C20" s="2982" t="s">
        <v>609</v>
      </c>
      <c r="D20" s="2976"/>
      <c r="E20" s="2975"/>
      <c r="F20" s="2975"/>
      <c r="G20" s="2975"/>
      <c r="H20" s="2975"/>
      <c r="I20" s="2975"/>
      <c r="J20" s="2975"/>
      <c r="K20" s="3062"/>
      <c r="L20" s="3063" t="s">
        <v>610</v>
      </c>
      <c r="M20" s="3064" t="s">
        <v>611</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2983" t="s">
        <v>612</v>
      </c>
      <c r="B21" s="2981">
        <v>2</v>
      </c>
      <c r="C21" s="2975"/>
      <c r="D21" s="2976"/>
      <c r="E21" s="2975"/>
      <c r="F21" s="2975"/>
      <c r="G21" s="2975"/>
      <c r="H21" s="2975"/>
      <c r="I21" s="2975"/>
      <c r="J21" s="2975"/>
      <c r="K21" s="3062"/>
      <c r="L21" s="3062">
        <f>'数据-基础表'!G13+'数据-基础表'!G14+'数据-基础表'!G15+'数据-基础表'!G16+'数据-基础表'!G29+'数据-基础表'!G30+'数据-基础表'!G31+'数据-基础表'!G32+'数据-基础表'!G33+'数据-基础表'!G34+'数据-基础表'!G35+'数据-基础表'!G36+'数据-基础表'!G37+'数据-基础表'!G38+'数据-基础表'!G39+'数据-基础表'!G40+'数据-基础表'!G41+'数据-基础表'!G42+'数据-基础表'!G43+'数据-基础表'!G44+'数据-基础表'!G45+'数据-基础表'!G46+'数据-基础表'!G47+'数据-基础表'!G48+'数据-基础表'!G49+'数据-基础表'!G50</f>
        <v>22664.97</v>
      </c>
      <c r="M21" s="1837">
        <f>'数据-基础表'!I17+'数据-基础表'!I18</f>
        <v>2162.53</v>
      </c>
      <c r="N21" s="1837">
        <f>SUM(L21:M21)</f>
        <v>24827.5</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2980" t="s">
        <v>613</v>
      </c>
      <c r="B22" s="2984">
        <f>B19+B20</f>
        <v>2</v>
      </c>
      <c r="C22" s="2975"/>
      <c r="D22" s="2976"/>
      <c r="E22" s="2975"/>
      <c r="F22" s="2975"/>
      <c r="G22" s="2975"/>
      <c r="H22" s="2975"/>
      <c r="I22" s="2975"/>
      <c r="J22" s="2975"/>
      <c r="K22" s="3062"/>
      <c r="L22" s="3062">
        <v>3000</v>
      </c>
      <c r="M22" s="1837">
        <v>4500</v>
      </c>
      <c r="N22" s="1837">
        <f>ROUND(N23/N21,0)</f>
        <v>3131</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2983" t="s">
        <v>614</v>
      </c>
      <c r="B23" s="2984">
        <f>B19+B21</f>
        <v>2</v>
      </c>
      <c r="C23" s="2975"/>
      <c r="D23" s="2976"/>
      <c r="E23" s="2975"/>
      <c r="F23" s="2975"/>
      <c r="G23" s="2975"/>
      <c r="H23" s="2975"/>
      <c r="I23" s="2975"/>
      <c r="J23" s="2975"/>
      <c r="K23" s="3062"/>
      <c r="L23" s="3062">
        <f>L22*L21</f>
        <v>67994910</v>
      </c>
      <c r="M23" s="1837">
        <f>M22*M21</f>
        <v>9731385</v>
      </c>
      <c r="N23" s="1837">
        <f>SUM(L23:M23)</f>
        <v>77726295</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2985" t="s">
        <v>615</v>
      </c>
      <c r="B24" s="2986">
        <f>B20-B21</f>
        <v>0</v>
      </c>
      <c r="C24" s="2975"/>
      <c r="D24" s="2976"/>
      <c r="E24" s="2975"/>
      <c r="F24" s="2975"/>
      <c r="G24" s="2975"/>
      <c r="H24" s="2975"/>
      <c r="I24" s="2975"/>
      <c r="J24" s="2975"/>
      <c r="K24" s="3062"/>
      <c r="L24" s="3062"/>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2944"/>
      <c r="B25" s="2945"/>
      <c r="C25" s="2975"/>
      <c r="D25" s="2976"/>
      <c r="E25" s="2975"/>
      <c r="F25" s="2975"/>
      <c r="G25" s="2975"/>
      <c r="H25" s="2975"/>
      <c r="I25" s="2975"/>
      <c r="J25" s="2975"/>
      <c r="K25" s="3062"/>
      <c r="L25" s="3062"/>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2940" t="s">
        <v>616</v>
      </c>
      <c r="B26" s="2987" t="s">
        <v>617</v>
      </c>
      <c r="C26" s="2988" t="s">
        <v>618</v>
      </c>
      <c r="D26" s="2976"/>
      <c r="E26" s="2975"/>
      <c r="F26" s="2975"/>
      <c r="G26" s="2975"/>
      <c r="H26" s="2975"/>
      <c r="I26" s="2975"/>
      <c r="J26" s="2975"/>
      <c r="K26" s="3062"/>
      <c r="L26" s="3062"/>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2931" customFormat="1" ht="27.75" spans="1:67">
      <c r="A27" s="2989" t="s">
        <v>619</v>
      </c>
      <c r="B27" s="2990">
        <v>160</v>
      </c>
      <c r="C27" s="2991" t="s">
        <v>620</v>
      </c>
      <c r="D27" s="2992"/>
      <c r="E27" s="1182"/>
      <c r="F27" s="1182"/>
      <c r="G27" s="2975"/>
      <c r="H27" s="2975"/>
      <c r="I27" s="2975"/>
      <c r="J27" s="2975"/>
      <c r="K27" s="3062"/>
      <c r="L27" s="3062">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2931" customFormat="1" ht="27.75" spans="1:67">
      <c r="A28" s="2993" t="s">
        <v>621</v>
      </c>
      <c r="B28" s="2994">
        <v>200</v>
      </c>
      <c r="C28" s="2995"/>
      <c r="D28" s="2992"/>
      <c r="E28" s="1182"/>
      <c r="F28" s="1182"/>
      <c r="G28" s="2975"/>
      <c r="H28" s="2975"/>
      <c r="I28" s="2975"/>
      <c r="J28" s="2975"/>
      <c r="K28" s="3062"/>
      <c r="L28" s="3062"/>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2931" customFormat="1" ht="28.5" spans="1:67">
      <c r="A29" s="2996" t="s">
        <v>622</v>
      </c>
      <c r="B29" s="2997">
        <v>652</v>
      </c>
      <c r="C29" s="2998" t="s">
        <v>623</v>
      </c>
      <c r="D29" s="2992"/>
      <c r="E29" s="1182"/>
      <c r="F29" s="1182"/>
      <c r="G29" s="2975"/>
      <c r="H29" s="2975"/>
      <c r="I29" s="2975"/>
      <c r="J29" s="2975"/>
      <c r="K29" s="3062"/>
      <c r="L29" s="3062"/>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2931" customFormat="1" ht="27" spans="1:67">
      <c r="A30" s="2999" t="s">
        <v>624</v>
      </c>
      <c r="B30" s="3000">
        <v>200</v>
      </c>
      <c r="C30" s="2995"/>
      <c r="D30" s="2992"/>
      <c r="E30" s="1182"/>
      <c r="F30" s="1182"/>
      <c r="G30" s="2975"/>
      <c r="H30" s="2975"/>
      <c r="I30" s="2975"/>
      <c r="J30" s="2975"/>
      <c r="K30" s="3062"/>
      <c r="L30" s="3062"/>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2931" customFormat="1" ht="27" spans="1:67">
      <c r="A31" s="2993" t="s">
        <v>625</v>
      </c>
      <c r="B31" s="3001">
        <f>B30-B32</f>
        <v>200</v>
      </c>
      <c r="C31" s="3002"/>
      <c r="D31" s="2992"/>
      <c r="E31" s="1182"/>
      <c r="F31" s="1182"/>
      <c r="G31" s="2975"/>
      <c r="H31" s="2975"/>
      <c r="I31" s="2975"/>
      <c r="J31" s="2975"/>
      <c r="K31" s="3062"/>
      <c r="L31" s="3062"/>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2931" customFormat="1" ht="27.75" spans="1:67">
      <c r="A32" s="3003" t="s">
        <v>626</v>
      </c>
      <c r="B32" s="3004">
        <v>0</v>
      </c>
      <c r="C32" s="2995"/>
      <c r="D32" s="2976"/>
      <c r="E32" s="2975"/>
      <c r="F32" s="2975"/>
      <c r="G32" s="2975"/>
      <c r="H32" s="2975"/>
      <c r="I32" s="2975"/>
      <c r="J32" s="2975"/>
      <c r="K32" s="3062"/>
      <c r="L32" s="3062"/>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2931" customFormat="1" ht="14.25" spans="1:67">
      <c r="A33" s="2989" t="s">
        <v>627</v>
      </c>
      <c r="B33" s="3005">
        <v>0.03</v>
      </c>
      <c r="C33" s="3006" t="s">
        <v>628</v>
      </c>
      <c r="D33" s="2976"/>
      <c r="E33" s="2975"/>
      <c r="F33" s="2975"/>
      <c r="G33" s="2975"/>
      <c r="H33" s="2975"/>
      <c r="I33" s="2975"/>
      <c r="J33" s="2975"/>
      <c r="K33" s="3062"/>
      <c r="L33" s="3062"/>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2931" customFormat="1" ht="14.25" spans="1:67">
      <c r="A34" s="2993" t="s">
        <v>629</v>
      </c>
      <c r="B34" s="3007">
        <v>0</v>
      </c>
      <c r="C34" s="3006" t="s">
        <v>630</v>
      </c>
      <c r="D34" s="3008" t="s">
        <v>631</v>
      </c>
      <c r="E34" s="2972"/>
      <c r="F34" s="2975"/>
      <c r="G34" s="2975"/>
      <c r="H34" s="2975"/>
      <c r="I34" s="2975"/>
      <c r="J34" s="2975"/>
      <c r="K34" s="3062"/>
      <c r="L34" s="3062"/>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2931" customFormat="1" ht="14.25" spans="1:67">
      <c r="A35" s="2993" t="s">
        <v>632</v>
      </c>
      <c r="B35" s="2994">
        <v>200</v>
      </c>
      <c r="C35" s="3006" t="s">
        <v>633</v>
      </c>
      <c r="D35" s="2992"/>
      <c r="E35" s="1182"/>
      <c r="F35" s="1182"/>
      <c r="G35" s="2975"/>
      <c r="H35" s="2975"/>
      <c r="I35" s="2975"/>
      <c r="J35" s="2975"/>
      <c r="K35" s="3062"/>
      <c r="L35" s="3062"/>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2996" t="s">
        <v>634</v>
      </c>
      <c r="B36" s="3009">
        <v>0.015</v>
      </c>
      <c r="C36" s="3006" t="s">
        <v>635</v>
      </c>
      <c r="D36" s="2976"/>
      <c r="E36" s="2975"/>
      <c r="F36" s="2975"/>
      <c r="G36" s="2975"/>
      <c r="H36" s="2975"/>
      <c r="I36" s="2975"/>
      <c r="J36" s="2975"/>
      <c r="K36" s="3062"/>
      <c r="L36" s="3062"/>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2999" t="s">
        <v>636</v>
      </c>
      <c r="B37" s="3010">
        <v>0.01</v>
      </c>
      <c r="C37" s="3006" t="s">
        <v>637</v>
      </c>
      <c r="D37" s="2976"/>
      <c r="E37" s="2975"/>
      <c r="F37" s="2975"/>
      <c r="G37" s="2975"/>
      <c r="H37" s="2975"/>
      <c r="I37" s="2975"/>
      <c r="J37" s="2975"/>
      <c r="K37" s="3062"/>
      <c r="L37" s="3062"/>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2993" t="s">
        <v>638</v>
      </c>
      <c r="B38" s="3007">
        <v>0.01</v>
      </c>
      <c r="C38" s="3006" t="s">
        <v>637</v>
      </c>
      <c r="D38" s="2976"/>
      <c r="E38" s="2975"/>
      <c r="F38" s="2975"/>
      <c r="G38" s="2975"/>
      <c r="H38" s="2975"/>
      <c r="I38" s="2975"/>
      <c r="J38" s="2975"/>
      <c r="K38" s="3062"/>
      <c r="L38" s="3062"/>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3003" t="s">
        <v>639</v>
      </c>
      <c r="B39" s="3011">
        <f ca="1">存贷款利率!I1</f>
        <v>0.015</v>
      </c>
      <c r="C39" s="3012"/>
      <c r="D39" s="2976"/>
      <c r="E39" s="2975"/>
      <c r="F39" s="2975"/>
      <c r="G39" s="2975"/>
      <c r="H39" s="2975"/>
      <c r="I39" s="2975"/>
      <c r="J39" s="2975"/>
      <c r="K39" s="3062"/>
      <c r="L39" s="3062"/>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3013" t="s">
        <v>640</v>
      </c>
      <c r="B40" s="3014">
        <f ca="1">IF(A40="利息：取LPR",存贷款利率!G1,存贷款利率!G1+C40)</f>
        <v>0.0435</v>
      </c>
      <c r="C40" s="3015">
        <v>0.005</v>
      </c>
      <c r="D40" s="1837"/>
      <c r="E40" s="2976"/>
      <c r="F40" s="2975"/>
      <c r="G40" s="2975"/>
      <c r="H40" s="2975"/>
      <c r="I40" s="2975"/>
      <c r="J40" s="2975"/>
      <c r="K40" s="3062"/>
      <c r="L40" s="3062"/>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2989" t="s">
        <v>641</v>
      </c>
      <c r="B41" s="3016">
        <f>B42+B43</f>
        <v>0.056</v>
      </c>
      <c r="C41" s="3002"/>
      <c r="D41" s="1837"/>
      <c r="E41" s="2976"/>
      <c r="F41" s="2975"/>
      <c r="G41" s="2975"/>
      <c r="H41" s="2975"/>
      <c r="I41" s="2975"/>
      <c r="J41" s="2975"/>
      <c r="K41" s="3062"/>
      <c r="L41" s="3062"/>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017" t="s">
        <v>642</v>
      </c>
      <c r="B42" s="3018">
        <v>0.05</v>
      </c>
      <c r="C42" s="3019">
        <f>IF(B2&lt;DATE(2016,5,1),0,B42)</f>
        <v>0.05</v>
      </c>
      <c r="D42" s="2976"/>
      <c r="E42" s="2975"/>
      <c r="F42" s="2975"/>
      <c r="G42" s="2975"/>
      <c r="H42" s="2975"/>
      <c r="I42" s="2975"/>
      <c r="J42" s="2975"/>
      <c r="K42" s="3062"/>
      <c r="L42" s="3062"/>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017" t="s">
        <v>643</v>
      </c>
      <c r="B43" s="3020">
        <f>B42*(B44+B45+B46)+B47</f>
        <v>0.006</v>
      </c>
      <c r="C43" s="3002"/>
      <c r="D43" s="2976"/>
      <c r="E43" s="2975"/>
      <c r="F43" s="2975"/>
      <c r="G43" s="2975"/>
      <c r="H43" s="2975"/>
      <c r="I43" s="2975"/>
      <c r="J43" s="2975"/>
      <c r="K43" s="3062"/>
      <c r="L43" s="3062"/>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021" t="s">
        <v>644</v>
      </c>
      <c r="B44" s="3022">
        <v>0.07</v>
      </c>
      <c r="C44" s="3006" t="s">
        <v>645</v>
      </c>
      <c r="D44" s="2976"/>
      <c r="E44" s="2975"/>
      <c r="F44" s="2975"/>
      <c r="G44" s="2975"/>
      <c r="H44" s="2975"/>
      <c r="I44" s="2975"/>
      <c r="J44" s="2975"/>
      <c r="K44" s="3062"/>
      <c r="L44" s="3062"/>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021" t="s">
        <v>646</v>
      </c>
      <c r="B45" s="3018">
        <v>0.03</v>
      </c>
      <c r="C45" s="2998" t="s">
        <v>647</v>
      </c>
      <c r="D45" s="2976"/>
      <c r="E45" s="2975"/>
      <c r="F45" s="2975"/>
      <c r="G45" s="2975"/>
      <c r="H45" s="2975"/>
      <c r="I45" s="2975"/>
      <c r="J45" s="2975"/>
      <c r="K45" s="3062"/>
      <c r="L45" s="3062"/>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021" t="s">
        <v>648</v>
      </c>
      <c r="B46" s="3018">
        <v>0.02</v>
      </c>
      <c r="C46" s="2998" t="s">
        <v>649</v>
      </c>
      <c r="D46" s="2976"/>
      <c r="E46" s="2975"/>
      <c r="F46" s="2975"/>
      <c r="G46" s="2975"/>
      <c r="H46" s="2975"/>
      <c r="I46" s="2975"/>
      <c r="J46" s="2975"/>
      <c r="K46" s="3062"/>
      <c r="L46" s="3062"/>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023" t="s">
        <v>650</v>
      </c>
      <c r="B47" s="3024"/>
      <c r="C47" s="3025" t="s">
        <v>651</v>
      </c>
      <c r="D47" s="2976"/>
      <c r="E47" s="2975"/>
      <c r="F47" s="2975"/>
      <c r="G47" s="2975"/>
      <c r="H47" s="2975"/>
      <c r="I47" s="2975"/>
      <c r="J47" s="2975"/>
      <c r="K47" s="3062"/>
      <c r="L47" s="3062"/>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026" t="s">
        <v>652</v>
      </c>
      <c r="B48" s="3027">
        <v>0.03</v>
      </c>
      <c r="C48" s="2998" t="s">
        <v>647</v>
      </c>
      <c r="D48" s="2976"/>
      <c r="E48" s="2975"/>
      <c r="F48" s="2975"/>
      <c r="G48" s="2975"/>
      <c r="H48" s="2975"/>
      <c r="I48" s="2975"/>
      <c r="J48" s="2975"/>
      <c r="K48" s="3062"/>
      <c r="L48" s="3062"/>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3003" t="s">
        <v>653</v>
      </c>
      <c r="B49" s="3018">
        <v>0.0005</v>
      </c>
      <c r="C49" s="2998" t="s">
        <v>654</v>
      </c>
      <c r="D49" s="2976"/>
      <c r="E49" s="2975"/>
      <c r="F49" s="2975"/>
      <c r="G49" s="2975"/>
      <c r="H49" s="2975"/>
      <c r="I49" s="2975"/>
      <c r="J49" s="2975"/>
      <c r="K49" s="3062"/>
      <c r="L49" s="3062"/>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028" t="s">
        <v>655</v>
      </c>
      <c r="B50" s="3029">
        <v>0.012</v>
      </c>
      <c r="C50" s="1182"/>
      <c r="D50" s="2976"/>
      <c r="E50" s="2975"/>
      <c r="F50" s="2975"/>
      <c r="G50" s="2975"/>
      <c r="H50" s="2975"/>
      <c r="I50" s="2975"/>
      <c r="J50" s="2975"/>
      <c r="K50" s="3062"/>
      <c r="L50" s="3062"/>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2996" t="s">
        <v>656</v>
      </c>
      <c r="B51" s="3030">
        <v>0.12</v>
      </c>
      <c r="C51" s="1182"/>
      <c r="D51" s="2976"/>
      <c r="E51" s="2975"/>
      <c r="F51" s="2975"/>
      <c r="G51" s="2975"/>
      <c r="H51" s="2975"/>
      <c r="I51" s="2975"/>
      <c r="J51" s="2975"/>
      <c r="K51" s="3062"/>
      <c r="L51" s="3062"/>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028" t="s">
        <v>657</v>
      </c>
      <c r="B52" s="3031">
        <f>SUMIF(A54:A63,B53,B54:B63)</f>
        <v>0</v>
      </c>
      <c r="C52" s="1182"/>
      <c r="D52" s="2976"/>
      <c r="E52" s="2975"/>
      <c r="F52" s="2975"/>
      <c r="G52" s="2975"/>
      <c r="H52" s="2975"/>
      <c r="I52" s="2975"/>
      <c r="J52" s="2975"/>
      <c r="K52" s="3062"/>
      <c r="L52" s="3062"/>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2993" t="s">
        <v>658</v>
      </c>
      <c r="B53" s="3032"/>
      <c r="C53" s="1182" t="s">
        <v>659</v>
      </c>
      <c r="D53" s="3033" t="s">
        <v>660</v>
      </c>
      <c r="E53" s="2975"/>
      <c r="F53" s="2975"/>
      <c r="G53" s="2975"/>
      <c r="H53" s="2975"/>
      <c r="I53" s="2975"/>
      <c r="J53" s="2975"/>
      <c r="K53" s="3062"/>
      <c r="L53" s="3062"/>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034" t="s">
        <v>661</v>
      </c>
      <c r="B54" s="3035"/>
      <c r="C54" s="1182">
        <v>30</v>
      </c>
      <c r="D54" s="2976"/>
      <c r="E54" s="2975"/>
      <c r="F54" s="2975"/>
      <c r="G54" s="2975"/>
      <c r="H54" s="2975"/>
      <c r="I54" s="2975"/>
      <c r="J54" s="2975"/>
      <c r="K54" s="3062"/>
      <c r="L54" s="3062"/>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034" t="s">
        <v>662</v>
      </c>
      <c r="B55" s="3035"/>
      <c r="C55" s="1182">
        <v>24</v>
      </c>
      <c r="D55" s="2976"/>
      <c r="E55" s="2975"/>
      <c r="F55" s="2975"/>
      <c r="G55" s="2975"/>
      <c r="H55" s="2975"/>
      <c r="I55" s="3065"/>
      <c r="J55" s="2975"/>
      <c r="K55" s="3062"/>
      <c r="L55" s="3062"/>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034" t="s">
        <v>663</v>
      </c>
      <c r="B56" s="3035"/>
      <c r="C56" s="1182">
        <v>18</v>
      </c>
      <c r="D56" s="2976"/>
      <c r="E56" s="2975"/>
      <c r="F56" s="2975"/>
      <c r="G56" s="2975"/>
      <c r="H56" s="2975"/>
      <c r="I56" s="2975"/>
      <c r="J56" s="2975"/>
      <c r="K56" s="3062"/>
      <c r="L56" s="3062"/>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034" t="s">
        <v>664</v>
      </c>
      <c r="B57" s="3035"/>
      <c r="C57" s="1182">
        <v>12</v>
      </c>
      <c r="D57" s="2976"/>
      <c r="E57" s="2975"/>
      <c r="F57" s="2975"/>
      <c r="G57" s="2975"/>
      <c r="H57" s="2975"/>
      <c r="I57" s="2975"/>
      <c r="J57" s="2975"/>
      <c r="K57" s="3062"/>
      <c r="L57" s="3062"/>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034" t="s">
        <v>665</v>
      </c>
      <c r="B58" s="3035"/>
      <c r="C58" s="1182">
        <v>3</v>
      </c>
      <c r="D58" s="2976"/>
      <c r="E58" s="2975"/>
      <c r="F58" s="2975"/>
      <c r="G58" s="2975"/>
      <c r="H58" s="2975"/>
      <c r="I58" s="2975"/>
      <c r="J58" s="2975"/>
      <c r="K58" s="3062"/>
      <c r="L58" s="3062"/>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034" t="s">
        <v>666</v>
      </c>
      <c r="B59" s="3035"/>
      <c r="C59" s="1182">
        <v>1.5</v>
      </c>
      <c r="D59" s="2976"/>
      <c r="E59" s="2975"/>
      <c r="F59" s="2975"/>
      <c r="G59" s="2975"/>
      <c r="H59" s="2975"/>
      <c r="I59" s="2975"/>
      <c r="J59" s="2975"/>
      <c r="K59" s="3062"/>
      <c r="L59" s="3062"/>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034" t="s">
        <v>667</v>
      </c>
      <c r="B60" s="3035"/>
      <c r="C60" s="2975"/>
      <c r="D60" s="2976"/>
      <c r="E60" s="2975"/>
      <c r="F60" s="2975"/>
      <c r="G60" s="2975"/>
      <c r="H60" s="2975"/>
      <c r="I60" s="2975"/>
      <c r="J60" s="2975"/>
      <c r="K60" s="3062"/>
      <c r="L60" s="3062"/>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034" t="s">
        <v>668</v>
      </c>
      <c r="B61" s="3035"/>
      <c r="C61" s="2975"/>
      <c r="D61" s="2976"/>
      <c r="E61" s="2975"/>
      <c r="F61" s="2975"/>
      <c r="G61" s="2975"/>
      <c r="H61" s="2975"/>
      <c r="I61" s="2975"/>
      <c r="J61" s="2975"/>
      <c r="K61" s="3062"/>
      <c r="L61" s="3062"/>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034" t="s">
        <v>669</v>
      </c>
      <c r="B62" s="3035"/>
      <c r="C62" s="2975"/>
      <c r="D62" s="2976"/>
      <c r="E62" s="2975"/>
      <c r="F62" s="2975"/>
      <c r="G62" s="2975"/>
      <c r="H62" s="2975"/>
      <c r="I62" s="2975"/>
      <c r="J62" s="2975"/>
      <c r="K62" s="3062"/>
      <c r="L62" s="3062"/>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036" t="s">
        <v>670</v>
      </c>
      <c r="B63" s="3037"/>
      <c r="C63" s="2975"/>
      <c r="D63" s="2976"/>
      <c r="E63" s="2975"/>
      <c r="F63" s="2975"/>
      <c r="G63" s="2975"/>
      <c r="H63" s="2975"/>
      <c r="I63" s="2975"/>
      <c r="J63" s="2975"/>
      <c r="K63" s="3062"/>
      <c r="L63" s="3062"/>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038"/>
      <c r="B64" s="1837"/>
      <c r="C64" s="1837"/>
      <c r="D64" s="2973"/>
      <c r="E64" s="1837"/>
      <c r="F64" s="1837"/>
      <c r="G64" s="1837"/>
      <c r="H64" s="1837"/>
      <c r="I64" s="1837"/>
      <c r="J64" s="1837"/>
      <c r="K64" s="3062"/>
      <c r="L64" s="3062"/>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038"/>
      <c r="B65" s="1837"/>
      <c r="C65" s="1837"/>
      <c r="D65" s="2973"/>
      <c r="E65" s="1837"/>
      <c r="F65" s="1837"/>
      <c r="G65" s="1837"/>
      <c r="H65" s="1837"/>
      <c r="I65" s="1837"/>
      <c r="J65" s="1837"/>
      <c r="K65" s="3062"/>
      <c r="L65" s="3062"/>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038"/>
      <c r="B66" s="1837"/>
      <c r="C66" s="1837"/>
      <c r="D66" s="2973"/>
      <c r="E66" s="1837"/>
      <c r="F66" s="1837"/>
      <c r="G66" s="1837"/>
      <c r="H66" s="1837"/>
      <c r="I66" s="1837"/>
      <c r="J66" s="1837"/>
      <c r="K66" s="3062"/>
      <c r="L66" s="3062"/>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038"/>
      <c r="B67" s="1837"/>
      <c r="C67" s="1837"/>
      <c r="D67" s="2973"/>
      <c r="E67" s="1837"/>
      <c r="F67" s="1837"/>
      <c r="G67" s="1837"/>
      <c r="H67" s="1837"/>
      <c r="I67" s="1837"/>
      <c r="J67" s="1837"/>
      <c r="K67" s="3062"/>
      <c r="L67" s="3062"/>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038"/>
      <c r="B68" s="1837"/>
      <c r="C68" s="1837"/>
      <c r="D68" s="2973"/>
      <c r="E68" s="1837"/>
      <c r="F68" s="1837"/>
      <c r="G68" s="1837"/>
      <c r="H68" s="1837"/>
      <c r="I68" s="1837"/>
      <c r="J68" s="1837"/>
      <c r="K68" s="3062"/>
      <c r="L68" s="3062"/>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129"/>
      <c r="K69" s="1831"/>
      <c r="L69" s="1831"/>
    </row>
    <row r="70" s="1910" customFormat="1" spans="1:12">
      <c r="A70" s="2281"/>
      <c r="D70" s="3129"/>
      <c r="K70" s="1831"/>
      <c r="L70" s="1831"/>
    </row>
    <row r="71" s="1910" customFormat="1" spans="1:12">
      <c r="A71" s="2281"/>
      <c r="D71" s="3129"/>
      <c r="K71" s="1831"/>
      <c r="L71" s="1831"/>
    </row>
    <row r="72" s="1910" customFormat="1" spans="1:12">
      <c r="A72" s="2281"/>
      <c r="D72" s="3129"/>
      <c r="K72" s="1831"/>
      <c r="L72" s="1831"/>
    </row>
    <row r="73" s="1910" customFormat="1" spans="1:12">
      <c r="A73" s="2281"/>
      <c r="D73" s="3129"/>
      <c r="K73" s="1831"/>
      <c r="L73" s="1831"/>
    </row>
    <row r="74" s="1910" customFormat="1" spans="1:12">
      <c r="A74" s="2281"/>
      <c r="D74" s="3129"/>
      <c r="K74" s="1831"/>
      <c r="L74" s="1831"/>
    </row>
    <row r="75" s="1910" customFormat="1" spans="1:12">
      <c r="A75" s="2281"/>
      <c r="D75" s="3129"/>
      <c r="K75" s="1831"/>
      <c r="L75" s="1831"/>
    </row>
    <row r="76" s="1910" customFormat="1" spans="1:12">
      <c r="A76" s="2281"/>
      <c r="D76" s="3129"/>
      <c r="K76" s="1831"/>
      <c r="L76" s="1831"/>
    </row>
    <row r="77" s="1910" customFormat="1" spans="1:12">
      <c r="A77" s="2281"/>
      <c r="D77" s="3129"/>
      <c r="K77" s="1831"/>
      <c r="L77" s="1831"/>
    </row>
    <row r="78" s="1910" customFormat="1" spans="1:12">
      <c r="A78" s="2281"/>
      <c r="D78" s="3129"/>
      <c r="K78" s="1831"/>
      <c r="L78" s="1831"/>
    </row>
    <row r="79" s="1910" customFormat="1" spans="1:12">
      <c r="A79" s="2281"/>
      <c r="D79" s="3129"/>
      <c r="K79" s="1831"/>
      <c r="L79" s="1831"/>
    </row>
    <row r="80" s="1910" customFormat="1" spans="1:12">
      <c r="A80" s="2281"/>
      <c r="D80" s="3129"/>
      <c r="K80" s="1831"/>
      <c r="L80" s="1831"/>
    </row>
    <row r="81" s="1910" customFormat="1" spans="1:12">
      <c r="A81" s="2281"/>
      <c r="D81" s="3129"/>
      <c r="K81" s="1831"/>
      <c r="L81" s="1831"/>
    </row>
    <row r="82" s="1910" customFormat="1" spans="1:12">
      <c r="A82" s="2281"/>
      <c r="D82" s="3129"/>
      <c r="K82" s="1831"/>
      <c r="L82" s="1831"/>
    </row>
    <row r="83" s="1910" customFormat="1" spans="1:12">
      <c r="A83" s="2281"/>
      <c r="D83" s="3129"/>
      <c r="K83" s="1831"/>
      <c r="L83" s="1831"/>
    </row>
    <row r="84" s="1910" customFormat="1" spans="1:12">
      <c r="A84" s="2281"/>
      <c r="D84" s="3129"/>
      <c r="K84" s="1831"/>
      <c r="L84" s="1831"/>
    </row>
    <row r="85" s="1910" customFormat="1" spans="1:12">
      <c r="A85" s="2281"/>
      <c r="D85" s="3129"/>
      <c r="K85" s="1831"/>
      <c r="L85" s="1831"/>
    </row>
    <row r="86" s="1910" customFormat="1" spans="1:12">
      <c r="A86" s="2281"/>
      <c r="D86" s="3129"/>
      <c r="K86" s="1831"/>
      <c r="L86" s="1831"/>
    </row>
    <row r="87" s="1910" customFormat="1" spans="1:12">
      <c r="A87" s="2281"/>
      <c r="D87" s="3129"/>
      <c r="K87" s="1831"/>
      <c r="L87" s="1831"/>
    </row>
    <row r="88" s="1910" customFormat="1" spans="1:12">
      <c r="A88" s="2281"/>
      <c r="D88" s="3129"/>
      <c r="K88" s="1831"/>
      <c r="L88" s="1831"/>
    </row>
    <row r="89" s="1910" customFormat="1" spans="1:12">
      <c r="A89" s="2281"/>
      <c r="D89" s="3129"/>
      <c r="K89" s="1831"/>
      <c r="L89" s="1831"/>
    </row>
    <row r="90" s="1910" customFormat="1" spans="1:12">
      <c r="A90" s="2281"/>
      <c r="D90" s="3129"/>
      <c r="K90" s="1831"/>
      <c r="L90" s="1831"/>
    </row>
    <row r="91" s="1910" customFormat="1" spans="1:12">
      <c r="A91" s="2281"/>
      <c r="D91" s="3129"/>
      <c r="K91" s="1831"/>
      <c r="L91" s="1831"/>
    </row>
    <row r="92" s="1910" customFormat="1" spans="1:12">
      <c r="A92" s="2281"/>
      <c r="D92" s="3129"/>
      <c r="K92" s="1831"/>
      <c r="L92" s="1831"/>
    </row>
    <row r="93" s="1910" customFormat="1" spans="1:12">
      <c r="A93" s="2281"/>
      <c r="D93" s="3129"/>
      <c r="K93" s="1831"/>
      <c r="L93" s="1831"/>
    </row>
    <row r="94" s="1910" customFormat="1" spans="1:12">
      <c r="A94" s="2281"/>
      <c r="D94" s="3129"/>
      <c r="K94" s="1831"/>
      <c r="L94" s="1831"/>
    </row>
    <row r="95" s="1910" customFormat="1" spans="1:12">
      <c r="A95" s="2281"/>
      <c r="D95" s="3129"/>
      <c r="K95" s="1831"/>
      <c r="L95" s="1831"/>
    </row>
    <row r="96" s="1910" customFormat="1" spans="1:12">
      <c r="A96" s="2281"/>
      <c r="D96" s="3129"/>
      <c r="K96" s="1831"/>
      <c r="L96" s="1831"/>
    </row>
    <row r="97" s="1910" customFormat="1" spans="1:12">
      <c r="A97" s="2281"/>
      <c r="D97" s="3129"/>
      <c r="K97" s="1831"/>
      <c r="L97" s="1831"/>
    </row>
    <row r="98" s="1910" customFormat="1" spans="1:12">
      <c r="A98" s="2281"/>
      <c r="D98" s="3129"/>
      <c r="K98" s="1831"/>
      <c r="L98" s="1831"/>
    </row>
    <row r="99" s="1910" customFormat="1" spans="1:12">
      <c r="A99" s="2281"/>
      <c r="D99" s="3129"/>
      <c r="K99" s="1831"/>
      <c r="L99" s="1831"/>
    </row>
    <row r="100" s="1910" customFormat="1" spans="1:12">
      <c r="A100" s="2281"/>
      <c r="D100" s="3129"/>
      <c r="K100" s="1831"/>
      <c r="L100" s="1831"/>
    </row>
    <row r="101" s="1910" customFormat="1" spans="1:12">
      <c r="A101" s="2281"/>
      <c r="D101" s="3129"/>
      <c r="K101" s="1831"/>
      <c r="L101" s="1831"/>
    </row>
    <row r="102" s="1910" customFormat="1" spans="1:12">
      <c r="A102" s="2281"/>
      <c r="D102" s="3129"/>
      <c r="K102" s="1831"/>
      <c r="L102" s="1831"/>
    </row>
    <row r="103" s="1910" customFormat="1" spans="1:12">
      <c r="A103" s="2281"/>
      <c r="D103" s="3129"/>
      <c r="K103" s="1831"/>
      <c r="L103" s="1831"/>
    </row>
    <row r="104" s="1910" customFormat="1" spans="1:12">
      <c r="A104" s="2281"/>
      <c r="D104" s="3129"/>
      <c r="K104" s="1831"/>
      <c r="L104" s="1831"/>
    </row>
    <row r="105" s="1910" customFormat="1" spans="1:12">
      <c r="A105" s="2281"/>
      <c r="D105" s="3129"/>
      <c r="K105" s="1831"/>
      <c r="L105" s="1831"/>
    </row>
    <row r="106" s="1910" customFormat="1" spans="1:12">
      <c r="A106" s="2281"/>
      <c r="D106" s="3129"/>
      <c r="K106" s="1831"/>
      <c r="L106" s="1831"/>
    </row>
    <row r="107" s="1910" customFormat="1" spans="1:12">
      <c r="A107" s="2281"/>
      <c r="D107" s="3129"/>
      <c r="K107" s="1831"/>
      <c r="L107" s="1831"/>
    </row>
    <row r="108" s="1910" customFormat="1" spans="1:12">
      <c r="A108" s="2281"/>
      <c r="D108" s="3129"/>
      <c r="K108" s="1831"/>
      <c r="L108" s="1831"/>
    </row>
    <row r="109" s="1910" customFormat="1" spans="1:12">
      <c r="A109" s="2281"/>
      <c r="D109" s="3129"/>
      <c r="K109" s="1831"/>
      <c r="L109" s="1831"/>
    </row>
    <row r="110" s="1910" customFormat="1" spans="1:12">
      <c r="A110" s="2281"/>
      <c r="D110" s="3129"/>
      <c r="K110" s="1831"/>
      <c r="L110" s="1831"/>
    </row>
    <row r="111" s="1910" customFormat="1" spans="1:12">
      <c r="A111" s="2281"/>
      <c r="D111" s="3129"/>
      <c r="K111" s="1831"/>
      <c r="L111" s="1831"/>
    </row>
    <row r="112" s="1910" customFormat="1" spans="1:12">
      <c r="A112" s="2281"/>
      <c r="D112" s="3129"/>
      <c r="K112" s="1831"/>
      <c r="L112" s="1831"/>
    </row>
    <row r="113" s="1910" customFormat="1" spans="1:12">
      <c r="A113" s="2281"/>
      <c r="D113" s="3129"/>
      <c r="K113" s="1831"/>
      <c r="L113" s="1831"/>
    </row>
    <row r="114" s="1910" customFormat="1" spans="1:12">
      <c r="A114" s="2281"/>
      <c r="D114" s="3129"/>
      <c r="K114" s="1831"/>
      <c r="L114" s="1831"/>
    </row>
    <row r="115" s="1910" customFormat="1" spans="1:12">
      <c r="A115" s="2281"/>
      <c r="D115" s="3129"/>
      <c r="K115" s="1831"/>
      <c r="L115" s="1831"/>
    </row>
    <row r="116" s="1910" customFormat="1" spans="1:12">
      <c r="A116" s="2281"/>
      <c r="D116" s="3129"/>
      <c r="K116" s="1831"/>
      <c r="L116" s="1831"/>
    </row>
    <row r="117" s="1910" customFormat="1" spans="1:12">
      <c r="A117" s="2281"/>
      <c r="D117" s="3129"/>
      <c r="K117" s="1831"/>
      <c r="L117" s="1831"/>
    </row>
    <row r="118" s="1910" customFormat="1" spans="1:12">
      <c r="A118" s="2281"/>
      <c r="D118" s="3129"/>
      <c r="K118" s="1831"/>
      <c r="L118" s="1831"/>
    </row>
    <row r="119" s="1910" customFormat="1" spans="1:12">
      <c r="A119" s="2281"/>
      <c r="D119" s="3129"/>
      <c r="K119" s="1831"/>
      <c r="L119" s="1831"/>
    </row>
    <row r="120" s="1910" customFormat="1" spans="1:12">
      <c r="A120" s="2281"/>
      <c r="D120" s="3129"/>
      <c r="K120" s="1831"/>
      <c r="L120" s="1831"/>
    </row>
    <row r="121" s="1910" customFormat="1" spans="1:12">
      <c r="A121" s="2281"/>
      <c r="D121" s="3129"/>
      <c r="K121" s="1831"/>
      <c r="L121" s="1831"/>
    </row>
    <row r="122" s="1910" customFormat="1" spans="1:12">
      <c r="A122" s="2281"/>
      <c r="D122" s="3129"/>
      <c r="K122" s="1831"/>
      <c r="L122" s="1831"/>
    </row>
    <row r="123" s="1910" customFormat="1" spans="1:12">
      <c r="A123" s="2281"/>
      <c r="D123" s="3129"/>
      <c r="K123" s="1831"/>
      <c r="L123" s="1831"/>
    </row>
    <row r="124" s="1910" customFormat="1" spans="1:12">
      <c r="A124" s="2281"/>
      <c r="D124" s="3129"/>
      <c r="K124" s="1831"/>
      <c r="L124" s="1831"/>
    </row>
    <row r="125" s="1910" customFormat="1" spans="1:12">
      <c r="A125" s="2281"/>
      <c r="D125" s="3129"/>
      <c r="K125" s="1831"/>
      <c r="L125" s="1831"/>
    </row>
    <row r="126" s="1910" customFormat="1" spans="1:12">
      <c r="A126" s="2281"/>
      <c r="D126" s="3129"/>
      <c r="K126" s="1831"/>
      <c r="L126" s="1831"/>
    </row>
    <row r="127" s="1910" customFormat="1" spans="1:12">
      <c r="A127" s="2281"/>
      <c r="D127" s="3129"/>
      <c r="K127" s="1831"/>
      <c r="L127" s="1831"/>
    </row>
    <row r="128" s="1910" customFormat="1" spans="1:12">
      <c r="A128" s="2281"/>
      <c r="D128" s="3129"/>
      <c r="K128" s="1831"/>
      <c r="L128" s="1831"/>
    </row>
    <row r="129" s="1910" customFormat="1" spans="1:12">
      <c r="A129" s="2281"/>
      <c r="D129" s="3129"/>
      <c r="K129" s="1831"/>
      <c r="L129" s="1831"/>
    </row>
    <row r="130" s="1910" customFormat="1" spans="1:12">
      <c r="A130" s="2281"/>
      <c r="D130" s="3129"/>
      <c r="K130" s="1831"/>
      <c r="L130" s="1831"/>
    </row>
    <row r="131" s="1910" customFormat="1" spans="1:12">
      <c r="A131" s="2281"/>
      <c r="D131" s="3129"/>
      <c r="K131" s="1831"/>
      <c r="L131" s="1831"/>
    </row>
    <row r="132" s="1910" customFormat="1" spans="1:12">
      <c r="A132" s="2281"/>
      <c r="D132" s="3129"/>
      <c r="K132" s="1831"/>
      <c r="L132" s="1831"/>
    </row>
    <row r="133" s="1910" customFormat="1" spans="1:12">
      <c r="A133" s="2281"/>
      <c r="D133" s="3129"/>
      <c r="K133" s="1831"/>
      <c r="L133" s="1831"/>
    </row>
    <row r="134" s="2932" customFormat="1" spans="1:12">
      <c r="A134" s="3130"/>
      <c r="D134" s="3131"/>
      <c r="K134" s="2479"/>
      <c r="L134" s="2479"/>
    </row>
    <row r="135" s="2932" customFormat="1" spans="1:12">
      <c r="A135" s="3130"/>
      <c r="D135" s="3131"/>
      <c r="K135" s="2479"/>
      <c r="L135" s="2479"/>
    </row>
    <row r="136" s="2932" customFormat="1" spans="1:12">
      <c r="A136" s="3130"/>
      <c r="D136" s="3131"/>
      <c r="K136" s="2479"/>
      <c r="L136" s="2479"/>
    </row>
    <row r="137" s="2932" customFormat="1" spans="1:12">
      <c r="A137" s="3130"/>
      <c r="D137" s="3131"/>
      <c r="K137" s="2479"/>
      <c r="L137" s="2479"/>
    </row>
    <row r="138" s="2932" customFormat="1" spans="1:12">
      <c r="A138" s="3130"/>
      <c r="D138" s="3131"/>
      <c r="K138" s="2479"/>
      <c r="L138" s="2479"/>
    </row>
    <row r="139" s="2932" customFormat="1" spans="1:12">
      <c r="A139" s="3130"/>
      <c r="D139" s="3131"/>
      <c r="K139" s="2479"/>
      <c r="L139" s="2479"/>
    </row>
    <row r="140" s="2932" customFormat="1" spans="1:12">
      <c r="A140" s="3130"/>
      <c r="D140" s="3131"/>
      <c r="K140" s="2479"/>
      <c r="L140" s="2479"/>
    </row>
    <row r="141" s="2932" customFormat="1" spans="1:12">
      <c r="A141" s="3130"/>
      <c r="D141" s="3131"/>
      <c r="K141" s="2479"/>
      <c r="L141" s="2479"/>
    </row>
    <row r="142" s="2932" customFormat="1" spans="1:12">
      <c r="A142" s="3130"/>
      <c r="D142" s="3131"/>
      <c r="K142" s="2479"/>
      <c r="L142" s="2479"/>
    </row>
    <row r="143" s="2932" customFormat="1" spans="1:12">
      <c r="A143" s="3130"/>
      <c r="D143" s="3131"/>
      <c r="K143" s="2479"/>
      <c r="L143" s="2479"/>
    </row>
    <row r="144" s="2932" customFormat="1" spans="1:12">
      <c r="A144" s="3130"/>
      <c r="D144" s="3131"/>
      <c r="K144" s="2479"/>
      <c r="L144" s="2479"/>
    </row>
    <row r="145" s="2932" customFormat="1" spans="1:12">
      <c r="A145" s="3130"/>
      <c r="D145" s="3131"/>
      <c r="K145" s="2479"/>
      <c r="L145" s="2479"/>
    </row>
    <row r="146" s="2932" customFormat="1" spans="1:12">
      <c r="A146" s="3130"/>
      <c r="D146" s="3131"/>
      <c r="K146" s="2479"/>
      <c r="L146" s="2479"/>
    </row>
    <row r="147" s="2932" customFormat="1" spans="1:12">
      <c r="A147" s="3130"/>
      <c r="D147" s="3131"/>
      <c r="K147" s="2479"/>
      <c r="L147" s="2479"/>
    </row>
    <row r="148" s="2932" customFormat="1" spans="1:12">
      <c r="A148" s="3130"/>
      <c r="D148" s="3131"/>
      <c r="K148" s="2479"/>
      <c r="L148" s="2479"/>
    </row>
    <row r="149" s="2932" customFormat="1" spans="1:12">
      <c r="A149" s="3130"/>
      <c r="D149" s="3131"/>
      <c r="K149" s="2479"/>
      <c r="L149" s="2479"/>
    </row>
    <row r="150" s="2932" customFormat="1" spans="1:12">
      <c r="A150" s="3130"/>
      <c r="D150" s="3131"/>
      <c r="K150" s="2479"/>
      <c r="L150" s="2479"/>
    </row>
    <row r="151" s="2932" customFormat="1" spans="1:12">
      <c r="A151" s="3130"/>
      <c r="D151" s="3131"/>
      <c r="K151" s="2479"/>
      <c r="L151" s="2479"/>
    </row>
    <row r="152" s="2932" customFormat="1" spans="1:12">
      <c r="A152" s="3130"/>
      <c r="D152" s="3131"/>
      <c r="K152" s="2479"/>
      <c r="L152" s="2479"/>
    </row>
    <row r="153" s="2932" customFormat="1" spans="1:12">
      <c r="A153" s="3130"/>
      <c r="D153" s="3131"/>
      <c r="K153" s="2479"/>
      <c r="L153" s="2479"/>
    </row>
    <row r="154" s="2932" customFormat="1" spans="1:12">
      <c r="A154" s="3130"/>
      <c r="D154" s="3131"/>
      <c r="K154" s="2479"/>
      <c r="L154" s="2479"/>
    </row>
    <row r="155" s="2932" customFormat="1" spans="1:12">
      <c r="A155" s="3130"/>
      <c r="D155" s="3131"/>
      <c r="K155" s="2479"/>
      <c r="L155" s="2479"/>
    </row>
    <row r="156" s="2932" customFormat="1" spans="1:12">
      <c r="A156" s="3130"/>
      <c r="D156" s="3131"/>
      <c r="K156" s="2479"/>
      <c r="L156" s="2479"/>
    </row>
    <row r="157" s="2932" customFormat="1" spans="1:12">
      <c r="A157" s="3130"/>
      <c r="D157" s="3131"/>
      <c r="K157" s="2479"/>
      <c r="L157" s="2479"/>
    </row>
    <row r="158" s="2932" customFormat="1" spans="1:12">
      <c r="A158" s="3130"/>
      <c r="D158" s="3131"/>
      <c r="K158" s="2479"/>
      <c r="L158" s="2479"/>
    </row>
    <row r="159" s="2932" customFormat="1" spans="1:12">
      <c r="A159" s="3130"/>
      <c r="D159" s="3131"/>
      <c r="K159" s="2479"/>
      <c r="L159" s="2479"/>
    </row>
    <row r="160" s="2932" customFormat="1" spans="1:12">
      <c r="A160" s="3130"/>
      <c r="D160" s="3131"/>
      <c r="K160" s="2479"/>
      <c r="L160" s="2479"/>
    </row>
    <row r="161" s="2932" customFormat="1" spans="1:12">
      <c r="A161" s="3130"/>
      <c r="D161" s="3131"/>
      <c r="K161" s="2479"/>
      <c r="L161" s="2479"/>
    </row>
    <row r="162" s="2932" customFormat="1" spans="1:12">
      <c r="A162" s="3130"/>
      <c r="D162" s="3131"/>
      <c r="K162" s="2479"/>
      <c r="L162" s="2479"/>
    </row>
    <row r="163" s="2932" customFormat="1" spans="1:12">
      <c r="A163" s="3130"/>
      <c r="D163" s="3131"/>
      <c r="K163" s="2479"/>
      <c r="L163" s="2479"/>
    </row>
    <row r="164" s="2932" customFormat="1" spans="1:12">
      <c r="A164" s="3130"/>
      <c r="D164" s="3131"/>
      <c r="K164" s="2479"/>
      <c r="L164" s="2479"/>
    </row>
    <row r="165" s="2932" customFormat="1" spans="1:12">
      <c r="A165" s="3130"/>
      <c r="D165" s="3131"/>
      <c r="K165" s="2479"/>
      <c r="L165" s="2479"/>
    </row>
    <row r="166" s="2932" customFormat="1" spans="1:12">
      <c r="A166" s="3130"/>
      <c r="D166" s="3131"/>
      <c r="K166" s="2479"/>
      <c r="L166" s="2479"/>
    </row>
    <row r="167" s="2932" customFormat="1" spans="1:12">
      <c r="A167" s="3130"/>
      <c r="D167" s="3131"/>
      <c r="K167" s="2479"/>
      <c r="L167" s="2479"/>
    </row>
    <row r="168" s="2932" customFormat="1" spans="1:12">
      <c r="A168" s="3130"/>
      <c r="D168" s="3131"/>
      <c r="K168" s="2479"/>
      <c r="L168" s="2479"/>
    </row>
    <row r="169" s="2932" customFormat="1" spans="1:12">
      <c r="A169" s="3130"/>
      <c r="D169" s="3131"/>
      <c r="K169" s="2479"/>
      <c r="L169" s="2479"/>
    </row>
    <row r="170" s="2932" customFormat="1" spans="1:12">
      <c r="A170" s="3130"/>
      <c r="D170" s="3131"/>
      <c r="K170" s="2479"/>
      <c r="L170" s="2479"/>
    </row>
    <row r="171" s="2932" customFormat="1" spans="1:12">
      <c r="A171" s="3130"/>
      <c r="D171" s="3131"/>
      <c r="K171" s="2479"/>
      <c r="L171" s="2479"/>
    </row>
    <row r="172" s="2932" customFormat="1" spans="1:12">
      <c r="A172" s="3130"/>
      <c r="D172" s="3131"/>
      <c r="K172" s="2479"/>
      <c r="L172" s="2479"/>
    </row>
    <row r="173" s="2932" customFormat="1" spans="1:12">
      <c r="A173" s="3130"/>
      <c r="D173" s="3131"/>
      <c r="K173" s="2479"/>
      <c r="L173" s="2479"/>
    </row>
    <row r="174" s="2932" customFormat="1" spans="1:12">
      <c r="A174" s="3130"/>
      <c r="D174" s="3131"/>
      <c r="K174" s="2479"/>
      <c r="L174" s="2479"/>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8" customWidth="1"/>
    <col min="2" max="2" width="24.4416666666667" style="2859" customWidth="1"/>
    <col min="3" max="3" width="24.4416666666667" style="2860" customWidth="1"/>
    <col min="4" max="4" width="2.66666666666667" style="2860" customWidth="1"/>
    <col min="5" max="5" width="5.88333333333333" style="2860" customWidth="1"/>
    <col min="6" max="6" width="27" style="2859" customWidth="1"/>
    <col min="7" max="7" width="27" style="2861" customWidth="1"/>
    <col min="8" max="8" width="11.8833333333333" style="2862" customWidth="1"/>
    <col min="9" max="9" width="16.775" style="2863" customWidth="1"/>
    <col min="10" max="10" width="2.66666666666667" style="2862" customWidth="1"/>
    <col min="11" max="11" width="11.8833333333333" style="2862" customWidth="1"/>
    <col min="12" max="12" width="16.775" style="2863" customWidth="1"/>
    <col min="13" max="13" width="2.66666666666667" style="2862" customWidth="1"/>
    <col min="14" max="14" width="11.8833333333333" style="2862" customWidth="1"/>
    <col min="15" max="15" width="16.775" style="2863" customWidth="1"/>
    <col min="16" max="16" width="2.66666666666667" style="2862" customWidth="1"/>
    <col min="17" max="17" width="11.8833333333333" style="2862" customWidth="1"/>
    <col min="18" max="18" width="16.775" style="2864" customWidth="1"/>
    <col min="19" max="29" width="9" style="1825"/>
    <col min="30" max="16384" width="9" style="2858"/>
  </cols>
  <sheetData>
    <row r="1" s="2856" customFormat="1" ht="18.75" spans="1:29">
      <c r="A1" s="2865" t="s">
        <v>671</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5" spans="1:18">
      <c r="A2" s="2868"/>
      <c r="B2" s="2869"/>
      <c r="C2" s="2870" t="s">
        <v>672</v>
      </c>
      <c r="D2" s="2871"/>
      <c r="E2" s="2868"/>
      <c r="F2" s="2872"/>
      <c r="G2" s="2870" t="s">
        <v>673</v>
      </c>
      <c r="H2" s="1825"/>
      <c r="I2" s="1825"/>
      <c r="J2" s="1825"/>
      <c r="K2" s="1825"/>
      <c r="L2" s="1825"/>
      <c r="M2" s="1825"/>
      <c r="N2" s="1825"/>
      <c r="O2" s="1825"/>
      <c r="P2" s="1825"/>
      <c r="Q2" s="1825"/>
      <c r="R2" s="1825"/>
    </row>
    <row r="3" ht="48" spans="1:18">
      <c r="A3" s="2873" t="s">
        <v>674</v>
      </c>
      <c r="B3" s="2874" t="s">
        <v>675</v>
      </c>
      <c r="C3" s="2875" t="s">
        <v>676</v>
      </c>
      <c r="D3" s="2876"/>
      <c r="E3" s="2877" t="s">
        <v>674</v>
      </c>
      <c r="F3" s="2878" t="s">
        <v>677</v>
      </c>
      <c r="G3" s="2879" t="s">
        <v>678</v>
      </c>
      <c r="H3" s="1825"/>
      <c r="I3" s="1825"/>
      <c r="J3" s="1825"/>
      <c r="K3" s="1825"/>
      <c r="L3" s="1825"/>
      <c r="M3" s="1825"/>
      <c r="N3" s="1825"/>
      <c r="O3" s="1825"/>
      <c r="P3" s="1825"/>
      <c r="Q3" s="1825"/>
      <c r="R3" s="1825"/>
    </row>
    <row r="4" ht="36.75" spans="1:18">
      <c r="A4" s="2877"/>
      <c r="B4" s="1604" t="s">
        <v>679</v>
      </c>
      <c r="C4" s="2880" t="s">
        <v>680</v>
      </c>
      <c r="D4" s="2876"/>
      <c r="E4" s="2881"/>
      <c r="F4" s="1819" t="s">
        <v>681</v>
      </c>
      <c r="G4" s="2882" t="s">
        <v>682</v>
      </c>
      <c r="H4" s="1825"/>
      <c r="I4" s="1825"/>
      <c r="J4" s="1825"/>
      <c r="K4" s="1825"/>
      <c r="L4" s="1825"/>
      <c r="M4" s="1825"/>
      <c r="N4" s="1825"/>
      <c r="O4" s="1825"/>
      <c r="P4" s="1825"/>
      <c r="Q4" s="1825"/>
      <c r="R4" s="1825"/>
    </row>
    <row r="5" ht="36.75" spans="1:18">
      <c r="A5" s="2877"/>
      <c r="B5" s="1604" t="s">
        <v>683</v>
      </c>
      <c r="C5" s="2880" t="s">
        <v>684</v>
      </c>
      <c r="D5" s="2876"/>
      <c r="E5" s="2881"/>
      <c r="F5" s="1604" t="s">
        <v>461</v>
      </c>
      <c r="G5" s="2882" t="s">
        <v>685</v>
      </c>
      <c r="H5" s="1825"/>
      <c r="I5" s="1825"/>
      <c r="J5" s="1825"/>
      <c r="K5" s="1825"/>
      <c r="L5" s="1825"/>
      <c r="M5" s="1825"/>
      <c r="N5" s="1825"/>
      <c r="O5" s="1825"/>
      <c r="P5" s="1825"/>
      <c r="Q5" s="1825"/>
      <c r="R5" s="1825"/>
    </row>
    <row r="6" ht="36" spans="1:18">
      <c r="A6" s="2877"/>
      <c r="B6" s="1604" t="s">
        <v>681</v>
      </c>
      <c r="C6" s="2882" t="s">
        <v>682</v>
      </c>
      <c r="D6" s="2876"/>
      <c r="E6" s="2881"/>
      <c r="F6" s="1604" t="s">
        <v>686</v>
      </c>
      <c r="G6" s="2882" t="s">
        <v>687</v>
      </c>
      <c r="H6" s="1825"/>
      <c r="I6" s="1825"/>
      <c r="J6" s="1825"/>
      <c r="K6" s="1825"/>
      <c r="L6" s="1825"/>
      <c r="M6" s="1825"/>
      <c r="N6" s="1825"/>
      <c r="O6" s="1825"/>
      <c r="P6" s="1825"/>
      <c r="Q6" s="1825"/>
      <c r="R6" s="1825"/>
    </row>
    <row r="7" ht="24.75" spans="1:18">
      <c r="A7" s="2877"/>
      <c r="B7" s="1604" t="s">
        <v>461</v>
      </c>
      <c r="C7" s="2882" t="s">
        <v>685</v>
      </c>
      <c r="D7" s="2883"/>
      <c r="E7" s="2884"/>
      <c r="F7" s="2885" t="s">
        <v>688</v>
      </c>
      <c r="G7" s="2886" t="s">
        <v>689</v>
      </c>
      <c r="H7" s="1825"/>
      <c r="I7" s="1825"/>
      <c r="J7" s="1825"/>
      <c r="K7" s="1825"/>
      <c r="L7" s="1825"/>
      <c r="M7" s="1825"/>
      <c r="N7" s="1825"/>
      <c r="O7" s="1825"/>
      <c r="P7" s="1825"/>
      <c r="Q7" s="1825"/>
      <c r="R7" s="1825"/>
    </row>
    <row r="8" spans="1:18">
      <c r="A8" s="2877"/>
      <c r="B8" s="1604" t="s">
        <v>686</v>
      </c>
      <c r="C8" s="2882" t="s">
        <v>687</v>
      </c>
      <c r="D8" s="2883"/>
      <c r="E8" s="2883"/>
      <c r="F8" s="1727"/>
      <c r="G8" s="1727"/>
      <c r="H8" s="1825"/>
      <c r="I8" s="1825"/>
      <c r="J8" s="1825"/>
      <c r="K8" s="1825"/>
      <c r="L8" s="1825"/>
      <c r="M8" s="1825"/>
      <c r="N8" s="1825"/>
      <c r="O8" s="1825"/>
      <c r="P8" s="1825"/>
      <c r="Q8" s="1825"/>
      <c r="R8" s="1825"/>
    </row>
    <row r="9" ht="24" spans="1:18">
      <c r="A9" s="2877"/>
      <c r="B9" s="1604" t="s">
        <v>690</v>
      </c>
      <c r="C9" s="2880" t="s">
        <v>691</v>
      </c>
      <c r="D9" s="2876"/>
      <c r="E9" s="2883"/>
      <c r="F9" s="1727"/>
      <c r="G9" s="1727"/>
      <c r="H9" s="1825"/>
      <c r="I9" s="1825"/>
      <c r="J9" s="1825"/>
      <c r="K9" s="1825"/>
      <c r="L9" s="1825"/>
      <c r="M9" s="1825"/>
      <c r="N9" s="1825"/>
      <c r="O9" s="1825"/>
      <c r="P9" s="1825"/>
      <c r="Q9" s="1825"/>
      <c r="R9" s="1825"/>
    </row>
    <row r="10" s="2857" customFormat="1" ht="15" spans="1:29">
      <c r="A10" s="2887"/>
      <c r="B10" s="2888" t="s">
        <v>692</v>
      </c>
      <c r="C10" s="2889"/>
      <c r="D10" s="2876"/>
      <c r="E10" s="2876"/>
      <c r="F10" s="1727"/>
      <c r="G10" s="1727"/>
      <c r="H10" s="2890"/>
      <c r="I10" s="2920"/>
      <c r="J10" s="2921"/>
      <c r="K10" s="2890"/>
      <c r="L10" s="2920"/>
      <c r="M10" s="2921"/>
      <c r="N10" s="2890"/>
      <c r="O10" s="2920"/>
      <c r="P10" s="2921"/>
      <c r="Q10" s="2890"/>
      <c r="R10" s="2920"/>
      <c r="S10" s="1825"/>
      <c r="T10" s="1825"/>
      <c r="U10" s="1825"/>
      <c r="V10" s="1825"/>
      <c r="W10" s="1825"/>
      <c r="X10" s="1825"/>
      <c r="Y10" s="1825"/>
      <c r="Z10" s="1825"/>
      <c r="AA10" s="1825"/>
      <c r="AB10" s="1825"/>
      <c r="AC10" s="1825"/>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1825"/>
      <c r="T11" s="1825"/>
      <c r="U11" s="1825"/>
      <c r="V11" s="1825"/>
      <c r="W11" s="1825"/>
      <c r="X11" s="1825"/>
      <c r="Y11" s="1825"/>
      <c r="Z11" s="1825"/>
      <c r="AA11" s="1825"/>
      <c r="AB11" s="1825"/>
      <c r="AC11" s="1825"/>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spans="1:7">
      <c r="A13" s="2895" t="s">
        <v>693</v>
      </c>
      <c r="B13" s="2893"/>
      <c r="C13" s="2893"/>
      <c r="D13" s="2891"/>
      <c r="E13" s="2893"/>
      <c r="F13" s="2893"/>
      <c r="G13" s="2893"/>
    </row>
    <row r="14" spans="1:7">
      <c r="A14" s="2896"/>
      <c r="B14" s="2896"/>
      <c r="C14" s="2897" t="s">
        <v>672</v>
      </c>
      <c r="D14" s="2876"/>
      <c r="E14" s="2898"/>
      <c r="F14" s="2898"/>
      <c r="G14" s="2870" t="s">
        <v>673</v>
      </c>
    </row>
    <row r="15" ht="48" spans="1:7">
      <c r="A15" s="2899" t="s">
        <v>674</v>
      </c>
      <c r="B15" s="2900" t="s">
        <v>675</v>
      </c>
      <c r="C15" s="2901" t="str">
        <f>C3</f>
        <v>估价对象周边居住用地比例、居住小区规模和社区发展完善程度，综合评价居住社区成熟度一般</v>
      </c>
      <c r="D15" s="2876"/>
      <c r="E15" s="2902" t="s">
        <v>674</v>
      </c>
      <c r="F15" s="2900" t="s">
        <v>677</v>
      </c>
      <c r="G15" s="2903" t="str">
        <f>G3</f>
        <v>估价对象位于XX开发区，园区建设成熟度XX，产业集聚程度XX</v>
      </c>
    </row>
    <row r="16" ht="36.75" spans="1:7">
      <c r="A16" s="2904"/>
      <c r="B16" s="2905" t="s">
        <v>679</v>
      </c>
      <c r="C16" s="2906" t="str">
        <f>C4</f>
        <v>估价对象位于XX商圈，周边商业氛围成熟，人流量大，商业繁华度好</v>
      </c>
      <c r="D16" s="2876"/>
      <c r="E16" s="2907"/>
      <c r="F16" s="2908" t="s">
        <v>681</v>
      </c>
      <c r="G16" s="2909" t="str">
        <f>G4</f>
        <v>估价对象周边道路状况、公共交通通达情况、停车便捷程度，综合评价交通便捷度较好</v>
      </c>
    </row>
    <row r="17" ht="36.75" spans="1:7">
      <c r="A17" s="2904"/>
      <c r="B17" s="2905" t="s">
        <v>683</v>
      </c>
      <c r="C17" s="2906" t="str">
        <f>C5</f>
        <v>估价对象位于XX商圈，周边办公楼项目较多，入驻率高，办公集聚程度较好</v>
      </c>
      <c r="D17" s="2883"/>
      <c r="E17" s="2907"/>
      <c r="F17" s="2908" t="s">
        <v>694</v>
      </c>
      <c r="G17" s="2910"/>
    </row>
    <row r="18" ht="36" spans="1:7">
      <c r="A18" s="2904"/>
      <c r="B18" s="2908" t="s">
        <v>681</v>
      </c>
      <c r="C18" s="2909" t="str">
        <f>C6</f>
        <v>估价对象周边道路状况、公共交通通达情况、停车便捷程度，综合评价交通便捷度较好</v>
      </c>
      <c r="D18" s="2883"/>
      <c r="E18" s="2907"/>
      <c r="F18" s="2908" t="s">
        <v>688</v>
      </c>
      <c r="G18" s="2909" t="str">
        <f>G7</f>
        <v>该园区内是否有污染型企业，绿化情况，卫生条件，整体环境状况判断</v>
      </c>
    </row>
    <row r="19" ht="24" spans="1:7">
      <c r="A19" s="2904"/>
      <c r="B19" s="2908" t="s">
        <v>694</v>
      </c>
      <c r="C19" s="2910"/>
      <c r="D19" s="2876"/>
      <c r="E19" s="2907"/>
      <c r="F19" s="1604" t="s">
        <v>461</v>
      </c>
      <c r="G19" s="2909" t="str">
        <f>G5</f>
        <v>估价对象所在区域公共配套设施齐备情况</v>
      </c>
    </row>
    <row r="20" ht="24" spans="1:7">
      <c r="A20" s="2904"/>
      <c r="B20" s="2908" t="s">
        <v>695</v>
      </c>
      <c r="C20" s="2906" t="str">
        <f>C9</f>
        <v>区域自然环境：；人文环境；综合评价环境状况一般</v>
      </c>
      <c r="D20" s="2883"/>
      <c r="E20" s="2907"/>
      <c r="F20" s="1604" t="s">
        <v>686</v>
      </c>
      <c r="G20" s="2909" t="str">
        <f>G6</f>
        <v>估价对象所在区域基础设施水平</v>
      </c>
    </row>
    <row r="21" ht="24" spans="1:7">
      <c r="A21" s="2904"/>
      <c r="B21" s="1604" t="s">
        <v>461</v>
      </c>
      <c r="C21" s="2909" t="str">
        <f>C7</f>
        <v>估价对象所在区域公共配套设施齐备情况</v>
      </c>
      <c r="D21" s="2876"/>
      <c r="E21" s="2907"/>
      <c r="F21" s="2908" t="s">
        <v>696</v>
      </c>
      <c r="G21" s="2911"/>
    </row>
    <row r="22" ht="13.5" customHeight="1" spans="1:7">
      <c r="A22" s="2904"/>
      <c r="B22" s="1604" t="s">
        <v>686</v>
      </c>
      <c r="C22" s="2909" t="str">
        <f>C8</f>
        <v>估价对象所在区域基础设施水平</v>
      </c>
      <c r="D22" s="2876"/>
      <c r="E22" s="2907"/>
      <c r="F22" s="2908" t="s">
        <v>692</v>
      </c>
      <c r="G22" s="2910"/>
    </row>
    <row r="23" s="1825" customFormat="1" ht="15" spans="1:18">
      <c r="A23" s="2904"/>
      <c r="B23" s="2908" t="s">
        <v>696</v>
      </c>
      <c r="C23" s="2911"/>
      <c r="D23" s="2281"/>
      <c r="E23" s="2912"/>
      <c r="F23" s="2913" t="s">
        <v>407</v>
      </c>
      <c r="G23" s="2914"/>
      <c r="H23" s="2862"/>
      <c r="I23" s="2863"/>
      <c r="J23" s="2862"/>
      <c r="K23" s="2862"/>
      <c r="L23" s="2863"/>
      <c r="M23" s="2862"/>
      <c r="N23" s="2862"/>
      <c r="O23" s="2863"/>
      <c r="P23" s="2862"/>
      <c r="Q23" s="2862"/>
      <c r="R23" s="2864"/>
    </row>
    <row r="24" s="1825" customFormat="1" ht="15" spans="1:18">
      <c r="A24" s="2915"/>
      <c r="B24" s="2913" t="s">
        <v>692</v>
      </c>
      <c r="C24" s="2916">
        <f>C10</f>
        <v>0</v>
      </c>
      <c r="D24" s="2281"/>
      <c r="E24" s="2917"/>
      <c r="F24" s="2917"/>
      <c r="G24" s="2918"/>
      <c r="H24" s="2862"/>
      <c r="I24" s="2863"/>
      <c r="J24" s="2862"/>
      <c r="K24" s="2862"/>
      <c r="L24" s="2863"/>
      <c r="M24" s="2862"/>
      <c r="N24" s="2862"/>
      <c r="O24" s="2863"/>
      <c r="P24" s="2862"/>
      <c r="Q24" s="2862"/>
      <c r="R24" s="2864"/>
    </row>
    <row r="25" s="1825" customFormat="1" spans="2:18">
      <c r="B25" s="2862"/>
      <c r="C25" s="2862"/>
      <c r="D25" s="2862"/>
      <c r="H25" s="2862"/>
      <c r="I25" s="2863"/>
      <c r="J25" s="2862"/>
      <c r="K25" s="2862"/>
      <c r="L25" s="2863"/>
      <c r="M25" s="2862"/>
      <c r="N25" s="2862"/>
      <c r="O25" s="2863"/>
      <c r="P25" s="2862"/>
      <c r="Q25" s="2862"/>
      <c r="R25" s="2864"/>
    </row>
    <row r="26" s="1825" customFormat="1" spans="2:18">
      <c r="B26" s="2862"/>
      <c r="C26" s="2862"/>
      <c r="D26" s="2862"/>
      <c r="H26" s="2862"/>
      <c r="I26" s="2863"/>
      <c r="J26" s="2862"/>
      <c r="K26" s="2862"/>
      <c r="L26" s="2863"/>
      <c r="M26" s="2862"/>
      <c r="N26" s="2862"/>
      <c r="O26" s="2863"/>
      <c r="P26" s="2862"/>
      <c r="Q26" s="2862"/>
      <c r="R26" s="2864"/>
    </row>
    <row r="27" s="1825" customFormat="1" spans="2:18">
      <c r="B27" s="2862"/>
      <c r="C27" s="2862"/>
      <c r="D27" s="2862"/>
      <c r="H27" s="2862"/>
      <c r="I27" s="2863"/>
      <c r="J27" s="2862"/>
      <c r="K27" s="2862"/>
      <c r="L27" s="2863"/>
      <c r="M27" s="2862"/>
      <c r="N27" s="2862"/>
      <c r="O27" s="2863"/>
      <c r="P27" s="2862"/>
      <c r="Q27" s="2862"/>
      <c r="R27" s="2864"/>
    </row>
    <row r="28" s="1825" customFormat="1" spans="2:18">
      <c r="B28" s="2862"/>
      <c r="C28" s="2862"/>
      <c r="D28" s="2862"/>
      <c r="H28" s="2862"/>
      <c r="I28" s="2863"/>
      <c r="J28" s="2862"/>
      <c r="K28" s="2862"/>
      <c r="L28" s="2863"/>
      <c r="M28" s="2862"/>
      <c r="N28" s="2862"/>
      <c r="O28" s="2863"/>
      <c r="P28" s="2862"/>
      <c r="Q28" s="2862"/>
      <c r="R28" s="2864"/>
    </row>
    <row r="29" s="1825" customFormat="1" spans="2:18">
      <c r="B29" s="2862"/>
      <c r="C29" s="2862"/>
      <c r="D29" s="2862"/>
      <c r="H29" s="2862"/>
      <c r="I29" s="2863"/>
      <c r="J29" s="2862"/>
      <c r="K29" s="2862"/>
      <c r="L29" s="2863"/>
      <c r="M29" s="2862"/>
      <c r="N29" s="2862"/>
      <c r="O29" s="2863"/>
      <c r="P29" s="2862"/>
      <c r="Q29" s="2862"/>
      <c r="R29" s="2864"/>
    </row>
    <row r="30" s="1825" customFormat="1" spans="2:18">
      <c r="B30" s="2862"/>
      <c r="C30" s="2862"/>
      <c r="D30" s="2862"/>
      <c r="H30" s="2862"/>
      <c r="I30" s="2863"/>
      <c r="J30" s="2862"/>
      <c r="K30" s="2862"/>
      <c r="L30" s="2863"/>
      <c r="M30" s="2862"/>
      <c r="N30" s="2862"/>
      <c r="O30" s="2863"/>
      <c r="P30" s="2862"/>
      <c r="Q30" s="2862"/>
      <c r="R30" s="2864"/>
    </row>
    <row r="31" s="1825" customFormat="1" spans="2:18">
      <c r="B31" s="2862"/>
      <c r="C31" s="2862"/>
      <c r="D31" s="2862"/>
      <c r="H31" s="2862"/>
      <c r="I31" s="2863"/>
      <c r="J31" s="2862"/>
      <c r="K31" s="2862"/>
      <c r="L31" s="2863"/>
      <c r="M31" s="2862"/>
      <c r="N31" s="2862"/>
      <c r="O31" s="2863"/>
      <c r="P31" s="2862"/>
      <c r="Q31" s="2862"/>
      <c r="R31" s="2864"/>
    </row>
    <row r="32" s="1825" customFormat="1" spans="2:18">
      <c r="B32" s="2862"/>
      <c r="C32" s="2862"/>
      <c r="D32" s="2862"/>
      <c r="H32" s="2862"/>
      <c r="I32" s="2863"/>
      <c r="J32" s="2862"/>
      <c r="K32" s="2862"/>
      <c r="L32" s="2863"/>
      <c r="M32" s="2862"/>
      <c r="N32" s="2862"/>
      <c r="O32" s="2863"/>
      <c r="P32" s="2862"/>
      <c r="Q32" s="2862"/>
      <c r="R32" s="2864"/>
    </row>
    <row r="33" s="1825" customFormat="1" spans="2:18">
      <c r="B33" s="2862"/>
      <c r="C33" s="2862"/>
      <c r="D33" s="2862"/>
      <c r="H33" s="2862"/>
      <c r="I33" s="2863"/>
      <c r="J33" s="2862"/>
      <c r="K33" s="2862"/>
      <c r="L33" s="2863"/>
      <c r="M33" s="2862"/>
      <c r="N33" s="2862"/>
      <c r="O33" s="2863"/>
      <c r="P33" s="2862"/>
      <c r="Q33" s="2862"/>
      <c r="R33" s="2864"/>
    </row>
    <row r="34" s="1825" customFormat="1" spans="2:18">
      <c r="B34" s="2862"/>
      <c r="C34" s="2862"/>
      <c r="D34" s="2862"/>
      <c r="H34" s="2862"/>
      <c r="I34" s="2863"/>
      <c r="J34" s="2862"/>
      <c r="K34" s="2862"/>
      <c r="L34" s="2863"/>
      <c r="M34" s="2862"/>
      <c r="N34" s="2862"/>
      <c r="O34" s="2863"/>
      <c r="P34" s="2862"/>
      <c r="Q34" s="2862"/>
      <c r="R34" s="2864"/>
    </row>
    <row r="35" s="1825" customFormat="1" spans="2:18">
      <c r="B35" s="2862"/>
      <c r="C35" s="2862"/>
      <c r="D35" s="2862"/>
      <c r="H35" s="2862"/>
      <c r="I35" s="2863"/>
      <c r="J35" s="2862"/>
      <c r="K35" s="2862"/>
      <c r="L35" s="2863"/>
      <c r="M35" s="2862"/>
      <c r="N35" s="2862"/>
      <c r="O35" s="2863"/>
      <c r="P35" s="2862"/>
      <c r="Q35" s="2862"/>
      <c r="R35" s="2864"/>
    </row>
    <row r="36" s="1825" customFormat="1" spans="2:18">
      <c r="B36" s="2862"/>
      <c r="C36" s="2862"/>
      <c r="D36" s="2862"/>
      <c r="H36" s="2862"/>
      <c r="I36" s="2863"/>
      <c r="J36" s="2862"/>
      <c r="K36" s="2862"/>
      <c r="L36" s="2863"/>
      <c r="M36" s="2862"/>
      <c r="N36" s="2862"/>
      <c r="O36" s="2863"/>
      <c r="P36" s="2862"/>
      <c r="Q36" s="2862"/>
      <c r="R36" s="2864"/>
    </row>
    <row r="37" s="1825" customFormat="1" spans="2:18">
      <c r="B37" s="2862"/>
      <c r="C37" s="2862"/>
      <c r="D37" s="2862"/>
      <c r="H37" s="2862"/>
      <c r="I37" s="2863"/>
      <c r="J37" s="2862"/>
      <c r="K37" s="2862"/>
      <c r="L37" s="2863"/>
      <c r="M37" s="2862"/>
      <c r="N37" s="2862"/>
      <c r="O37" s="2863"/>
      <c r="P37" s="2862"/>
      <c r="Q37" s="2862"/>
      <c r="R37" s="2864"/>
    </row>
    <row r="38" s="1825" customFormat="1" spans="2:18">
      <c r="B38" s="2862"/>
      <c r="C38" s="2862"/>
      <c r="D38" s="2862"/>
      <c r="E38" s="2862"/>
      <c r="F38" s="2862"/>
      <c r="G38" s="2863"/>
      <c r="H38" s="2862"/>
      <c r="I38" s="2863"/>
      <c r="J38" s="2862"/>
      <c r="K38" s="2862"/>
      <c r="L38" s="2863"/>
      <c r="M38" s="2862"/>
      <c r="N38" s="2862"/>
      <c r="O38" s="2863"/>
      <c r="P38" s="2862"/>
      <c r="Q38" s="2862"/>
      <c r="R38" s="2864"/>
    </row>
    <row r="39" s="1825" customFormat="1" spans="2:18">
      <c r="B39" s="2862"/>
      <c r="C39" s="2862"/>
      <c r="D39" s="2862"/>
      <c r="E39" s="2862"/>
      <c r="F39" s="2862"/>
      <c r="G39" s="2863"/>
      <c r="H39" s="2862"/>
      <c r="I39" s="2863"/>
      <c r="J39" s="2862"/>
      <c r="K39" s="2862"/>
      <c r="L39" s="2863"/>
      <c r="M39" s="2862"/>
      <c r="N39" s="2862"/>
      <c r="O39" s="2863"/>
      <c r="P39" s="2862"/>
      <c r="Q39" s="2862"/>
      <c r="R39" s="2864"/>
    </row>
    <row r="40" s="1825" customFormat="1" spans="2:18">
      <c r="B40" s="2862"/>
      <c r="C40" s="2862"/>
      <c r="D40" s="2862"/>
      <c r="E40" s="2862"/>
      <c r="F40" s="2862"/>
      <c r="G40" s="2863"/>
      <c r="H40" s="2862"/>
      <c r="I40" s="2863"/>
      <c r="J40" s="2862"/>
      <c r="K40" s="2862"/>
      <c r="L40" s="2863"/>
      <c r="M40" s="2862"/>
      <c r="N40" s="2862"/>
      <c r="O40" s="2863"/>
      <c r="P40" s="2862"/>
      <c r="Q40" s="2862"/>
      <c r="R40" s="2864"/>
    </row>
    <row r="41" s="1825" customFormat="1" spans="2:18">
      <c r="B41" s="2862"/>
      <c r="C41" s="2862"/>
      <c r="D41" s="2862"/>
      <c r="E41" s="2862"/>
      <c r="F41" s="2862"/>
      <c r="G41" s="2863"/>
      <c r="H41" s="2862"/>
      <c r="I41" s="2863"/>
      <c r="J41" s="2862"/>
      <c r="K41" s="2862"/>
      <c r="L41" s="2863"/>
      <c r="M41" s="2862"/>
      <c r="N41" s="2862"/>
      <c r="O41" s="2863"/>
      <c r="P41" s="2862"/>
      <c r="Q41" s="2862"/>
      <c r="R41" s="2864"/>
    </row>
    <row r="42" s="1825" customFormat="1" spans="2:18">
      <c r="B42" s="2862"/>
      <c r="C42" s="2862"/>
      <c r="D42" s="2862"/>
      <c r="E42" s="2862"/>
      <c r="F42" s="2862"/>
      <c r="G42" s="2863"/>
      <c r="H42" s="2862"/>
      <c r="I42" s="2863"/>
      <c r="J42" s="2862"/>
      <c r="K42" s="2862"/>
      <c r="L42" s="2863"/>
      <c r="M42" s="2862"/>
      <c r="N42" s="2862"/>
      <c r="O42" s="2863"/>
      <c r="P42" s="2862"/>
      <c r="Q42" s="2862"/>
      <c r="R42" s="2864"/>
    </row>
    <row r="43" s="1825" customFormat="1" spans="2:18">
      <c r="B43" s="2862"/>
      <c r="C43" s="2862"/>
      <c r="D43" s="2862"/>
      <c r="E43" s="2862"/>
      <c r="F43" s="2862"/>
      <c r="G43" s="2863"/>
      <c r="H43" s="2862"/>
      <c r="I43" s="2863"/>
      <c r="J43" s="2862"/>
      <c r="K43" s="2862"/>
      <c r="L43" s="2863"/>
      <c r="M43" s="2862"/>
      <c r="N43" s="2862"/>
      <c r="O43" s="2863"/>
      <c r="P43" s="2862"/>
      <c r="Q43" s="2862"/>
      <c r="R43" s="2864"/>
    </row>
    <row r="44" s="1825" customFormat="1" spans="2:18">
      <c r="B44" s="2862"/>
      <c r="C44" s="2862"/>
      <c r="D44" s="2862"/>
      <c r="E44" s="2862"/>
      <c r="F44" s="2862"/>
      <c r="G44" s="2863"/>
      <c r="H44" s="2862"/>
      <c r="I44" s="2863"/>
      <c r="J44" s="2862"/>
      <c r="K44" s="2862"/>
      <c r="L44" s="2863"/>
      <c r="M44" s="2862"/>
      <c r="N44" s="2862"/>
      <c r="O44" s="2863"/>
      <c r="P44" s="2862"/>
      <c r="Q44" s="2862"/>
      <c r="R44" s="2864"/>
    </row>
    <row r="45" s="1825" customFormat="1" spans="2:18">
      <c r="B45" s="2862"/>
      <c r="C45" s="2862"/>
      <c r="D45" s="2862"/>
      <c r="E45" s="2862"/>
      <c r="F45" s="2862"/>
      <c r="G45" s="2863"/>
      <c r="H45" s="2862"/>
      <c r="I45" s="2863"/>
      <c r="J45" s="2862"/>
      <c r="K45" s="2862"/>
      <c r="L45" s="2863"/>
      <c r="M45" s="2862"/>
      <c r="N45" s="2862"/>
      <c r="O45" s="2863"/>
      <c r="P45" s="2862"/>
      <c r="Q45" s="2862"/>
      <c r="R45" s="2864"/>
    </row>
    <row r="46" s="1825" customFormat="1" spans="2:18">
      <c r="B46" s="2862"/>
      <c r="C46" s="2862"/>
      <c r="D46" s="2862"/>
      <c r="E46" s="2862"/>
      <c r="F46" s="2862"/>
      <c r="G46" s="2863"/>
      <c r="H46" s="2862"/>
      <c r="I46" s="2863"/>
      <c r="J46" s="2862"/>
      <c r="K46" s="2862"/>
      <c r="L46" s="2863"/>
      <c r="M46" s="2862"/>
      <c r="N46" s="2862"/>
      <c r="O46" s="2863"/>
      <c r="P46" s="2862"/>
      <c r="Q46" s="2862"/>
      <c r="R46" s="2864"/>
    </row>
    <row r="47" s="1825" customFormat="1" spans="2:18">
      <c r="B47" s="2862"/>
      <c r="C47" s="2862"/>
      <c r="D47" s="2862"/>
      <c r="E47" s="2862"/>
      <c r="F47" s="2862"/>
      <c r="G47" s="2863"/>
      <c r="H47" s="2862"/>
      <c r="I47" s="2863"/>
      <c r="J47" s="2862"/>
      <c r="K47" s="2862"/>
      <c r="L47" s="2863"/>
      <c r="M47" s="2862"/>
      <c r="N47" s="2862"/>
      <c r="O47" s="2863"/>
      <c r="P47" s="2862"/>
      <c r="Q47" s="2862"/>
      <c r="R47" s="2864"/>
    </row>
    <row r="48" s="1825" customFormat="1" spans="2:18">
      <c r="B48" s="2862"/>
      <c r="C48" s="2862"/>
      <c r="D48" s="2862"/>
      <c r="E48" s="2862"/>
      <c r="F48" s="2862"/>
      <c r="G48" s="2863"/>
      <c r="H48" s="2862"/>
      <c r="I48" s="2863"/>
      <c r="J48" s="2862"/>
      <c r="K48" s="2862"/>
      <c r="L48" s="2863"/>
      <c r="M48" s="2862"/>
      <c r="N48" s="2862"/>
      <c r="O48" s="2863"/>
      <c r="P48" s="2862"/>
      <c r="Q48" s="2862"/>
      <c r="R48" s="2864"/>
    </row>
    <row r="49" s="1825" customFormat="1" spans="2:18">
      <c r="B49" s="2862"/>
      <c r="C49" s="2862"/>
      <c r="D49" s="2862"/>
      <c r="E49" s="2862"/>
      <c r="F49" s="2862"/>
      <c r="G49" s="2863"/>
      <c r="H49" s="2862"/>
      <c r="I49" s="2863"/>
      <c r="J49" s="2862"/>
      <c r="K49" s="2862"/>
      <c r="L49" s="2863"/>
      <c r="M49" s="2862"/>
      <c r="N49" s="2862"/>
      <c r="O49" s="2863"/>
      <c r="P49" s="2862"/>
      <c r="Q49" s="2862"/>
      <c r="R49" s="2864"/>
    </row>
    <row r="50" s="1825" customFormat="1" spans="2:18">
      <c r="B50" s="2862"/>
      <c r="C50" s="2862"/>
      <c r="D50" s="2862"/>
      <c r="E50" s="2862"/>
      <c r="F50" s="2862"/>
      <c r="G50" s="2863"/>
      <c r="H50" s="2862"/>
      <c r="I50" s="2863"/>
      <c r="J50" s="2862"/>
      <c r="K50" s="2862"/>
      <c r="L50" s="2863"/>
      <c r="M50" s="2862"/>
      <c r="N50" s="2862"/>
      <c r="O50" s="2863"/>
      <c r="P50" s="2862"/>
      <c r="Q50" s="2862"/>
      <c r="R50" s="2864"/>
    </row>
    <row r="51" s="1825" customFormat="1" spans="2:18">
      <c r="B51" s="2862"/>
      <c r="C51" s="2862"/>
      <c r="D51" s="2862"/>
      <c r="E51" s="2862"/>
      <c r="F51" s="2862"/>
      <c r="G51" s="2863"/>
      <c r="H51" s="2862"/>
      <c r="I51" s="2863"/>
      <c r="J51" s="2862"/>
      <c r="K51" s="2862"/>
      <c r="L51" s="2863"/>
      <c r="M51" s="2862"/>
      <c r="N51" s="2862"/>
      <c r="O51" s="2863"/>
      <c r="P51" s="2862"/>
      <c r="Q51" s="2862"/>
      <c r="R51" s="2864"/>
    </row>
    <row r="52" s="1825" customFormat="1" spans="2:18">
      <c r="B52" s="2862"/>
      <c r="C52" s="2862"/>
      <c r="D52" s="2862"/>
      <c r="E52" s="2862"/>
      <c r="F52" s="2862"/>
      <c r="G52" s="2863"/>
      <c r="H52" s="2862"/>
      <c r="I52" s="2863"/>
      <c r="J52" s="2862"/>
      <c r="K52" s="2862"/>
      <c r="L52" s="2863"/>
      <c r="M52" s="2862"/>
      <c r="N52" s="2862"/>
      <c r="O52" s="2863"/>
      <c r="P52" s="2862"/>
      <c r="Q52" s="2862"/>
      <c r="R52" s="2864"/>
    </row>
    <row r="53" s="1825" customFormat="1" spans="2:18">
      <c r="B53" s="2862"/>
      <c r="C53" s="2862"/>
      <c r="D53" s="2862"/>
      <c r="E53" s="2862"/>
      <c r="F53" s="2862"/>
      <c r="G53" s="2863"/>
      <c r="H53" s="2862"/>
      <c r="I53" s="2863"/>
      <c r="J53" s="2862"/>
      <c r="K53" s="2862"/>
      <c r="L53" s="2863"/>
      <c r="M53" s="2862"/>
      <c r="N53" s="2862"/>
      <c r="O53" s="2863"/>
      <c r="P53" s="2862"/>
      <c r="Q53" s="2862"/>
      <c r="R53" s="2864"/>
    </row>
    <row r="54" s="1825" customFormat="1" spans="2:18">
      <c r="B54" s="2862"/>
      <c r="C54" s="2862"/>
      <c r="D54" s="2862"/>
      <c r="E54" s="2862"/>
      <c r="F54" s="2862"/>
      <c r="G54" s="2863"/>
      <c r="H54" s="2862"/>
      <c r="I54" s="2863"/>
      <c r="J54" s="2862"/>
      <c r="K54" s="2862"/>
      <c r="L54" s="2863"/>
      <c r="M54" s="2862"/>
      <c r="N54" s="2862"/>
      <c r="O54" s="2863"/>
      <c r="P54" s="2862"/>
      <c r="Q54" s="2862"/>
      <c r="R54" s="2864"/>
    </row>
    <row r="55" s="1825" customFormat="1" spans="2:18">
      <c r="B55" s="2862"/>
      <c r="C55" s="2862"/>
      <c r="D55" s="2862"/>
      <c r="E55" s="2862"/>
      <c r="F55" s="2862"/>
      <c r="G55" s="2863"/>
      <c r="H55" s="2862"/>
      <c r="I55" s="2863"/>
      <c r="J55" s="2862"/>
      <c r="K55" s="2862"/>
      <c r="L55" s="2863"/>
      <c r="M55" s="2862"/>
      <c r="N55" s="2862"/>
      <c r="O55" s="2863"/>
      <c r="P55" s="2862"/>
      <c r="Q55" s="2862"/>
      <c r="R55" s="2864"/>
    </row>
    <row r="56" s="1825" customFormat="1" spans="2:18">
      <c r="B56" s="2862"/>
      <c r="C56" s="2862"/>
      <c r="D56" s="2862"/>
      <c r="E56" s="2862"/>
      <c r="F56" s="2862"/>
      <c r="G56" s="2863"/>
      <c r="H56" s="2862"/>
      <c r="I56" s="2863"/>
      <c r="J56" s="2862"/>
      <c r="K56" s="2862"/>
      <c r="L56" s="2863"/>
      <c r="M56" s="2862"/>
      <c r="N56" s="2862"/>
      <c r="O56" s="2863"/>
      <c r="P56" s="2862"/>
      <c r="Q56" s="2862"/>
      <c r="R56" s="2864"/>
    </row>
    <row r="57" s="1825" customFormat="1" spans="2:18">
      <c r="B57" s="2862"/>
      <c r="C57" s="2862"/>
      <c r="D57" s="2862"/>
      <c r="E57" s="2862"/>
      <c r="F57" s="2862"/>
      <c r="G57" s="2863"/>
      <c r="H57" s="2862"/>
      <c r="I57" s="2863"/>
      <c r="J57" s="2862"/>
      <c r="K57" s="2862"/>
      <c r="L57" s="2863"/>
      <c r="M57" s="2862"/>
      <c r="N57" s="2862"/>
      <c r="O57" s="2863"/>
      <c r="P57" s="2862"/>
      <c r="Q57" s="2862"/>
      <c r="R57" s="2864"/>
    </row>
    <row r="58" s="1825" customFormat="1" spans="2:18">
      <c r="B58" s="2862"/>
      <c r="C58" s="2862"/>
      <c r="D58" s="2862"/>
      <c r="E58" s="2862"/>
      <c r="F58" s="2862"/>
      <c r="G58" s="2863"/>
      <c r="H58" s="2862"/>
      <c r="I58" s="2863"/>
      <c r="J58" s="2862"/>
      <c r="K58" s="2862"/>
      <c r="L58" s="2863"/>
      <c r="M58" s="2862"/>
      <c r="N58" s="2862"/>
      <c r="O58" s="2863"/>
      <c r="P58" s="2862"/>
      <c r="Q58" s="2862"/>
      <c r="R58" s="2864"/>
    </row>
    <row r="59" s="1825" customFormat="1" spans="2:18">
      <c r="B59" s="2862"/>
      <c r="C59" s="2862"/>
      <c r="D59" s="2862"/>
      <c r="E59" s="2862"/>
      <c r="F59" s="2862"/>
      <c r="G59" s="2863"/>
      <c r="H59" s="2862"/>
      <c r="I59" s="2863"/>
      <c r="J59" s="2862"/>
      <c r="K59" s="2862"/>
      <c r="L59" s="2863"/>
      <c r="M59" s="2862"/>
      <c r="N59" s="2862"/>
      <c r="O59" s="2863"/>
      <c r="P59" s="2862"/>
      <c r="Q59" s="2862"/>
      <c r="R59" s="2864"/>
    </row>
    <row r="60" s="1825" customFormat="1" spans="2:18">
      <c r="B60" s="2862"/>
      <c r="C60" s="2862"/>
      <c r="D60" s="2862"/>
      <c r="E60" s="2862"/>
      <c r="F60" s="2862"/>
      <c r="G60" s="2863"/>
      <c r="H60" s="2862"/>
      <c r="I60" s="2863"/>
      <c r="J60" s="2862"/>
      <c r="K60" s="2862"/>
      <c r="L60" s="2863"/>
      <c r="M60" s="2862"/>
      <c r="N60" s="2862"/>
      <c r="O60" s="2863"/>
      <c r="P60" s="2862"/>
      <c r="Q60" s="2862"/>
      <c r="R60" s="2864"/>
    </row>
    <row r="61" s="1825" customFormat="1" spans="2:18">
      <c r="B61" s="2862"/>
      <c r="C61" s="2862"/>
      <c r="D61" s="2862"/>
      <c r="E61" s="2862"/>
      <c r="F61" s="2862"/>
      <c r="G61" s="2863"/>
      <c r="H61" s="2862"/>
      <c r="I61" s="2863"/>
      <c r="J61" s="2862"/>
      <c r="K61" s="2862"/>
      <c r="L61" s="2863"/>
      <c r="M61" s="2862"/>
      <c r="N61" s="2862"/>
      <c r="O61" s="2863"/>
      <c r="P61" s="2862"/>
      <c r="Q61" s="2862"/>
      <c r="R61" s="2864"/>
    </row>
    <row r="62" s="1825" customFormat="1" spans="2:18">
      <c r="B62" s="2862"/>
      <c r="C62" s="2862"/>
      <c r="D62" s="2862"/>
      <c r="E62" s="2862"/>
      <c r="F62" s="2862"/>
      <c r="G62" s="2863"/>
      <c r="H62" s="2862"/>
      <c r="I62" s="2863"/>
      <c r="J62" s="2862"/>
      <c r="K62" s="2862"/>
      <c r="L62" s="2863"/>
      <c r="M62" s="2862"/>
      <c r="N62" s="2862"/>
      <c r="O62" s="2863"/>
      <c r="P62" s="2862"/>
      <c r="Q62" s="2862"/>
      <c r="R62" s="2864"/>
    </row>
    <row r="63" s="1825" customFormat="1" spans="2:18">
      <c r="B63" s="2862"/>
      <c r="C63" s="2862"/>
      <c r="D63" s="2862"/>
      <c r="E63" s="2862"/>
      <c r="F63" s="2862"/>
      <c r="G63" s="2863"/>
      <c r="H63" s="2862"/>
      <c r="I63" s="2863"/>
      <c r="J63" s="2862"/>
      <c r="K63" s="2862"/>
      <c r="L63" s="2863"/>
      <c r="M63" s="2862"/>
      <c r="N63" s="2862"/>
      <c r="O63" s="2863"/>
      <c r="P63" s="2862"/>
      <c r="Q63" s="2862"/>
      <c r="R63" s="2864"/>
    </row>
    <row r="64" s="1825" customFormat="1" spans="2:18">
      <c r="B64" s="2862"/>
      <c r="C64" s="2862"/>
      <c r="D64" s="2862"/>
      <c r="E64" s="2862"/>
      <c r="F64" s="2862"/>
      <c r="G64" s="2863"/>
      <c r="H64" s="2862"/>
      <c r="I64" s="2863"/>
      <c r="J64" s="2862"/>
      <c r="K64" s="2862"/>
      <c r="L64" s="2863"/>
      <c r="M64" s="2862"/>
      <c r="N64" s="2862"/>
      <c r="O64" s="2863"/>
      <c r="P64" s="2862"/>
      <c r="Q64" s="2862"/>
      <c r="R64" s="2864"/>
    </row>
    <row r="65" s="1825" customFormat="1" spans="2:18">
      <c r="B65" s="2862"/>
      <c r="C65" s="2862"/>
      <c r="D65" s="2862"/>
      <c r="E65" s="2862"/>
      <c r="F65" s="2862"/>
      <c r="G65" s="2863"/>
      <c r="H65" s="2862"/>
      <c r="I65" s="2863"/>
      <c r="J65" s="2862"/>
      <c r="K65" s="2862"/>
      <c r="L65" s="2863"/>
      <c r="M65" s="2862"/>
      <c r="N65" s="2862"/>
      <c r="O65" s="2863"/>
      <c r="P65" s="2862"/>
      <c r="Q65" s="2862"/>
      <c r="R65" s="2864"/>
    </row>
    <row r="66" s="1825" customFormat="1" spans="2:18">
      <c r="B66" s="2862"/>
      <c r="C66" s="2862"/>
      <c r="D66" s="2862"/>
      <c r="E66" s="2862"/>
      <c r="F66" s="2862"/>
      <c r="G66" s="2863"/>
      <c r="H66" s="2862"/>
      <c r="I66" s="2863"/>
      <c r="J66" s="2862"/>
      <c r="K66" s="2862"/>
      <c r="L66" s="2863"/>
      <c r="M66" s="2862"/>
      <c r="N66" s="2862"/>
      <c r="O66" s="2863"/>
      <c r="P66" s="2862"/>
      <c r="Q66" s="2862"/>
      <c r="R66" s="2864"/>
    </row>
    <row r="67" s="1825" customFormat="1" spans="2:18">
      <c r="B67" s="2862"/>
      <c r="C67" s="2862"/>
      <c r="D67" s="2862"/>
      <c r="E67" s="2862"/>
      <c r="F67" s="2862"/>
      <c r="G67" s="2863"/>
      <c r="H67" s="2862"/>
      <c r="I67" s="2863"/>
      <c r="J67" s="2862"/>
      <c r="K67" s="2862"/>
      <c r="L67" s="2863"/>
      <c r="M67" s="2862"/>
      <c r="N67" s="2862"/>
      <c r="O67" s="2863"/>
      <c r="P67" s="2862"/>
      <c r="Q67" s="2862"/>
      <c r="R67" s="2864"/>
    </row>
    <row r="68" s="1825" customFormat="1" spans="2:18">
      <c r="B68" s="2862"/>
      <c r="C68" s="2862"/>
      <c r="D68" s="2862"/>
      <c r="E68" s="2862"/>
      <c r="F68" s="2862"/>
      <c r="G68" s="2863"/>
      <c r="H68" s="2862"/>
      <c r="I68" s="2863"/>
      <c r="J68" s="2862"/>
      <c r="K68" s="2862"/>
      <c r="L68" s="2863"/>
      <c r="M68" s="2862"/>
      <c r="N68" s="2862"/>
      <c r="O68" s="2863"/>
      <c r="P68" s="2862"/>
      <c r="Q68" s="2862"/>
      <c r="R68" s="2864"/>
    </row>
    <row r="69" s="1825" customFormat="1" spans="2:18">
      <c r="B69" s="2862"/>
      <c r="C69" s="2862"/>
      <c r="D69" s="2862"/>
      <c r="E69" s="2862"/>
      <c r="F69" s="2862"/>
      <c r="G69" s="2863"/>
      <c r="H69" s="2862"/>
      <c r="I69" s="2863"/>
      <c r="J69" s="2862"/>
      <c r="K69" s="2862"/>
      <c r="L69" s="2863"/>
      <c r="M69" s="2862"/>
      <c r="N69" s="2862"/>
      <c r="O69" s="2863"/>
      <c r="P69" s="2862"/>
      <c r="Q69" s="2862"/>
      <c r="R69" s="2864"/>
    </row>
    <row r="70" s="1825" customFormat="1" spans="2:18">
      <c r="B70" s="2862"/>
      <c r="C70" s="2862"/>
      <c r="D70" s="2862"/>
      <c r="E70" s="2862"/>
      <c r="F70" s="2862"/>
      <c r="G70" s="2863"/>
      <c r="H70" s="2862"/>
      <c r="I70" s="2863"/>
      <c r="J70" s="2862"/>
      <c r="K70" s="2862"/>
      <c r="L70" s="2863"/>
      <c r="M70" s="2862"/>
      <c r="N70" s="2862"/>
      <c r="O70" s="2863"/>
      <c r="P70" s="2862"/>
      <c r="Q70" s="2862"/>
      <c r="R70" s="2864"/>
    </row>
    <row r="71" s="1825" customFormat="1" spans="2:18">
      <c r="B71" s="2862"/>
      <c r="C71" s="2862"/>
      <c r="D71" s="2862"/>
      <c r="E71" s="2862"/>
      <c r="F71" s="2862"/>
      <c r="G71" s="2863"/>
      <c r="H71" s="2862"/>
      <c r="I71" s="2863"/>
      <c r="J71" s="2862"/>
      <c r="K71" s="2862"/>
      <c r="L71" s="2863"/>
      <c r="M71" s="2862"/>
      <c r="N71" s="2862"/>
      <c r="O71" s="2863"/>
      <c r="P71" s="2862"/>
      <c r="Q71" s="2862"/>
      <c r="R71" s="2864"/>
    </row>
    <row r="72" s="1825" customFormat="1" spans="2:18">
      <c r="B72" s="2862"/>
      <c r="C72" s="2862"/>
      <c r="D72" s="2862"/>
      <c r="E72" s="2862"/>
      <c r="F72" s="2862"/>
      <c r="G72" s="2863"/>
      <c r="H72" s="2862"/>
      <c r="I72" s="2863"/>
      <c r="J72" s="2862"/>
      <c r="K72" s="2862"/>
      <c r="L72" s="2863"/>
      <c r="M72" s="2862"/>
      <c r="N72" s="2862"/>
      <c r="O72" s="2863"/>
      <c r="P72" s="2862"/>
      <c r="Q72" s="2862"/>
      <c r="R72" s="2864"/>
    </row>
    <row r="73" s="1825" customFormat="1" spans="2:18">
      <c r="B73" s="2862"/>
      <c r="C73" s="2862"/>
      <c r="D73" s="2862"/>
      <c r="E73" s="2862"/>
      <c r="F73" s="2862"/>
      <c r="G73" s="2863"/>
      <c r="H73" s="2862"/>
      <c r="I73" s="2863"/>
      <c r="J73" s="2862"/>
      <c r="K73" s="2862"/>
      <c r="L73" s="2863"/>
      <c r="M73" s="2862"/>
      <c r="N73" s="2862"/>
      <c r="O73" s="2863"/>
      <c r="P73" s="2862"/>
      <c r="Q73" s="2862"/>
      <c r="R73" s="2864"/>
    </row>
    <row r="74" s="1825" customFormat="1" spans="2:18">
      <c r="B74" s="2862"/>
      <c r="C74" s="2862"/>
      <c r="D74" s="2862"/>
      <c r="E74" s="2862"/>
      <c r="F74" s="2862"/>
      <c r="G74" s="2863"/>
      <c r="H74" s="2862"/>
      <c r="I74" s="2863"/>
      <c r="J74" s="2862"/>
      <c r="K74" s="2862"/>
      <c r="L74" s="2863"/>
      <c r="M74" s="2862"/>
      <c r="N74" s="2862"/>
      <c r="O74" s="2863"/>
      <c r="P74" s="2862"/>
      <c r="Q74" s="2862"/>
      <c r="R74" s="2864"/>
    </row>
    <row r="75" s="1825" customFormat="1" spans="2:18">
      <c r="B75" s="2862"/>
      <c r="C75" s="2862"/>
      <c r="D75" s="2862"/>
      <c r="E75" s="2862"/>
      <c r="F75" s="2862"/>
      <c r="G75" s="2863"/>
      <c r="H75" s="2862"/>
      <c r="I75" s="2863"/>
      <c r="J75" s="2862"/>
      <c r="K75" s="2862"/>
      <c r="L75" s="2863"/>
      <c r="M75" s="2862"/>
      <c r="N75" s="2862"/>
      <c r="O75" s="2863"/>
      <c r="P75" s="2862"/>
      <c r="Q75" s="2862"/>
      <c r="R75" s="2864"/>
    </row>
    <row r="76" s="1825" customFormat="1" spans="2:18">
      <c r="B76" s="2862"/>
      <c r="C76" s="2862"/>
      <c r="D76" s="2862"/>
      <c r="E76" s="2862"/>
      <c r="F76" s="2862"/>
      <c r="G76" s="2863"/>
      <c r="H76" s="2862"/>
      <c r="I76" s="2863"/>
      <c r="J76" s="2862"/>
      <c r="K76" s="2862"/>
      <c r="L76" s="2863"/>
      <c r="M76" s="2862"/>
      <c r="N76" s="2862"/>
      <c r="O76" s="2863"/>
      <c r="P76" s="2862"/>
      <c r="Q76" s="2862"/>
      <c r="R76" s="2864"/>
    </row>
    <row r="77" s="1825" customFormat="1" spans="2:18">
      <c r="B77" s="2862"/>
      <c r="C77" s="2862"/>
      <c r="D77" s="2862"/>
      <c r="E77" s="2862"/>
      <c r="F77" s="2862"/>
      <c r="G77" s="2863"/>
      <c r="H77" s="2862"/>
      <c r="I77" s="2863"/>
      <c r="J77" s="2862"/>
      <c r="K77" s="2862"/>
      <c r="L77" s="2863"/>
      <c r="M77" s="2862"/>
      <c r="N77" s="2862"/>
      <c r="O77" s="2863"/>
      <c r="P77" s="2862"/>
      <c r="Q77" s="2862"/>
      <c r="R77" s="2864"/>
    </row>
    <row r="78" s="1825" customFormat="1" spans="2:18">
      <c r="B78" s="2862"/>
      <c r="C78" s="2862"/>
      <c r="D78" s="2862"/>
      <c r="E78" s="2862"/>
      <c r="F78" s="2862"/>
      <c r="G78" s="2863"/>
      <c r="H78" s="2862"/>
      <c r="I78" s="2863"/>
      <c r="J78" s="2862"/>
      <c r="K78" s="2862"/>
      <c r="L78" s="2863"/>
      <c r="M78" s="2862"/>
      <c r="N78" s="2862"/>
      <c r="O78" s="2863"/>
      <c r="P78" s="2862"/>
      <c r="Q78" s="2862"/>
      <c r="R78" s="2864"/>
    </row>
    <row r="79" s="1825" customFormat="1" spans="2:18">
      <c r="B79" s="2862"/>
      <c r="C79" s="2862"/>
      <c r="D79" s="2862"/>
      <c r="E79" s="2862"/>
      <c r="F79" s="2862"/>
      <c r="G79" s="2863"/>
      <c r="H79" s="2862"/>
      <c r="I79" s="2863"/>
      <c r="J79" s="2862"/>
      <c r="K79" s="2862"/>
      <c r="L79" s="2863"/>
      <c r="M79" s="2862"/>
      <c r="N79" s="2862"/>
      <c r="O79" s="2863"/>
      <c r="P79" s="2862"/>
      <c r="Q79" s="2862"/>
      <c r="R79" s="2864"/>
    </row>
    <row r="80" s="1825" customFormat="1" spans="2:18">
      <c r="B80" s="2862"/>
      <c r="C80" s="2862"/>
      <c r="D80" s="2862"/>
      <c r="E80" s="2862"/>
      <c r="F80" s="2862"/>
      <c r="G80" s="2863"/>
      <c r="H80" s="2862"/>
      <c r="I80" s="2863"/>
      <c r="J80" s="2862"/>
      <c r="K80" s="2862"/>
      <c r="L80" s="2863"/>
      <c r="M80" s="2862"/>
      <c r="N80" s="2862"/>
      <c r="O80" s="2863"/>
      <c r="P80" s="2862"/>
      <c r="Q80" s="2862"/>
      <c r="R80" s="2864"/>
    </row>
    <row r="81" s="1825" customFormat="1" spans="2:18">
      <c r="B81" s="2862"/>
      <c r="C81" s="2862"/>
      <c r="D81" s="2862"/>
      <c r="E81" s="2862"/>
      <c r="F81" s="2862"/>
      <c r="G81" s="2863"/>
      <c r="H81" s="2862"/>
      <c r="I81" s="2863"/>
      <c r="J81" s="2862"/>
      <c r="K81" s="2862"/>
      <c r="L81" s="2863"/>
      <c r="M81" s="2862"/>
      <c r="N81" s="2862"/>
      <c r="O81" s="2863"/>
      <c r="P81" s="2862"/>
      <c r="Q81" s="2862"/>
      <c r="R81" s="2864"/>
    </row>
    <row r="82" s="1825" customFormat="1" spans="2:18">
      <c r="B82" s="2862"/>
      <c r="C82" s="2862"/>
      <c r="D82" s="2862"/>
      <c r="E82" s="2862"/>
      <c r="F82" s="2862"/>
      <c r="G82" s="2863"/>
      <c r="H82" s="2862"/>
      <c r="I82" s="2863"/>
      <c r="J82" s="2862"/>
      <c r="K82" s="2862"/>
      <c r="L82" s="2863"/>
      <c r="M82" s="2862"/>
      <c r="N82" s="2862"/>
      <c r="O82" s="2863"/>
      <c r="P82" s="2862"/>
      <c r="Q82" s="2862"/>
      <c r="R82" s="2864"/>
    </row>
    <row r="83" s="1825" customFormat="1" spans="2:18">
      <c r="B83" s="2862"/>
      <c r="C83" s="2862"/>
      <c r="D83" s="2862"/>
      <c r="E83" s="2862"/>
      <c r="F83" s="2862"/>
      <c r="G83" s="2863"/>
      <c r="H83" s="2862"/>
      <c r="I83" s="2863"/>
      <c r="J83" s="2862"/>
      <c r="K83" s="2862"/>
      <c r="L83" s="2863"/>
      <c r="M83" s="2862"/>
      <c r="N83" s="2862"/>
      <c r="O83" s="2863"/>
      <c r="P83" s="2862"/>
      <c r="Q83" s="2862"/>
      <c r="R83" s="2864"/>
    </row>
    <row r="84" s="1825" customFormat="1" spans="2:18">
      <c r="B84" s="2862"/>
      <c r="C84" s="2862"/>
      <c r="D84" s="2862"/>
      <c r="E84" s="2862"/>
      <c r="F84" s="2862"/>
      <c r="G84" s="2863"/>
      <c r="H84" s="2862"/>
      <c r="I84" s="2863"/>
      <c r="J84" s="2862"/>
      <c r="K84" s="2862"/>
      <c r="L84" s="2863"/>
      <c r="M84" s="2862"/>
      <c r="N84" s="2862"/>
      <c r="O84" s="2863"/>
      <c r="P84" s="2862"/>
      <c r="Q84" s="2862"/>
      <c r="R84" s="2864"/>
    </row>
    <row r="85" s="1825" customFormat="1" spans="2:18">
      <c r="B85" s="2862"/>
      <c r="C85" s="2862"/>
      <c r="D85" s="2862"/>
      <c r="E85" s="2862"/>
      <c r="F85" s="2862"/>
      <c r="G85" s="2863"/>
      <c r="H85" s="2862"/>
      <c r="I85" s="2863"/>
      <c r="J85" s="2862"/>
      <c r="K85" s="2862"/>
      <c r="L85" s="2863"/>
      <c r="M85" s="2862"/>
      <c r="N85" s="2862"/>
      <c r="O85" s="2863"/>
      <c r="P85" s="2862"/>
      <c r="Q85" s="2862"/>
      <c r="R85" s="2864"/>
    </row>
    <row r="86" s="1825" customFormat="1" spans="2:18">
      <c r="B86" s="2862"/>
      <c r="C86" s="2862"/>
      <c r="D86" s="2862"/>
      <c r="E86" s="2862"/>
      <c r="F86" s="2862"/>
      <c r="G86" s="2863"/>
      <c r="H86" s="2862"/>
      <c r="I86" s="2863"/>
      <c r="J86" s="2862"/>
      <c r="K86" s="2862"/>
      <c r="L86" s="2863"/>
      <c r="M86" s="2862"/>
      <c r="N86" s="2862"/>
      <c r="O86" s="2863"/>
      <c r="P86" s="2862"/>
      <c r="Q86" s="2862"/>
      <c r="R86" s="2864"/>
    </row>
    <row r="87" s="1825" customFormat="1" spans="2:18">
      <c r="B87" s="2862"/>
      <c r="C87" s="2862"/>
      <c r="D87" s="2862"/>
      <c r="E87" s="2862"/>
      <c r="F87" s="2862"/>
      <c r="G87" s="2863"/>
      <c r="H87" s="2862"/>
      <c r="I87" s="2863"/>
      <c r="J87" s="2862"/>
      <c r="K87" s="2862"/>
      <c r="L87" s="2863"/>
      <c r="M87" s="2862"/>
      <c r="N87" s="2862"/>
      <c r="O87" s="2863"/>
      <c r="P87" s="2862"/>
      <c r="Q87" s="2862"/>
      <c r="R87" s="2864"/>
    </row>
    <row r="88" s="1825" customFormat="1" spans="2:18">
      <c r="B88" s="2862"/>
      <c r="C88" s="2862"/>
      <c r="D88" s="2862"/>
      <c r="E88" s="2862"/>
      <c r="F88" s="2862"/>
      <c r="G88" s="2863"/>
      <c r="H88" s="2862"/>
      <c r="I88" s="2863"/>
      <c r="J88" s="2862"/>
      <c r="K88" s="2862"/>
      <c r="L88" s="2863"/>
      <c r="M88" s="2862"/>
      <c r="N88" s="2862"/>
      <c r="O88" s="2863"/>
      <c r="P88" s="2862"/>
      <c r="Q88" s="2862"/>
      <c r="R88" s="2864"/>
    </row>
    <row r="89" s="1825" customFormat="1" spans="2:18">
      <c r="B89" s="2862"/>
      <c r="C89" s="2862"/>
      <c r="D89" s="2862"/>
      <c r="E89" s="2862"/>
      <c r="F89" s="2862"/>
      <c r="G89" s="2863"/>
      <c r="H89" s="2862"/>
      <c r="I89" s="2863"/>
      <c r="J89" s="2862"/>
      <c r="K89" s="2862"/>
      <c r="L89" s="2863"/>
      <c r="M89" s="2862"/>
      <c r="N89" s="2862"/>
      <c r="O89" s="2863"/>
      <c r="P89" s="2862"/>
      <c r="Q89" s="2862"/>
      <c r="R89" s="2864"/>
    </row>
    <row r="90" s="1825" customFormat="1" spans="2:18">
      <c r="B90" s="2862"/>
      <c r="C90" s="2862"/>
      <c r="D90" s="2862"/>
      <c r="E90" s="2862"/>
      <c r="F90" s="2862"/>
      <c r="G90" s="2863"/>
      <c r="H90" s="2862"/>
      <c r="I90" s="2863"/>
      <c r="J90" s="2862"/>
      <c r="K90" s="2862"/>
      <c r="L90" s="2863"/>
      <c r="M90" s="2862"/>
      <c r="N90" s="2862"/>
      <c r="O90" s="2863"/>
      <c r="P90" s="2862"/>
      <c r="Q90" s="2862"/>
      <c r="R90" s="2864"/>
    </row>
    <row r="91" s="1825" customFormat="1" spans="2:18">
      <c r="B91" s="2862"/>
      <c r="C91" s="2862"/>
      <c r="D91" s="2862"/>
      <c r="E91" s="2862"/>
      <c r="F91" s="2862"/>
      <c r="G91" s="2863"/>
      <c r="H91" s="2862"/>
      <c r="I91" s="2863"/>
      <c r="J91" s="2862"/>
      <c r="K91" s="2862"/>
      <c r="L91" s="2863"/>
      <c r="M91" s="2862"/>
      <c r="N91" s="2862"/>
      <c r="O91" s="2863"/>
      <c r="P91" s="2862"/>
      <c r="Q91" s="2862"/>
      <c r="R91" s="2864"/>
    </row>
    <row r="92" s="1825" customFormat="1" spans="2:18">
      <c r="B92" s="2862"/>
      <c r="C92" s="2862"/>
      <c r="D92" s="2862"/>
      <c r="E92" s="2862"/>
      <c r="F92" s="2862"/>
      <c r="G92" s="2863"/>
      <c r="H92" s="2862"/>
      <c r="I92" s="2863"/>
      <c r="J92" s="2862"/>
      <c r="K92" s="2862"/>
      <c r="L92" s="2863"/>
      <c r="M92" s="2862"/>
      <c r="N92" s="2862"/>
      <c r="O92" s="2863"/>
      <c r="P92" s="2862"/>
      <c r="Q92" s="2862"/>
      <c r="R92" s="2864"/>
    </row>
    <row r="93" s="1825" customFormat="1" spans="2:18">
      <c r="B93" s="2862"/>
      <c r="C93" s="2862"/>
      <c r="D93" s="2862"/>
      <c r="E93" s="2862"/>
      <c r="F93" s="2862"/>
      <c r="G93" s="2863"/>
      <c r="H93" s="2862"/>
      <c r="I93" s="2863"/>
      <c r="J93" s="2862"/>
      <c r="K93" s="2862"/>
      <c r="L93" s="2863"/>
      <c r="M93" s="2862"/>
      <c r="N93" s="2862"/>
      <c r="O93" s="2863"/>
      <c r="P93" s="2862"/>
      <c r="Q93" s="2862"/>
      <c r="R93" s="2864"/>
    </row>
    <row r="94" s="1825" customFormat="1" spans="2:18">
      <c r="B94" s="2862"/>
      <c r="C94" s="2862"/>
      <c r="D94" s="2862"/>
      <c r="E94" s="2862"/>
      <c r="F94" s="2862"/>
      <c r="G94" s="2863"/>
      <c r="H94" s="2862"/>
      <c r="I94" s="2863"/>
      <c r="J94" s="2862"/>
      <c r="K94" s="2862"/>
      <c r="L94" s="2863"/>
      <c r="M94" s="2862"/>
      <c r="N94" s="2862"/>
      <c r="O94" s="2863"/>
      <c r="P94" s="2862"/>
      <c r="Q94" s="2862"/>
      <c r="R94" s="2864"/>
    </row>
    <row r="95" s="1825" customFormat="1" spans="2:18">
      <c r="B95" s="2862"/>
      <c r="C95" s="2862"/>
      <c r="D95" s="2862"/>
      <c r="E95" s="2862"/>
      <c r="F95" s="2862"/>
      <c r="G95" s="2863"/>
      <c r="H95" s="2862"/>
      <c r="I95" s="2863"/>
      <c r="J95" s="2862"/>
      <c r="K95" s="2862"/>
      <c r="L95" s="2863"/>
      <c r="M95" s="2862"/>
      <c r="N95" s="2862"/>
      <c r="O95" s="2863"/>
      <c r="P95" s="2862"/>
      <c r="Q95" s="2862"/>
      <c r="R95" s="2864"/>
    </row>
    <row r="96" s="1825" customFormat="1" spans="2:18">
      <c r="B96" s="2862"/>
      <c r="C96" s="2862"/>
      <c r="D96" s="2862"/>
      <c r="E96" s="2862"/>
      <c r="F96" s="2862"/>
      <c r="G96" s="2863"/>
      <c r="H96" s="2862"/>
      <c r="I96" s="2863"/>
      <c r="J96" s="2862"/>
      <c r="K96" s="2862"/>
      <c r="L96" s="2863"/>
      <c r="M96" s="2862"/>
      <c r="N96" s="2862"/>
      <c r="O96" s="2863"/>
      <c r="P96" s="2862"/>
      <c r="Q96" s="2862"/>
      <c r="R96" s="2864"/>
    </row>
    <row r="97" s="1825" customFormat="1" spans="2:18">
      <c r="B97" s="2862"/>
      <c r="C97" s="2862"/>
      <c r="D97" s="2862"/>
      <c r="E97" s="2862"/>
      <c r="F97" s="2862"/>
      <c r="G97" s="2863"/>
      <c r="H97" s="2862"/>
      <c r="I97" s="2863"/>
      <c r="J97" s="2862"/>
      <c r="K97" s="2862"/>
      <c r="L97" s="2863"/>
      <c r="M97" s="2862"/>
      <c r="N97" s="2862"/>
      <c r="O97" s="2863"/>
      <c r="P97" s="2862"/>
      <c r="Q97" s="2862"/>
      <c r="R97" s="2864"/>
    </row>
    <row r="98" s="1825" customFormat="1" spans="2:18">
      <c r="B98" s="2862"/>
      <c r="C98" s="2862"/>
      <c r="D98" s="2862"/>
      <c r="E98" s="2862"/>
      <c r="F98" s="2862"/>
      <c r="G98" s="2863"/>
      <c r="H98" s="2862"/>
      <c r="I98" s="2863"/>
      <c r="J98" s="2862"/>
      <c r="K98" s="2862"/>
      <c r="L98" s="2863"/>
      <c r="M98" s="2862"/>
      <c r="N98" s="2862"/>
      <c r="O98" s="2863"/>
      <c r="P98" s="2862"/>
      <c r="Q98" s="2862"/>
      <c r="R98" s="2864"/>
    </row>
    <row r="99" s="1825" customFormat="1" spans="2:18">
      <c r="B99" s="2862"/>
      <c r="C99" s="2862"/>
      <c r="D99" s="2862"/>
      <c r="E99" s="2862"/>
      <c r="F99" s="2862"/>
      <c r="G99" s="2863"/>
      <c r="H99" s="2862"/>
      <c r="I99" s="2863"/>
      <c r="J99" s="2862"/>
      <c r="K99" s="2862"/>
      <c r="L99" s="2863"/>
      <c r="M99" s="2862"/>
      <c r="N99" s="2862"/>
      <c r="O99" s="2863"/>
      <c r="P99" s="2862"/>
      <c r="Q99" s="2862"/>
      <c r="R99" s="2864"/>
    </row>
    <row r="100" s="1825" customFormat="1" spans="2:18">
      <c r="B100" s="2862"/>
      <c r="C100" s="2862"/>
      <c r="D100" s="2862"/>
      <c r="E100" s="2862"/>
      <c r="F100" s="2862"/>
      <c r="G100" s="2863"/>
      <c r="H100" s="2862"/>
      <c r="I100" s="2863"/>
      <c r="J100" s="2862"/>
      <c r="K100" s="2862"/>
      <c r="L100" s="2863"/>
      <c r="M100" s="2862"/>
      <c r="N100" s="2862"/>
      <c r="O100" s="2863"/>
      <c r="P100" s="2862"/>
      <c r="Q100" s="2862"/>
      <c r="R100" s="2864"/>
    </row>
    <row r="101" s="1825" customFormat="1" spans="2:18">
      <c r="B101" s="2862"/>
      <c r="C101" s="2862"/>
      <c r="D101" s="2862"/>
      <c r="E101" s="2862"/>
      <c r="F101" s="2862"/>
      <c r="G101" s="2863"/>
      <c r="H101" s="2862"/>
      <c r="I101" s="2863"/>
      <c r="J101" s="2862"/>
      <c r="K101" s="2862"/>
      <c r="L101" s="2863"/>
      <c r="M101" s="2862"/>
      <c r="N101" s="2862"/>
      <c r="O101" s="2863"/>
      <c r="P101" s="2862"/>
      <c r="Q101" s="2862"/>
      <c r="R101" s="2864"/>
    </row>
    <row r="102" s="1825" customFormat="1" spans="2:18">
      <c r="B102" s="2862"/>
      <c r="C102" s="2862"/>
      <c r="D102" s="2862"/>
      <c r="E102" s="2862"/>
      <c r="F102" s="2862"/>
      <c r="G102" s="2863"/>
      <c r="H102" s="2862"/>
      <c r="I102" s="2863"/>
      <c r="J102" s="2862"/>
      <c r="K102" s="2862"/>
      <c r="L102" s="2863"/>
      <c r="M102" s="2862"/>
      <c r="N102" s="2862"/>
      <c r="O102" s="2863"/>
      <c r="P102" s="2862"/>
      <c r="Q102" s="2862"/>
      <c r="R102" s="2864"/>
    </row>
    <row r="103" s="1825" customFormat="1" spans="2:18">
      <c r="B103" s="2862"/>
      <c r="C103" s="2862"/>
      <c r="D103" s="2862"/>
      <c r="E103" s="2862"/>
      <c r="F103" s="2862"/>
      <c r="G103" s="2863"/>
      <c r="H103" s="2862"/>
      <c r="I103" s="2863"/>
      <c r="J103" s="2862"/>
      <c r="K103" s="2862"/>
      <c r="L103" s="2863"/>
      <c r="M103" s="2862"/>
      <c r="N103" s="2862"/>
      <c r="O103" s="2863"/>
      <c r="P103" s="2862"/>
      <c r="Q103" s="2862"/>
      <c r="R103" s="2864"/>
    </row>
    <row r="104" s="1825" customFormat="1" spans="2:18">
      <c r="B104" s="2862"/>
      <c r="C104" s="2862"/>
      <c r="D104" s="2862"/>
      <c r="E104" s="2862"/>
      <c r="F104" s="2862"/>
      <c r="G104" s="2863"/>
      <c r="H104" s="2862"/>
      <c r="I104" s="2863"/>
      <c r="J104" s="2862"/>
      <c r="K104" s="2862"/>
      <c r="L104" s="2863"/>
      <c r="M104" s="2862"/>
      <c r="N104" s="2862"/>
      <c r="O104" s="2863"/>
      <c r="P104" s="2862"/>
      <c r="Q104" s="2862"/>
      <c r="R104" s="2864"/>
    </row>
    <row r="105" s="1825" customFormat="1" spans="2:18">
      <c r="B105" s="2862"/>
      <c r="C105" s="2862"/>
      <c r="D105" s="2862"/>
      <c r="E105" s="2862"/>
      <c r="F105" s="2862"/>
      <c r="G105" s="2863"/>
      <c r="H105" s="2862"/>
      <c r="I105" s="2863"/>
      <c r="J105" s="2862"/>
      <c r="K105" s="2862"/>
      <c r="L105" s="2863"/>
      <c r="M105" s="2862"/>
      <c r="N105" s="2862"/>
      <c r="O105" s="2863"/>
      <c r="P105" s="2862"/>
      <c r="Q105" s="2862"/>
      <c r="R105" s="2864"/>
    </row>
    <row r="106" s="1825" customFormat="1" spans="2:18">
      <c r="B106" s="2862"/>
      <c r="C106" s="2862"/>
      <c r="D106" s="2862"/>
      <c r="E106" s="2862"/>
      <c r="F106" s="2862"/>
      <c r="G106" s="2863"/>
      <c r="H106" s="2862"/>
      <c r="I106" s="2863"/>
      <c r="J106" s="2862"/>
      <c r="K106" s="2862"/>
      <c r="L106" s="2863"/>
      <c r="M106" s="2862"/>
      <c r="N106" s="2862"/>
      <c r="O106" s="2863"/>
      <c r="P106" s="2862"/>
      <c r="Q106" s="2862"/>
      <c r="R106" s="2864"/>
    </row>
    <row r="107" s="1825" customFormat="1" spans="2:18">
      <c r="B107" s="2862"/>
      <c r="C107" s="2862"/>
      <c r="D107" s="2862"/>
      <c r="E107" s="2862"/>
      <c r="F107" s="2862"/>
      <c r="G107" s="2863"/>
      <c r="H107" s="2862"/>
      <c r="I107" s="2863"/>
      <c r="J107" s="2862"/>
      <c r="K107" s="2862"/>
      <c r="L107" s="2863"/>
      <c r="M107" s="2862"/>
      <c r="N107" s="2862"/>
      <c r="O107" s="2863"/>
      <c r="P107" s="2862"/>
      <c r="Q107" s="2862"/>
      <c r="R107" s="2864"/>
    </row>
    <row r="108" s="1825" customFormat="1" spans="2:18">
      <c r="B108" s="2862"/>
      <c r="C108" s="2862"/>
      <c r="D108" s="2862"/>
      <c r="E108" s="2862"/>
      <c r="F108" s="2862"/>
      <c r="G108" s="2863"/>
      <c r="H108" s="2862"/>
      <c r="I108" s="2863"/>
      <c r="J108" s="2862"/>
      <c r="K108" s="2862"/>
      <c r="L108" s="2863"/>
      <c r="M108" s="2862"/>
      <c r="N108" s="2862"/>
      <c r="O108" s="2863"/>
      <c r="P108" s="2862"/>
      <c r="Q108" s="2862"/>
      <c r="R108" s="2864"/>
    </row>
    <row r="109" s="1825" customFormat="1" spans="2:18">
      <c r="B109" s="2862"/>
      <c r="C109" s="2862"/>
      <c r="D109" s="2862"/>
      <c r="E109" s="2862"/>
      <c r="F109" s="2862"/>
      <c r="G109" s="2863"/>
      <c r="H109" s="2862"/>
      <c r="I109" s="2863"/>
      <c r="J109" s="2862"/>
      <c r="K109" s="2862"/>
      <c r="L109" s="2863"/>
      <c r="M109" s="2862"/>
      <c r="N109" s="2862"/>
      <c r="O109" s="2863"/>
      <c r="P109" s="2862"/>
      <c r="Q109" s="2862"/>
      <c r="R109" s="2864"/>
    </row>
    <row r="110" s="1825" customFormat="1" spans="2:18">
      <c r="B110" s="2862"/>
      <c r="C110" s="2862"/>
      <c r="D110" s="2862"/>
      <c r="E110" s="2862"/>
      <c r="F110" s="2862"/>
      <c r="G110" s="2863"/>
      <c r="H110" s="2862"/>
      <c r="I110" s="2863"/>
      <c r="J110" s="2862"/>
      <c r="K110" s="2862"/>
      <c r="L110" s="2863"/>
      <c r="M110" s="2862"/>
      <c r="N110" s="2862"/>
      <c r="O110" s="2863"/>
      <c r="P110" s="2862"/>
      <c r="Q110" s="2862"/>
      <c r="R110" s="2864"/>
    </row>
    <row r="111" s="1825" customFormat="1" spans="2:18">
      <c r="B111" s="2862"/>
      <c r="C111" s="2862"/>
      <c r="D111" s="2862"/>
      <c r="E111" s="2862"/>
      <c r="F111" s="2862"/>
      <c r="G111" s="2863"/>
      <c r="H111" s="2862"/>
      <c r="I111" s="2863"/>
      <c r="J111" s="2862"/>
      <c r="K111" s="2862"/>
      <c r="L111" s="2863"/>
      <c r="M111" s="2862"/>
      <c r="N111" s="2862"/>
      <c r="O111" s="2863"/>
      <c r="P111" s="2862"/>
      <c r="Q111" s="2862"/>
      <c r="R111" s="2864"/>
    </row>
    <row r="112" s="1825" customFormat="1" spans="2:18">
      <c r="B112" s="2862"/>
      <c r="C112" s="2862"/>
      <c r="D112" s="2862"/>
      <c r="E112" s="2862"/>
      <c r="F112" s="2862"/>
      <c r="G112" s="2863"/>
      <c r="H112" s="2862"/>
      <c r="I112" s="2863"/>
      <c r="J112" s="2862"/>
      <c r="K112" s="2862"/>
      <c r="L112" s="2863"/>
      <c r="M112" s="2862"/>
      <c r="N112" s="2862"/>
      <c r="O112" s="2863"/>
      <c r="P112" s="2862"/>
      <c r="Q112" s="2862"/>
      <c r="R112" s="2864"/>
    </row>
    <row r="113" s="1825" customFormat="1" spans="2:18">
      <c r="B113" s="2862"/>
      <c r="C113" s="2862"/>
      <c r="D113" s="2862"/>
      <c r="E113" s="2862"/>
      <c r="F113" s="2862"/>
      <c r="G113" s="2863"/>
      <c r="H113" s="2862"/>
      <c r="I113" s="2863"/>
      <c r="J113" s="2862"/>
      <c r="K113" s="2862"/>
      <c r="L113" s="2863"/>
      <c r="M113" s="2862"/>
      <c r="N113" s="2862"/>
      <c r="O113" s="2863"/>
      <c r="P113" s="2862"/>
      <c r="Q113" s="2862"/>
      <c r="R113" s="2864"/>
    </row>
    <row r="114" s="1825" customFormat="1" spans="2:18">
      <c r="B114" s="2862"/>
      <c r="C114" s="2862"/>
      <c r="D114" s="2862"/>
      <c r="E114" s="2862"/>
      <c r="F114" s="2862"/>
      <c r="G114" s="2863"/>
      <c r="H114" s="2862"/>
      <c r="I114" s="2863"/>
      <c r="J114" s="2862"/>
      <c r="K114" s="2862"/>
      <c r="L114" s="2863"/>
      <c r="M114" s="2862"/>
      <c r="N114" s="2862"/>
      <c r="O114" s="2863"/>
      <c r="P114" s="2862"/>
      <c r="Q114" s="2862"/>
      <c r="R114" s="2864"/>
    </row>
    <row r="115" s="1825" customFormat="1" spans="2:18">
      <c r="B115" s="2862"/>
      <c r="C115" s="2862"/>
      <c r="D115" s="2862"/>
      <c r="E115" s="2862"/>
      <c r="F115" s="2862"/>
      <c r="G115" s="2863"/>
      <c r="H115" s="2862"/>
      <c r="I115" s="2863"/>
      <c r="J115" s="2862"/>
      <c r="K115" s="2862"/>
      <c r="L115" s="2863"/>
      <c r="M115" s="2862"/>
      <c r="N115" s="2862"/>
      <c r="O115" s="2863"/>
      <c r="P115" s="2862"/>
      <c r="Q115" s="2862"/>
      <c r="R115" s="2864"/>
    </row>
    <row r="116" s="1825" customFormat="1" spans="2:18">
      <c r="B116" s="2862"/>
      <c r="C116" s="2862"/>
      <c r="D116" s="2862"/>
      <c r="E116" s="2862"/>
      <c r="F116" s="2862"/>
      <c r="G116" s="2863"/>
      <c r="H116" s="2862"/>
      <c r="I116" s="2863"/>
      <c r="J116" s="2862"/>
      <c r="K116" s="2862"/>
      <c r="L116" s="2863"/>
      <c r="M116" s="2862"/>
      <c r="N116" s="2862"/>
      <c r="O116" s="2863"/>
      <c r="P116" s="2862"/>
      <c r="Q116" s="2862"/>
      <c r="R116" s="2864"/>
    </row>
    <row r="117" s="1825" customFormat="1" spans="2:18">
      <c r="B117" s="2862"/>
      <c r="C117" s="2862"/>
      <c r="D117" s="2862"/>
      <c r="E117" s="2862"/>
      <c r="F117" s="2862"/>
      <c r="G117" s="2863"/>
      <c r="H117" s="2862"/>
      <c r="I117" s="2863"/>
      <c r="J117" s="2862"/>
      <c r="K117" s="2862"/>
      <c r="L117" s="2863"/>
      <c r="M117" s="2862"/>
      <c r="N117" s="2862"/>
      <c r="O117" s="2863"/>
      <c r="P117" s="2862"/>
      <c r="Q117" s="2862"/>
      <c r="R117" s="2864"/>
    </row>
    <row r="118" s="1825" customFormat="1" spans="2:18">
      <c r="B118" s="2862"/>
      <c r="C118" s="2862"/>
      <c r="D118" s="2862"/>
      <c r="E118" s="2862"/>
      <c r="F118" s="2862"/>
      <c r="G118" s="2863"/>
      <c r="H118" s="2862"/>
      <c r="I118" s="2863"/>
      <c r="J118" s="2862"/>
      <c r="K118" s="2862"/>
      <c r="L118" s="2863"/>
      <c r="M118" s="2862"/>
      <c r="N118" s="2862"/>
      <c r="O118" s="2863"/>
      <c r="P118" s="2862"/>
      <c r="Q118" s="2862"/>
      <c r="R118" s="2864"/>
    </row>
    <row r="119" s="1825" customFormat="1" spans="2:18">
      <c r="B119" s="2862"/>
      <c r="C119" s="2862"/>
      <c r="D119" s="2862"/>
      <c r="E119" s="2862"/>
      <c r="F119" s="2862"/>
      <c r="G119" s="2863"/>
      <c r="H119" s="2862"/>
      <c r="I119" s="2863"/>
      <c r="J119" s="2862"/>
      <c r="K119" s="2862"/>
      <c r="L119" s="2863"/>
      <c r="M119" s="2862"/>
      <c r="N119" s="2862"/>
      <c r="O119" s="2863"/>
      <c r="P119" s="2862"/>
      <c r="Q119" s="2862"/>
      <c r="R119" s="2864"/>
    </row>
    <row r="120" s="1825" customFormat="1" spans="2:18">
      <c r="B120" s="2862"/>
      <c r="C120" s="2862"/>
      <c r="D120" s="2862"/>
      <c r="E120" s="2862"/>
      <c r="F120" s="2862"/>
      <c r="G120" s="2863"/>
      <c r="H120" s="2862"/>
      <c r="I120" s="2863"/>
      <c r="J120" s="2862"/>
      <c r="K120" s="2862"/>
      <c r="L120" s="2863"/>
      <c r="M120" s="2862"/>
      <c r="N120" s="2862"/>
      <c r="O120" s="2863"/>
      <c r="P120" s="2862"/>
      <c r="Q120" s="2862"/>
      <c r="R120" s="2864"/>
    </row>
    <row r="121" s="1825" customFormat="1" spans="2:18">
      <c r="B121" s="2862"/>
      <c r="C121" s="2862"/>
      <c r="D121" s="2862"/>
      <c r="E121" s="2862"/>
      <c r="F121" s="2862"/>
      <c r="G121" s="2863"/>
      <c r="H121" s="2862"/>
      <c r="I121" s="2863"/>
      <c r="J121" s="2862"/>
      <c r="K121" s="2862"/>
      <c r="L121" s="2863"/>
      <c r="M121" s="2862"/>
      <c r="N121" s="2862"/>
      <c r="O121" s="2863"/>
      <c r="P121" s="2862"/>
      <c r="Q121" s="2862"/>
      <c r="R121" s="2864"/>
    </row>
    <row r="122" s="1825" customFormat="1" spans="2:18">
      <c r="B122" s="2862"/>
      <c r="C122" s="2862"/>
      <c r="D122" s="2862"/>
      <c r="E122" s="2862"/>
      <c r="F122" s="2862"/>
      <c r="G122" s="2863"/>
      <c r="H122" s="2862"/>
      <c r="I122" s="2863"/>
      <c r="J122" s="2862"/>
      <c r="K122" s="2862"/>
      <c r="L122" s="2863"/>
      <c r="M122" s="2862"/>
      <c r="N122" s="2862"/>
      <c r="O122" s="2863"/>
      <c r="P122" s="2862"/>
      <c r="Q122" s="2862"/>
      <c r="R122" s="2864"/>
    </row>
    <row r="123" s="1825" customFormat="1" spans="2:18">
      <c r="B123" s="2862"/>
      <c r="C123" s="2862"/>
      <c r="D123" s="2862"/>
      <c r="E123" s="2862"/>
      <c r="F123" s="2862"/>
      <c r="G123" s="2863"/>
      <c r="H123" s="2862"/>
      <c r="I123" s="2863"/>
      <c r="J123" s="2862"/>
      <c r="K123" s="2862"/>
      <c r="L123" s="2863"/>
      <c r="M123" s="2862"/>
      <c r="N123" s="2862"/>
      <c r="O123" s="2863"/>
      <c r="P123" s="2862"/>
      <c r="Q123" s="2862"/>
      <c r="R123" s="2864"/>
    </row>
    <row r="124" s="1825" customFormat="1" spans="2:18">
      <c r="B124" s="2862"/>
      <c r="C124" s="2862"/>
      <c r="D124" s="2862"/>
      <c r="E124" s="2862"/>
      <c r="F124" s="2862"/>
      <c r="G124" s="2863"/>
      <c r="H124" s="2862"/>
      <c r="I124" s="2863"/>
      <c r="J124" s="2862"/>
      <c r="K124" s="2862"/>
      <c r="L124" s="2863"/>
      <c r="M124" s="2862"/>
      <c r="N124" s="2862"/>
      <c r="O124" s="2863"/>
      <c r="P124" s="2862"/>
      <c r="Q124" s="2862"/>
      <c r="R124" s="2864"/>
    </row>
    <row r="125" s="1825" customFormat="1" spans="2:18">
      <c r="B125" s="2862"/>
      <c r="C125" s="2862"/>
      <c r="D125" s="2862"/>
      <c r="E125" s="2862"/>
      <c r="F125" s="2862"/>
      <c r="G125" s="2863"/>
      <c r="H125" s="2862"/>
      <c r="I125" s="2863"/>
      <c r="J125" s="2862"/>
      <c r="K125" s="2862"/>
      <c r="L125" s="2863"/>
      <c r="M125" s="2862"/>
      <c r="N125" s="2862"/>
      <c r="O125" s="2863"/>
      <c r="P125" s="2862"/>
      <c r="Q125" s="2862"/>
      <c r="R125" s="2864"/>
    </row>
    <row r="126" s="1825" customFormat="1" spans="2:18">
      <c r="B126" s="2862"/>
      <c r="C126" s="2862"/>
      <c r="D126" s="2862"/>
      <c r="E126" s="2862"/>
      <c r="F126" s="2862"/>
      <c r="G126" s="2863"/>
      <c r="H126" s="2862"/>
      <c r="I126" s="2863"/>
      <c r="J126" s="2862"/>
      <c r="K126" s="2862"/>
      <c r="L126" s="2863"/>
      <c r="M126" s="2862"/>
      <c r="N126" s="2862"/>
      <c r="O126" s="2863"/>
      <c r="P126" s="2862"/>
      <c r="Q126" s="2862"/>
      <c r="R126" s="2864"/>
    </row>
    <row r="127" s="1825" customFormat="1" spans="2:18">
      <c r="B127" s="2862"/>
      <c r="C127" s="2862"/>
      <c r="D127" s="2862"/>
      <c r="E127" s="2862"/>
      <c r="F127" s="2862"/>
      <c r="G127" s="2863"/>
      <c r="H127" s="2862"/>
      <c r="I127" s="2863"/>
      <c r="J127" s="2862"/>
      <c r="K127" s="2862"/>
      <c r="L127" s="2863"/>
      <c r="M127" s="2862"/>
      <c r="N127" s="2862"/>
      <c r="O127" s="2863"/>
      <c r="P127" s="2862"/>
      <c r="Q127" s="2862"/>
      <c r="R127" s="2864"/>
    </row>
    <row r="128" s="1825" customFormat="1" spans="2:18">
      <c r="B128" s="2862"/>
      <c r="C128" s="2862"/>
      <c r="D128" s="2862"/>
      <c r="E128" s="2862"/>
      <c r="F128" s="2862"/>
      <c r="G128" s="2863"/>
      <c r="H128" s="2862"/>
      <c r="I128" s="2863"/>
      <c r="J128" s="2862"/>
      <c r="K128" s="2862"/>
      <c r="L128" s="2863"/>
      <c r="M128" s="2862"/>
      <c r="N128" s="2862"/>
      <c r="O128" s="2863"/>
      <c r="P128" s="2862"/>
      <c r="Q128" s="2862"/>
      <c r="R128" s="2864"/>
    </row>
    <row r="129" s="1825" customFormat="1" spans="2:18">
      <c r="B129" s="2862"/>
      <c r="C129" s="2862"/>
      <c r="D129" s="2862"/>
      <c r="E129" s="2862"/>
      <c r="F129" s="2862"/>
      <c r="G129" s="2863"/>
      <c r="H129" s="2862"/>
      <c r="I129" s="2863"/>
      <c r="J129" s="2862"/>
      <c r="K129" s="2862"/>
      <c r="L129" s="2863"/>
      <c r="M129" s="2862"/>
      <c r="N129" s="2862"/>
      <c r="O129" s="2863"/>
      <c r="P129" s="2862"/>
      <c r="Q129" s="2862"/>
      <c r="R129" s="2864"/>
    </row>
    <row r="130" s="1825" customFormat="1" spans="2:18">
      <c r="B130" s="2862"/>
      <c r="C130" s="2862"/>
      <c r="D130" s="2862"/>
      <c r="E130" s="2862"/>
      <c r="F130" s="2862"/>
      <c r="G130" s="2863"/>
      <c r="H130" s="2862"/>
      <c r="I130" s="2863"/>
      <c r="J130" s="2862"/>
      <c r="K130" s="2862"/>
      <c r="L130" s="2863"/>
      <c r="M130" s="2862"/>
      <c r="N130" s="2862"/>
      <c r="O130" s="2863"/>
      <c r="P130" s="2862"/>
      <c r="Q130" s="2862"/>
      <c r="R130" s="2864"/>
    </row>
    <row r="131" s="1825" customFormat="1" spans="2:18">
      <c r="B131" s="2862"/>
      <c r="C131" s="2862"/>
      <c r="D131" s="2862"/>
      <c r="E131" s="2862"/>
      <c r="F131" s="2862"/>
      <c r="G131" s="2863"/>
      <c r="H131" s="2862"/>
      <c r="I131" s="2863"/>
      <c r="J131" s="2862"/>
      <c r="K131" s="2862"/>
      <c r="L131" s="2863"/>
      <c r="M131" s="2862"/>
      <c r="N131" s="2862"/>
      <c r="O131" s="2863"/>
      <c r="P131" s="2862"/>
      <c r="Q131" s="2862"/>
      <c r="R131" s="2864"/>
    </row>
    <row r="132" s="1825" customFormat="1" spans="2:18">
      <c r="B132" s="2862"/>
      <c r="C132" s="2862"/>
      <c r="D132" s="2862"/>
      <c r="E132" s="2862"/>
      <c r="F132" s="2862"/>
      <c r="G132" s="2863"/>
      <c r="H132" s="2862"/>
      <c r="I132" s="2863"/>
      <c r="J132" s="2862"/>
      <c r="K132" s="2862"/>
      <c r="L132" s="2863"/>
      <c r="M132" s="2862"/>
      <c r="N132" s="2862"/>
      <c r="O132" s="2863"/>
      <c r="P132" s="2862"/>
      <c r="Q132" s="2862"/>
      <c r="R132" s="2864"/>
    </row>
    <row r="133" s="1825" customFormat="1" spans="2:18">
      <c r="B133" s="2862"/>
      <c r="C133" s="2862"/>
      <c r="D133" s="2862"/>
      <c r="E133" s="2862"/>
      <c r="F133" s="2862"/>
      <c r="G133" s="2863"/>
      <c r="H133" s="2862"/>
      <c r="I133" s="2863"/>
      <c r="J133" s="2862"/>
      <c r="K133" s="2862"/>
      <c r="L133" s="2863"/>
      <c r="M133" s="2862"/>
      <c r="N133" s="2862"/>
      <c r="O133" s="2863"/>
      <c r="P133" s="2862"/>
      <c r="Q133" s="2862"/>
      <c r="R133" s="2864"/>
    </row>
    <row r="134" s="1825" customFormat="1" spans="2:18">
      <c r="B134" s="2862"/>
      <c r="C134" s="2862"/>
      <c r="D134" s="2862"/>
      <c r="E134" s="2862"/>
      <c r="F134" s="2862"/>
      <c r="G134" s="2863"/>
      <c r="H134" s="2862"/>
      <c r="I134" s="2863"/>
      <c r="J134" s="2862"/>
      <c r="K134" s="2862"/>
      <c r="L134" s="2863"/>
      <c r="M134" s="2862"/>
      <c r="N134" s="2862"/>
      <c r="O134" s="2863"/>
      <c r="P134" s="2862"/>
      <c r="Q134" s="2862"/>
      <c r="R134" s="2864"/>
    </row>
    <row r="135" s="1825" customFormat="1" spans="2:18">
      <c r="B135" s="2862"/>
      <c r="C135" s="2862"/>
      <c r="D135" s="2862"/>
      <c r="E135" s="2862"/>
      <c r="F135" s="2862"/>
      <c r="G135" s="2863"/>
      <c r="H135" s="2862"/>
      <c r="I135" s="2863"/>
      <c r="J135" s="2862"/>
      <c r="K135" s="2862"/>
      <c r="L135" s="2863"/>
      <c r="M135" s="2862"/>
      <c r="N135" s="2862"/>
      <c r="O135" s="2863"/>
      <c r="P135" s="2862"/>
      <c r="Q135" s="2862"/>
      <c r="R135" s="2864"/>
    </row>
    <row r="136" s="1825" customFormat="1" spans="2:18">
      <c r="B136" s="2862"/>
      <c r="C136" s="2862"/>
      <c r="D136" s="2862"/>
      <c r="E136" s="2862"/>
      <c r="F136" s="2862"/>
      <c r="G136" s="2863"/>
      <c r="H136" s="2862"/>
      <c r="I136" s="2863"/>
      <c r="J136" s="2862"/>
      <c r="K136" s="2862"/>
      <c r="L136" s="2863"/>
      <c r="M136" s="2862"/>
      <c r="N136" s="2862"/>
      <c r="O136" s="2863"/>
      <c r="P136" s="2862"/>
      <c r="Q136" s="2862"/>
      <c r="R136" s="2864"/>
    </row>
    <row r="137" s="1825" customFormat="1" spans="2:18">
      <c r="B137" s="2862"/>
      <c r="C137" s="2862"/>
      <c r="D137" s="2862"/>
      <c r="E137" s="2862"/>
      <c r="F137" s="2862"/>
      <c r="G137" s="2863"/>
      <c r="H137" s="2862"/>
      <c r="I137" s="2863"/>
      <c r="J137" s="2862"/>
      <c r="K137" s="2862"/>
      <c r="L137" s="2863"/>
      <c r="M137" s="2862"/>
      <c r="N137" s="2862"/>
      <c r="O137" s="2863"/>
      <c r="P137" s="2862"/>
      <c r="Q137" s="2862"/>
      <c r="R137" s="2864"/>
    </row>
    <row r="138" s="1825" customFormat="1" spans="2:18">
      <c r="B138" s="2862"/>
      <c r="C138" s="2862"/>
      <c r="D138" s="2862"/>
      <c r="E138" s="2862"/>
      <c r="F138" s="2862"/>
      <c r="G138" s="2863"/>
      <c r="H138" s="2862"/>
      <c r="I138" s="2863"/>
      <c r="J138" s="2862"/>
      <c r="K138" s="2862"/>
      <c r="L138" s="2863"/>
      <c r="M138" s="2862"/>
      <c r="N138" s="2862"/>
      <c r="O138" s="2863"/>
      <c r="P138" s="2862"/>
      <c r="Q138" s="2862"/>
      <c r="R138" s="2864"/>
    </row>
    <row r="139" s="1825" customFormat="1" spans="2:18">
      <c r="B139" s="2862"/>
      <c r="C139" s="2862"/>
      <c r="D139" s="2862"/>
      <c r="E139" s="2862"/>
      <c r="F139" s="2862"/>
      <c r="G139" s="2863"/>
      <c r="H139" s="2862"/>
      <c r="I139" s="2863"/>
      <c r="J139" s="2862"/>
      <c r="K139" s="2862"/>
      <c r="L139" s="2863"/>
      <c r="M139" s="2862"/>
      <c r="N139" s="2862"/>
      <c r="O139" s="2863"/>
      <c r="P139" s="2862"/>
      <c r="Q139" s="2862"/>
      <c r="R139" s="2864"/>
    </row>
    <row r="140" s="1825" customFormat="1" spans="2:18">
      <c r="B140" s="2862"/>
      <c r="C140" s="2862"/>
      <c r="D140" s="2862"/>
      <c r="E140" s="2862"/>
      <c r="F140" s="2862"/>
      <c r="G140" s="2863"/>
      <c r="H140" s="2862"/>
      <c r="I140" s="2863"/>
      <c r="J140" s="2862"/>
      <c r="K140" s="2862"/>
      <c r="L140" s="2863"/>
      <c r="M140" s="2862"/>
      <c r="N140" s="2862"/>
      <c r="O140" s="2863"/>
      <c r="P140" s="2862"/>
      <c r="Q140" s="2862"/>
      <c r="R140" s="2864"/>
    </row>
    <row r="141" s="1825" customFormat="1" spans="2:18">
      <c r="B141" s="2862"/>
      <c r="C141" s="2862"/>
      <c r="D141" s="2862"/>
      <c r="E141" s="2862"/>
      <c r="F141" s="2862"/>
      <c r="G141" s="2863"/>
      <c r="H141" s="2862"/>
      <c r="I141" s="2863"/>
      <c r="J141" s="2862"/>
      <c r="K141" s="2862"/>
      <c r="L141" s="2863"/>
      <c r="M141" s="2862"/>
      <c r="N141" s="2862"/>
      <c r="O141" s="2863"/>
      <c r="P141" s="2862"/>
      <c r="Q141" s="2862"/>
      <c r="R141" s="2864"/>
    </row>
    <row r="142" s="1825" customFormat="1" spans="2:18">
      <c r="B142" s="2862"/>
      <c r="C142" s="2862"/>
      <c r="D142" s="2862"/>
      <c r="E142" s="2862"/>
      <c r="F142" s="2862"/>
      <c r="G142" s="2863"/>
      <c r="H142" s="2862"/>
      <c r="I142" s="2863"/>
      <c r="J142" s="2862"/>
      <c r="K142" s="2862"/>
      <c r="L142" s="2863"/>
      <c r="M142" s="2862"/>
      <c r="N142" s="2862"/>
      <c r="O142" s="2863"/>
      <c r="P142" s="2862"/>
      <c r="Q142" s="2862"/>
      <c r="R142" s="2864"/>
    </row>
    <row r="143" s="1825" customFormat="1" spans="2:18">
      <c r="B143" s="2862"/>
      <c r="C143" s="2862"/>
      <c r="D143" s="2862"/>
      <c r="E143" s="2862"/>
      <c r="F143" s="2862"/>
      <c r="G143" s="2863"/>
      <c r="H143" s="2862"/>
      <c r="I143" s="2863"/>
      <c r="J143" s="2862"/>
      <c r="K143" s="2862"/>
      <c r="L143" s="2863"/>
      <c r="M143" s="2862"/>
      <c r="N143" s="2862"/>
      <c r="O143" s="2863"/>
      <c r="P143" s="2862"/>
      <c r="Q143" s="2862"/>
      <c r="R143" s="2864"/>
    </row>
    <row r="144" s="1825" customFormat="1" spans="2:18">
      <c r="B144" s="2862"/>
      <c r="C144" s="2862"/>
      <c r="D144" s="2862"/>
      <c r="E144" s="2862"/>
      <c r="F144" s="2862"/>
      <c r="G144" s="2863"/>
      <c r="H144" s="2862"/>
      <c r="I144" s="2863"/>
      <c r="J144" s="2862"/>
      <c r="K144" s="2862"/>
      <c r="L144" s="2863"/>
      <c r="M144" s="2862"/>
      <c r="N144" s="2862"/>
      <c r="O144" s="2863"/>
      <c r="P144" s="2862"/>
      <c r="Q144" s="2862"/>
      <c r="R144" s="2864"/>
    </row>
    <row r="145" s="1825" customFormat="1" spans="2:18">
      <c r="B145" s="2862"/>
      <c r="C145" s="2862"/>
      <c r="D145" s="2862"/>
      <c r="E145" s="2862"/>
      <c r="F145" s="2862"/>
      <c r="G145" s="2863"/>
      <c r="H145" s="2862"/>
      <c r="I145" s="2863"/>
      <c r="J145" s="2862"/>
      <c r="K145" s="2862"/>
      <c r="L145" s="2863"/>
      <c r="M145" s="2862"/>
      <c r="N145" s="2862"/>
      <c r="O145" s="2863"/>
      <c r="P145" s="2862"/>
      <c r="Q145" s="2862"/>
      <c r="R145" s="2864"/>
    </row>
    <row r="146" s="1825" customFormat="1" spans="2:18">
      <c r="B146" s="2862"/>
      <c r="C146" s="2862"/>
      <c r="D146" s="2862"/>
      <c r="E146" s="2862"/>
      <c r="F146" s="2862"/>
      <c r="G146" s="2863"/>
      <c r="H146" s="2862"/>
      <c r="I146" s="2863"/>
      <c r="J146" s="2862"/>
      <c r="K146" s="2862"/>
      <c r="L146" s="2863"/>
      <c r="M146" s="2862"/>
      <c r="N146" s="2862"/>
      <c r="O146" s="2863"/>
      <c r="P146" s="2862"/>
      <c r="Q146" s="2862"/>
      <c r="R146" s="2864"/>
    </row>
    <row r="147" s="1825" customFormat="1" spans="2:18">
      <c r="B147" s="2862"/>
      <c r="C147" s="2862"/>
      <c r="D147" s="2862"/>
      <c r="E147" s="2862"/>
      <c r="F147" s="2862"/>
      <c r="G147" s="2863"/>
      <c r="H147" s="2862"/>
      <c r="I147" s="2863"/>
      <c r="J147" s="2862"/>
      <c r="K147" s="2862"/>
      <c r="L147" s="2863"/>
      <c r="M147" s="2862"/>
      <c r="N147" s="2862"/>
      <c r="O147" s="2863"/>
      <c r="P147" s="2862"/>
      <c r="Q147" s="2862"/>
      <c r="R147" s="2864"/>
    </row>
    <row r="148" s="1825" customFormat="1" spans="2:18">
      <c r="B148" s="2862"/>
      <c r="C148" s="2862"/>
      <c r="D148" s="2862"/>
      <c r="E148" s="2862"/>
      <c r="F148" s="2862"/>
      <c r="G148" s="2863"/>
      <c r="H148" s="2862"/>
      <c r="I148" s="2863"/>
      <c r="J148" s="2862"/>
      <c r="K148" s="2862"/>
      <c r="L148" s="2863"/>
      <c r="M148" s="2862"/>
      <c r="N148" s="2862"/>
      <c r="O148" s="2863"/>
      <c r="P148" s="2862"/>
      <c r="Q148" s="2862"/>
      <c r="R148" s="2864"/>
    </row>
    <row r="149" s="1825" customFormat="1" spans="2:18">
      <c r="B149" s="2862"/>
      <c r="C149" s="2862"/>
      <c r="D149" s="2862"/>
      <c r="E149" s="2862"/>
      <c r="F149" s="2862"/>
      <c r="G149" s="2863"/>
      <c r="H149" s="2862"/>
      <c r="I149" s="2863"/>
      <c r="J149" s="2862"/>
      <c r="K149" s="2862"/>
      <c r="L149" s="2863"/>
      <c r="M149" s="2862"/>
      <c r="N149" s="2862"/>
      <c r="O149" s="2863"/>
      <c r="P149" s="2862"/>
      <c r="Q149" s="2862"/>
      <c r="R149" s="2864"/>
    </row>
    <row r="150" s="1825" customFormat="1" spans="2:18">
      <c r="B150" s="2862"/>
      <c r="C150" s="2862"/>
      <c r="D150" s="2862"/>
      <c r="E150" s="2862"/>
      <c r="F150" s="2862"/>
      <c r="G150" s="2863"/>
      <c r="H150" s="2862"/>
      <c r="I150" s="2863"/>
      <c r="J150" s="2862"/>
      <c r="K150" s="2862"/>
      <c r="L150" s="2863"/>
      <c r="M150" s="2862"/>
      <c r="N150" s="2862"/>
      <c r="O150" s="2863"/>
      <c r="P150" s="2862"/>
      <c r="Q150" s="2862"/>
      <c r="R150" s="2864"/>
    </row>
    <row r="151" s="1825" customFormat="1" spans="2:18">
      <c r="B151" s="2862"/>
      <c r="C151" s="2862"/>
      <c r="D151" s="2862"/>
      <c r="E151" s="2862"/>
      <c r="F151" s="2862"/>
      <c r="G151" s="2863"/>
      <c r="H151" s="2862"/>
      <c r="I151" s="2863"/>
      <c r="J151" s="2862"/>
      <c r="K151" s="2862"/>
      <c r="L151" s="2863"/>
      <c r="M151" s="2862"/>
      <c r="N151" s="2862"/>
      <c r="O151" s="2863"/>
      <c r="P151" s="2862"/>
      <c r="Q151" s="2862"/>
      <c r="R151" s="2864"/>
    </row>
    <row r="152" s="1825" customFormat="1" spans="2:18">
      <c r="B152" s="2862"/>
      <c r="C152" s="2862"/>
      <c r="D152" s="2862"/>
      <c r="E152" s="2862"/>
      <c r="F152" s="2862"/>
      <c r="G152" s="2863"/>
      <c r="H152" s="2862"/>
      <c r="I152" s="2863"/>
      <c r="J152" s="2862"/>
      <c r="K152" s="2862"/>
      <c r="L152" s="2863"/>
      <c r="M152" s="2862"/>
      <c r="N152" s="2862"/>
      <c r="O152" s="2863"/>
      <c r="P152" s="2862"/>
      <c r="Q152" s="2862"/>
      <c r="R152" s="2864"/>
    </row>
    <row r="153" s="1825" customFormat="1" spans="2:18">
      <c r="B153" s="2862"/>
      <c r="C153" s="2862"/>
      <c r="D153" s="2862"/>
      <c r="E153" s="2862"/>
      <c r="F153" s="2862"/>
      <c r="G153" s="2863"/>
      <c r="H153" s="2862"/>
      <c r="I153" s="2863"/>
      <c r="J153" s="2862"/>
      <c r="K153" s="2862"/>
      <c r="L153" s="2863"/>
      <c r="M153" s="2862"/>
      <c r="N153" s="2862"/>
      <c r="O153" s="2863"/>
      <c r="P153" s="2862"/>
      <c r="Q153" s="2862"/>
      <c r="R153" s="2864"/>
    </row>
    <row r="154" s="1825" customFormat="1" spans="2:18">
      <c r="B154" s="2862"/>
      <c r="C154" s="2862"/>
      <c r="D154" s="2862"/>
      <c r="E154" s="2862"/>
      <c r="F154" s="2862"/>
      <c r="G154" s="2863"/>
      <c r="H154" s="2862"/>
      <c r="I154" s="2863"/>
      <c r="J154" s="2862"/>
      <c r="K154" s="2862"/>
      <c r="L154" s="2863"/>
      <c r="M154" s="2862"/>
      <c r="N154" s="2862"/>
      <c r="O154" s="2863"/>
      <c r="P154" s="2862"/>
      <c r="Q154" s="2862"/>
      <c r="R154" s="2864"/>
    </row>
    <row r="155" s="1825" customFormat="1" spans="2:18">
      <c r="B155" s="2862"/>
      <c r="C155" s="2862"/>
      <c r="D155" s="2862"/>
      <c r="E155" s="2862"/>
      <c r="F155" s="2862"/>
      <c r="G155" s="2863"/>
      <c r="H155" s="2862"/>
      <c r="I155" s="2863"/>
      <c r="J155" s="2862"/>
      <c r="K155" s="2862"/>
      <c r="L155" s="2863"/>
      <c r="M155" s="2862"/>
      <c r="N155" s="2862"/>
      <c r="O155" s="2863"/>
      <c r="P155" s="2862"/>
      <c r="Q155" s="2862"/>
      <c r="R155" s="2864"/>
    </row>
    <row r="156" s="1825" customFormat="1" spans="2:18">
      <c r="B156" s="2862"/>
      <c r="C156" s="2862"/>
      <c r="D156" s="2862"/>
      <c r="E156" s="2862"/>
      <c r="F156" s="2862"/>
      <c r="G156" s="2863"/>
      <c r="H156" s="2862"/>
      <c r="I156" s="2863"/>
      <c r="J156" s="2862"/>
      <c r="K156" s="2862"/>
      <c r="L156" s="2863"/>
      <c r="M156" s="2862"/>
      <c r="N156" s="2862"/>
      <c r="O156" s="2863"/>
      <c r="P156" s="2862"/>
      <c r="Q156" s="2862"/>
      <c r="R156" s="2864"/>
    </row>
    <row r="157" s="1825" customFormat="1" spans="2:18">
      <c r="B157" s="2862"/>
      <c r="C157" s="2862"/>
      <c r="D157" s="2862"/>
      <c r="E157" s="2862"/>
      <c r="F157" s="2862"/>
      <c r="G157" s="2863"/>
      <c r="H157" s="2862"/>
      <c r="I157" s="2863"/>
      <c r="J157" s="2862"/>
      <c r="K157" s="2862"/>
      <c r="L157" s="2863"/>
      <c r="M157" s="2862"/>
      <c r="N157" s="2862"/>
      <c r="O157" s="2863"/>
      <c r="P157" s="2862"/>
      <c r="Q157" s="2862"/>
      <c r="R157" s="2864"/>
    </row>
    <row r="158" s="1825" customFormat="1" spans="2:18">
      <c r="B158" s="2862"/>
      <c r="C158" s="2862"/>
      <c r="D158" s="2862"/>
      <c r="E158" s="2862"/>
      <c r="F158" s="2862"/>
      <c r="G158" s="2863"/>
      <c r="H158" s="2862"/>
      <c r="I158" s="2863"/>
      <c r="J158" s="2862"/>
      <c r="K158" s="2862"/>
      <c r="L158" s="2863"/>
      <c r="M158" s="2862"/>
      <c r="N158" s="2862"/>
      <c r="O158" s="2863"/>
      <c r="P158" s="2862"/>
      <c r="Q158" s="2862"/>
      <c r="R158" s="2864"/>
    </row>
    <row r="159" s="1825" customFormat="1" spans="2:18">
      <c r="B159" s="2862"/>
      <c r="C159" s="2862"/>
      <c r="D159" s="2862"/>
      <c r="E159" s="2862"/>
      <c r="F159" s="2862"/>
      <c r="G159" s="2863"/>
      <c r="H159" s="2862"/>
      <c r="I159" s="2863"/>
      <c r="J159" s="2862"/>
      <c r="K159" s="2862"/>
      <c r="L159" s="2863"/>
      <c r="M159" s="2862"/>
      <c r="N159" s="2862"/>
      <c r="O159" s="2863"/>
      <c r="P159" s="2862"/>
      <c r="Q159" s="2862"/>
      <c r="R159" s="2864"/>
    </row>
    <row r="160" s="1825" customFormat="1" spans="2:18">
      <c r="B160" s="2862"/>
      <c r="C160" s="2862"/>
      <c r="D160" s="2862"/>
      <c r="E160" s="2862"/>
      <c r="F160" s="2862"/>
      <c r="G160" s="2863"/>
      <c r="H160" s="2862"/>
      <c r="I160" s="2863"/>
      <c r="J160" s="2862"/>
      <c r="K160" s="2862"/>
      <c r="L160" s="2863"/>
      <c r="M160" s="2862"/>
      <c r="N160" s="2862"/>
      <c r="O160" s="2863"/>
      <c r="P160" s="2862"/>
      <c r="Q160" s="2862"/>
      <c r="R160" s="2864"/>
    </row>
    <row r="161" s="1825" customFormat="1" spans="2:18">
      <c r="B161" s="2862"/>
      <c r="C161" s="2862"/>
      <c r="D161" s="2862"/>
      <c r="E161" s="2862"/>
      <c r="F161" s="2862"/>
      <c r="G161" s="2863"/>
      <c r="H161" s="2862"/>
      <c r="I161" s="2863"/>
      <c r="J161" s="2862"/>
      <c r="K161" s="2862"/>
      <c r="L161" s="2863"/>
      <c r="M161" s="2862"/>
      <c r="N161" s="2862"/>
      <c r="O161" s="2863"/>
      <c r="P161" s="2862"/>
      <c r="Q161" s="2862"/>
      <c r="R161" s="2864"/>
    </row>
    <row r="162" s="1825" customFormat="1" spans="2:18">
      <c r="B162" s="2862"/>
      <c r="C162" s="2862"/>
      <c r="D162" s="2862"/>
      <c r="E162" s="2862"/>
      <c r="F162" s="2862"/>
      <c r="G162" s="2863"/>
      <c r="H162" s="2862"/>
      <c r="I162" s="2863"/>
      <c r="J162" s="2862"/>
      <c r="K162" s="2862"/>
      <c r="L162" s="2863"/>
      <c r="M162" s="2862"/>
      <c r="N162" s="2862"/>
      <c r="O162" s="2863"/>
      <c r="P162" s="2862"/>
      <c r="Q162" s="2862"/>
      <c r="R162" s="2864"/>
    </row>
    <row r="163" s="1825" customFormat="1" spans="2:18">
      <c r="B163" s="2862"/>
      <c r="C163" s="2862"/>
      <c r="D163" s="2862"/>
      <c r="E163" s="2862"/>
      <c r="F163" s="2862"/>
      <c r="G163" s="2863"/>
      <c r="H163" s="2862"/>
      <c r="I163" s="2863"/>
      <c r="J163" s="2862"/>
      <c r="K163" s="2862"/>
      <c r="L163" s="2863"/>
      <c r="M163" s="2862"/>
      <c r="N163" s="2862"/>
      <c r="O163" s="2863"/>
      <c r="P163" s="2862"/>
      <c r="Q163" s="2862"/>
      <c r="R163" s="2864"/>
    </row>
    <row r="164" s="1825" customFormat="1" spans="2:18">
      <c r="B164" s="2862"/>
      <c r="C164" s="2862"/>
      <c r="D164" s="2862"/>
      <c r="E164" s="2862"/>
      <c r="F164" s="2862"/>
      <c r="G164" s="2863"/>
      <c r="H164" s="2862"/>
      <c r="I164" s="2863"/>
      <c r="J164" s="2862"/>
      <c r="K164" s="2862"/>
      <c r="L164" s="2863"/>
      <c r="M164" s="2862"/>
      <c r="N164" s="2862"/>
      <c r="O164" s="2863"/>
      <c r="P164" s="2862"/>
      <c r="Q164" s="2862"/>
      <c r="R164" s="2864"/>
    </row>
    <row r="165" s="1825" customFormat="1" spans="2:18">
      <c r="B165" s="2862"/>
      <c r="C165" s="2862"/>
      <c r="D165" s="2862"/>
      <c r="E165" s="2862"/>
      <c r="F165" s="2862"/>
      <c r="G165" s="2863"/>
      <c r="H165" s="2862"/>
      <c r="I165" s="2863"/>
      <c r="J165" s="2862"/>
      <c r="K165" s="2862"/>
      <c r="L165" s="2863"/>
      <c r="M165" s="2862"/>
      <c r="N165" s="2862"/>
      <c r="O165" s="2863"/>
      <c r="P165" s="2862"/>
      <c r="Q165" s="2862"/>
      <c r="R165" s="2864"/>
    </row>
    <row r="166" s="1825" customFormat="1" spans="2:18">
      <c r="B166" s="2862"/>
      <c r="C166" s="2862"/>
      <c r="D166" s="2862"/>
      <c r="E166" s="2862"/>
      <c r="F166" s="2862"/>
      <c r="G166" s="2863"/>
      <c r="H166" s="2862"/>
      <c r="I166" s="2863"/>
      <c r="J166" s="2862"/>
      <c r="K166" s="2862"/>
      <c r="L166" s="2863"/>
      <c r="M166" s="2862"/>
      <c r="N166" s="2862"/>
      <c r="O166" s="2863"/>
      <c r="P166" s="2862"/>
      <c r="Q166" s="2862"/>
      <c r="R166" s="2864"/>
    </row>
    <row r="167" s="1825" customFormat="1" spans="2:18">
      <c r="B167" s="2862"/>
      <c r="C167" s="2862"/>
      <c r="D167" s="2862"/>
      <c r="E167" s="2862"/>
      <c r="F167" s="2862"/>
      <c r="G167" s="2863"/>
      <c r="H167" s="2862"/>
      <c r="I167" s="2863"/>
      <c r="J167" s="2862"/>
      <c r="K167" s="2862"/>
      <c r="L167" s="2863"/>
      <c r="M167" s="2862"/>
      <c r="N167" s="2862"/>
      <c r="O167" s="2863"/>
      <c r="P167" s="2862"/>
      <c r="Q167" s="2862"/>
      <c r="R167" s="2864"/>
    </row>
    <row r="168" s="1825" customFormat="1" spans="2:18">
      <c r="B168" s="2862"/>
      <c r="C168" s="2862"/>
      <c r="D168" s="2862"/>
      <c r="E168" s="2862"/>
      <c r="F168" s="2862"/>
      <c r="G168" s="2863"/>
      <c r="H168" s="2862"/>
      <c r="I168" s="2863"/>
      <c r="J168" s="2862"/>
      <c r="K168" s="2862"/>
      <c r="L168" s="2863"/>
      <c r="M168" s="2862"/>
      <c r="N168" s="2862"/>
      <c r="O168" s="2863"/>
      <c r="P168" s="2862"/>
      <c r="Q168" s="2862"/>
      <c r="R168" s="2864"/>
    </row>
    <row r="169" s="1825" customFormat="1" spans="2:18">
      <c r="B169" s="2862"/>
      <c r="C169" s="2862"/>
      <c r="D169" s="2862"/>
      <c r="E169" s="2862"/>
      <c r="F169" s="2862"/>
      <c r="G169" s="2863"/>
      <c r="H169" s="2862"/>
      <c r="I169" s="2863"/>
      <c r="J169" s="2862"/>
      <c r="K169" s="2862"/>
      <c r="L169" s="2863"/>
      <c r="M169" s="2862"/>
      <c r="N169" s="2862"/>
      <c r="O169" s="2863"/>
      <c r="P169" s="2862"/>
      <c r="Q169" s="2862"/>
      <c r="R169" s="2864"/>
    </row>
    <row r="170" s="1825" customFormat="1" spans="2:18">
      <c r="B170" s="2862"/>
      <c r="C170" s="2862"/>
      <c r="D170" s="2862"/>
      <c r="E170" s="2862"/>
      <c r="F170" s="2862"/>
      <c r="G170" s="2863"/>
      <c r="H170" s="2862"/>
      <c r="I170" s="2863"/>
      <c r="J170" s="2862"/>
      <c r="K170" s="2862"/>
      <c r="L170" s="2863"/>
      <c r="M170" s="2862"/>
      <c r="N170" s="2862"/>
      <c r="O170" s="2863"/>
      <c r="P170" s="2862"/>
      <c r="Q170" s="2862"/>
      <c r="R170" s="2864"/>
    </row>
    <row r="171" s="1825" customFormat="1" spans="2:18">
      <c r="B171" s="2862"/>
      <c r="C171" s="2862"/>
      <c r="D171" s="2862"/>
      <c r="E171" s="2862"/>
      <c r="F171" s="2862"/>
      <c r="G171" s="2863"/>
      <c r="H171" s="2862"/>
      <c r="I171" s="2863"/>
      <c r="J171" s="2862"/>
      <c r="K171" s="2862"/>
      <c r="L171" s="2863"/>
      <c r="M171" s="2862"/>
      <c r="N171" s="2862"/>
      <c r="O171" s="2863"/>
      <c r="P171" s="2862"/>
      <c r="Q171" s="2862"/>
      <c r="R171" s="2864"/>
    </row>
    <row r="172" s="1825" customFormat="1" spans="2:18">
      <c r="B172" s="2862"/>
      <c r="C172" s="2862"/>
      <c r="D172" s="2862"/>
      <c r="E172" s="2862"/>
      <c r="F172" s="2862"/>
      <c r="G172" s="2863"/>
      <c r="H172" s="2862"/>
      <c r="I172" s="2863"/>
      <c r="J172" s="2862"/>
      <c r="K172" s="2862"/>
      <c r="L172" s="2863"/>
      <c r="M172" s="2862"/>
      <c r="N172" s="2862"/>
      <c r="O172" s="2863"/>
      <c r="P172" s="2862"/>
      <c r="Q172" s="2862"/>
      <c r="R172" s="2864"/>
    </row>
    <row r="173" s="1825" customFormat="1" spans="2:18">
      <c r="B173" s="2862"/>
      <c r="C173" s="2862"/>
      <c r="D173" s="2862"/>
      <c r="E173" s="2862"/>
      <c r="F173" s="2862"/>
      <c r="G173" s="2863"/>
      <c r="H173" s="2862"/>
      <c r="I173" s="2863"/>
      <c r="J173" s="2862"/>
      <c r="K173" s="2862"/>
      <c r="L173" s="2863"/>
      <c r="M173" s="2862"/>
      <c r="N173" s="2862"/>
      <c r="O173" s="2863"/>
      <c r="P173" s="2862"/>
      <c r="Q173" s="2862"/>
      <c r="R173" s="2864"/>
    </row>
    <row r="174" s="1825" customFormat="1" spans="2:18">
      <c r="B174" s="2862"/>
      <c r="C174" s="2862"/>
      <c r="D174" s="2862"/>
      <c r="E174" s="2862"/>
      <c r="F174" s="2862"/>
      <c r="G174" s="2863"/>
      <c r="H174" s="2862"/>
      <c r="I174" s="2863"/>
      <c r="J174" s="2862"/>
      <c r="K174" s="2862"/>
      <c r="L174" s="2863"/>
      <c r="M174" s="2862"/>
      <c r="N174" s="2862"/>
      <c r="O174" s="2863"/>
      <c r="P174" s="2862"/>
      <c r="Q174" s="2862"/>
      <c r="R174" s="2864"/>
    </row>
    <row r="175" s="1825" customFormat="1" spans="2:18">
      <c r="B175" s="2862"/>
      <c r="C175" s="2862"/>
      <c r="D175" s="2862"/>
      <c r="E175" s="2862"/>
      <c r="F175" s="2862"/>
      <c r="G175" s="2863"/>
      <c r="H175" s="2862"/>
      <c r="I175" s="2863"/>
      <c r="J175" s="2862"/>
      <c r="K175" s="2862"/>
      <c r="L175" s="2863"/>
      <c r="M175" s="2862"/>
      <c r="N175" s="2862"/>
      <c r="O175" s="2863"/>
      <c r="P175" s="2862"/>
      <c r="Q175" s="2862"/>
      <c r="R175" s="2864"/>
    </row>
    <row r="176" s="1825" customFormat="1" spans="2:18">
      <c r="B176" s="2862"/>
      <c r="C176" s="2862"/>
      <c r="D176" s="2862"/>
      <c r="E176" s="2862"/>
      <c r="F176" s="2862"/>
      <c r="G176" s="2863"/>
      <c r="H176" s="2862"/>
      <c r="I176" s="2863"/>
      <c r="J176" s="2862"/>
      <c r="K176" s="2862"/>
      <c r="L176" s="2863"/>
      <c r="M176" s="2862"/>
      <c r="N176" s="2862"/>
      <c r="O176" s="2863"/>
      <c r="P176" s="2862"/>
      <c r="Q176" s="2862"/>
      <c r="R176" s="2864"/>
    </row>
    <row r="177" s="1825" customFormat="1" spans="2:18">
      <c r="B177" s="2862"/>
      <c r="C177" s="2862"/>
      <c r="D177" s="2862"/>
      <c r="E177" s="2862"/>
      <c r="F177" s="2862"/>
      <c r="G177" s="2863"/>
      <c r="H177" s="2862"/>
      <c r="I177" s="2863"/>
      <c r="J177" s="2862"/>
      <c r="K177" s="2862"/>
      <c r="L177" s="2863"/>
      <c r="M177" s="2862"/>
      <c r="N177" s="2862"/>
      <c r="O177" s="2863"/>
      <c r="P177" s="2862"/>
      <c r="Q177" s="2862"/>
      <c r="R177" s="2864"/>
    </row>
    <row r="178" s="1825" customFormat="1" spans="2:18">
      <c r="B178" s="2862"/>
      <c r="C178" s="2862"/>
      <c r="D178" s="2862"/>
      <c r="E178" s="2862"/>
      <c r="F178" s="2862"/>
      <c r="G178" s="2863"/>
      <c r="H178" s="2862"/>
      <c r="I178" s="2863"/>
      <c r="J178" s="2862"/>
      <c r="K178" s="2862"/>
      <c r="L178" s="2863"/>
      <c r="M178" s="2862"/>
      <c r="N178" s="2862"/>
      <c r="O178" s="2863"/>
      <c r="P178" s="2862"/>
      <c r="Q178" s="2862"/>
      <c r="R178" s="2864"/>
    </row>
    <row r="179" s="1825" customFormat="1" spans="2:18">
      <c r="B179" s="2862"/>
      <c r="C179" s="2862"/>
      <c r="D179" s="2862"/>
      <c r="E179" s="2862"/>
      <c r="F179" s="2862"/>
      <c r="G179" s="2863"/>
      <c r="H179" s="2862"/>
      <c r="I179" s="2863"/>
      <c r="J179" s="2862"/>
      <c r="K179" s="2862"/>
      <c r="L179" s="2863"/>
      <c r="M179" s="2862"/>
      <c r="N179" s="2862"/>
      <c r="O179" s="2863"/>
      <c r="P179" s="2862"/>
      <c r="Q179" s="2862"/>
      <c r="R179" s="2864"/>
    </row>
    <row r="180" s="1825" customFormat="1" spans="2:18">
      <c r="B180" s="2862"/>
      <c r="C180" s="2862"/>
      <c r="D180" s="2862"/>
      <c r="E180" s="2862"/>
      <c r="F180" s="2862"/>
      <c r="G180" s="2863"/>
      <c r="H180" s="2862"/>
      <c r="I180" s="2863"/>
      <c r="J180" s="2862"/>
      <c r="K180" s="2862"/>
      <c r="L180" s="2863"/>
      <c r="M180" s="2862"/>
      <c r="N180" s="2862"/>
      <c r="O180" s="2863"/>
      <c r="P180" s="2862"/>
      <c r="Q180" s="2862"/>
      <c r="R180" s="2864"/>
    </row>
    <row r="181" s="1825" customFormat="1" spans="2:18">
      <c r="B181" s="2862"/>
      <c r="C181" s="2862"/>
      <c r="D181" s="2862"/>
      <c r="E181" s="2862"/>
      <c r="F181" s="2862"/>
      <c r="G181" s="2863"/>
      <c r="H181" s="2862"/>
      <c r="I181" s="2863"/>
      <c r="J181" s="2862"/>
      <c r="K181" s="2862"/>
      <c r="L181" s="2863"/>
      <c r="M181" s="2862"/>
      <c r="N181" s="2862"/>
      <c r="O181" s="2863"/>
      <c r="P181" s="2862"/>
      <c r="Q181" s="2862"/>
      <c r="R181" s="2864"/>
    </row>
    <row r="182" s="1825" customFormat="1" spans="2:18">
      <c r="B182" s="2862"/>
      <c r="C182" s="2862"/>
      <c r="D182" s="2862"/>
      <c r="E182" s="2862"/>
      <c r="F182" s="2862"/>
      <c r="G182" s="2863"/>
      <c r="H182" s="2862"/>
      <c r="I182" s="2863"/>
      <c r="J182" s="2862"/>
      <c r="K182" s="2862"/>
      <c r="L182" s="2863"/>
      <c r="M182" s="2862"/>
      <c r="N182" s="2862"/>
      <c r="O182" s="2863"/>
      <c r="P182" s="2862"/>
      <c r="Q182" s="2862"/>
      <c r="R182" s="2864"/>
    </row>
    <row r="183" s="1825" customFormat="1" spans="2:18">
      <c r="B183" s="2862"/>
      <c r="C183" s="2862"/>
      <c r="D183" s="2862"/>
      <c r="E183" s="2862"/>
      <c r="F183" s="2862"/>
      <c r="G183" s="2863"/>
      <c r="H183" s="2862"/>
      <c r="I183" s="2863"/>
      <c r="J183" s="2862"/>
      <c r="K183" s="2862"/>
      <c r="L183" s="2863"/>
      <c r="M183" s="2862"/>
      <c r="N183" s="2862"/>
      <c r="O183" s="2863"/>
      <c r="P183" s="2862"/>
      <c r="Q183" s="2862"/>
      <c r="R183" s="2864"/>
    </row>
    <row r="184" s="1825" customFormat="1" spans="2:18">
      <c r="B184" s="2862"/>
      <c r="C184" s="2862"/>
      <c r="D184" s="2862"/>
      <c r="E184" s="2862"/>
      <c r="F184" s="2862"/>
      <c r="G184" s="2863"/>
      <c r="H184" s="2862"/>
      <c r="I184" s="2863"/>
      <c r="J184" s="2862"/>
      <c r="K184" s="2862"/>
      <c r="L184" s="2863"/>
      <c r="M184" s="2862"/>
      <c r="N184" s="2862"/>
      <c r="O184" s="2863"/>
      <c r="P184" s="2862"/>
      <c r="Q184" s="2862"/>
      <c r="R184" s="2864"/>
    </row>
    <row r="185" s="1825"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1825"/>
      <c r="B186" s="2862"/>
      <c r="C186" s="2862"/>
      <c r="E186" s="2862"/>
      <c r="F186" s="2862"/>
      <c r="G186" s="2863"/>
    </row>
    <row r="187" spans="1:7">
      <c r="A187" s="1825"/>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0" workbookViewId="0">
      <selection activeCell="F47" sqref="F47"/>
    </sheetView>
  </sheetViews>
  <sheetFormatPr defaultColWidth="9" defaultRowHeight="13.5"/>
  <cols>
    <col min="1" max="1" width="6.375" style="2732" customWidth="1"/>
    <col min="2" max="2" width="19.375" style="2733" customWidth="1"/>
    <col min="3" max="3" width="6.125" style="2734" customWidth="1"/>
    <col min="4" max="4" width="6.375" style="2734" customWidth="1"/>
    <col min="5" max="5" width="7.375" style="2734" customWidth="1"/>
    <col min="6" max="6" width="16" style="2734" customWidth="1"/>
    <col min="7" max="7" width="19.375" style="2735" customWidth="1"/>
    <col min="8" max="8" width="19.5" style="2732" customWidth="1"/>
    <col min="9" max="9" width="8.625" style="2732" customWidth="1"/>
    <col min="10" max="10" width="10.5" style="2736" customWidth="1"/>
    <col min="11" max="11" width="4.875" style="2737" customWidth="1"/>
    <col min="12" max="12" width="16.375" style="2737" customWidth="1"/>
    <col min="13" max="16" width="8.125" style="2732" customWidth="1"/>
    <col min="17" max="16384" width="9" style="2732"/>
  </cols>
  <sheetData>
    <row r="1" spans="1:15">
      <c r="A1" s="2738" t="s">
        <v>697</v>
      </c>
      <c r="B1" s="2738"/>
      <c r="C1" s="2738"/>
      <c r="D1" s="2738"/>
      <c r="E1" s="2738"/>
      <c r="F1" s="2738"/>
      <c r="G1" s="2738"/>
      <c r="H1" s="2738"/>
      <c r="I1" s="2738"/>
      <c r="K1" s="2817" t="s">
        <v>698</v>
      </c>
      <c r="L1" s="2818" t="s">
        <v>699</v>
      </c>
      <c r="M1" s="2819">
        <v>0</v>
      </c>
      <c r="N1" s="18"/>
      <c r="O1" s="18"/>
    </row>
    <row r="2" ht="15.75" customHeight="1" spans="1:15">
      <c r="A2" s="2739" t="s">
        <v>700</v>
      </c>
      <c r="B2" s="2740" t="s">
        <v>701</v>
      </c>
      <c r="C2" s="2741" t="s">
        <v>702</v>
      </c>
      <c r="D2" s="2742"/>
      <c r="E2" s="2742"/>
      <c r="F2" s="2743"/>
      <c r="G2" s="2744" t="s">
        <v>703</v>
      </c>
      <c r="H2" s="2744" t="s">
        <v>704</v>
      </c>
      <c r="I2" s="2744"/>
      <c r="K2" s="2817"/>
      <c r="L2" s="2818" t="s">
        <v>705</v>
      </c>
      <c r="M2" s="2820" t="s">
        <v>706</v>
      </c>
      <c r="N2" s="2821"/>
      <c r="O2" s="2821"/>
    </row>
    <row r="3" spans="1:15">
      <c r="A3" s="2745" t="s">
        <v>707</v>
      </c>
      <c r="B3" s="2746" t="s">
        <v>325</v>
      </c>
      <c r="C3" s="2747">
        <f ca="1">'收益法倒推租金-商业'!F46</f>
        <v>5532.415</v>
      </c>
      <c r="D3" s="2748"/>
      <c r="E3" s="2748"/>
      <c r="F3" s="2749"/>
      <c r="G3" s="2745" t="s">
        <v>708</v>
      </c>
      <c r="H3" s="2750" t="s">
        <v>709</v>
      </c>
      <c r="I3" s="2822">
        <f>1</f>
        <v>1</v>
      </c>
      <c r="K3" s="2817"/>
      <c r="L3" s="2818" t="s">
        <v>710</v>
      </c>
      <c r="M3" s="2820" t="s">
        <v>711</v>
      </c>
      <c r="N3" s="2821"/>
      <c r="O3" s="2823"/>
    </row>
    <row r="4" spans="1:15">
      <c r="A4" s="2745" t="s">
        <v>712</v>
      </c>
      <c r="B4" s="2746" t="s">
        <v>713</v>
      </c>
      <c r="C4" s="2751">
        <f ca="1">ROUND(C3*(I4-I6)/(1-((1+I6)/(1+I4))^I5),0)</f>
        <v>260</v>
      </c>
      <c r="D4" s="2752"/>
      <c r="E4" s="2752"/>
      <c r="F4" s="2753"/>
      <c r="G4" s="2745" t="s">
        <v>714</v>
      </c>
      <c r="H4" s="2754" t="s">
        <v>715</v>
      </c>
      <c r="I4" s="2762">
        <f>'数据-取费表'!J6</f>
        <v>0.04</v>
      </c>
      <c r="K4" s="2817"/>
      <c r="L4" s="2818" t="s">
        <v>716</v>
      </c>
      <c r="M4" s="2824">
        <f>ROUND(1-(1-M1)*M2/M3,2)</f>
        <v>0.55</v>
      </c>
      <c r="N4" s="2821"/>
      <c r="O4" s="2821"/>
    </row>
    <row r="5" s="2731" customFormat="1" ht="18" customHeight="1" spans="1:15">
      <c r="A5" s="2745"/>
      <c r="B5" s="2746"/>
      <c r="C5" s="2755"/>
      <c r="D5" s="2756"/>
      <c r="E5" s="2756"/>
      <c r="F5" s="2757"/>
      <c r="G5" s="2745"/>
      <c r="H5" s="2746" t="s">
        <v>717</v>
      </c>
      <c r="I5" s="2825">
        <v>40</v>
      </c>
      <c r="J5" s="2826"/>
      <c r="K5" s="2817"/>
      <c r="L5" s="2818" t="s">
        <v>718</v>
      </c>
      <c r="M5" s="2827">
        <v>0.5</v>
      </c>
      <c r="N5" s="2821"/>
      <c r="O5" s="2821"/>
    </row>
    <row r="6" s="2731" customFormat="1" ht="18" customHeight="1" spans="1:16">
      <c r="A6" s="2745"/>
      <c r="B6" s="2746"/>
      <c r="C6" s="2758"/>
      <c r="D6" s="2759"/>
      <c r="E6" s="2759"/>
      <c r="F6" s="2760"/>
      <c r="G6" s="2745"/>
      <c r="H6" s="2746" t="s">
        <v>719</v>
      </c>
      <c r="I6" s="2762">
        <v>0.005</v>
      </c>
      <c r="J6" s="2828"/>
      <c r="K6" s="2829" t="s">
        <v>720</v>
      </c>
      <c r="L6" s="2830" t="s">
        <v>721</v>
      </c>
      <c r="M6" s="2831" t="s">
        <v>722</v>
      </c>
      <c r="N6" s="2831" t="s">
        <v>723</v>
      </c>
      <c r="O6" s="2831" t="s">
        <v>724</v>
      </c>
      <c r="P6" s="2831" t="s">
        <v>718</v>
      </c>
    </row>
    <row r="7" s="2731" customFormat="1" ht="17.25" customHeight="1" spans="1:16">
      <c r="A7" s="2745" t="s">
        <v>725</v>
      </c>
      <c r="B7" s="2746" t="s">
        <v>726</v>
      </c>
      <c r="C7" s="2741">
        <f>ROUND(C23*I7,0)</f>
        <v>4119</v>
      </c>
      <c r="D7" s="2742"/>
      <c r="E7" s="2742"/>
      <c r="F7" s="2743"/>
      <c r="G7" s="2744" t="s">
        <v>727</v>
      </c>
      <c r="H7" s="2746" t="s">
        <v>728</v>
      </c>
      <c r="I7" s="2832">
        <v>1</v>
      </c>
      <c r="K7" s="2829"/>
      <c r="L7" s="2830" t="s">
        <v>729</v>
      </c>
      <c r="M7" s="2831">
        <v>100</v>
      </c>
      <c r="N7" s="2831" t="s">
        <v>730</v>
      </c>
      <c r="O7" s="2831">
        <v>80</v>
      </c>
      <c r="P7" s="2833">
        <v>0.3</v>
      </c>
    </row>
    <row r="8" s="2731" customFormat="1" ht="18" customHeight="1" spans="1:16">
      <c r="A8" s="2739" t="s">
        <v>731</v>
      </c>
      <c r="B8" s="2746" t="s">
        <v>732</v>
      </c>
      <c r="C8" s="2741">
        <f>ROUND(I8*I3,0)</f>
        <v>3000</v>
      </c>
      <c r="D8" s="2742"/>
      <c r="E8" s="2742"/>
      <c r="F8" s="2743"/>
      <c r="G8" s="2744" t="s">
        <v>733</v>
      </c>
      <c r="H8" s="2746" t="s">
        <v>734</v>
      </c>
      <c r="I8" s="2744">
        <f>'数据-取费表'!L22</f>
        <v>3000</v>
      </c>
      <c r="J8" s="2834">
        <f t="shared" ref="J8:J10" si="0">D36</f>
        <v>9.33</v>
      </c>
      <c r="K8" s="2829"/>
      <c r="L8" s="2830" t="s">
        <v>735</v>
      </c>
      <c r="M8" s="2831">
        <v>100</v>
      </c>
      <c r="N8" s="2831" t="s">
        <v>730</v>
      </c>
      <c r="O8" s="2831">
        <v>80</v>
      </c>
      <c r="P8" s="2833">
        <v>0.5</v>
      </c>
    </row>
    <row r="9" s="2731" customFormat="1" ht="18" customHeight="1" spans="1:16">
      <c r="A9" s="2739" t="s">
        <v>736</v>
      </c>
      <c r="B9" s="2746" t="s">
        <v>737</v>
      </c>
      <c r="C9" s="2741">
        <f>ROUND(C8*H9,0)</f>
        <v>90</v>
      </c>
      <c r="D9" s="2742"/>
      <c r="E9" s="2742"/>
      <c r="F9" s="2743"/>
      <c r="G9" s="2744" t="s">
        <v>738</v>
      </c>
      <c r="H9" s="2761">
        <v>0.03</v>
      </c>
      <c r="I9" s="2761"/>
      <c r="J9" s="2834">
        <f ca="1" t="shared" si="0"/>
        <v>1.21</v>
      </c>
      <c r="K9" s="2829"/>
      <c r="L9" s="2830" t="s">
        <v>739</v>
      </c>
      <c r="M9" s="2831">
        <v>100</v>
      </c>
      <c r="N9" s="2831" t="s">
        <v>730</v>
      </c>
      <c r="O9" s="2831">
        <v>80</v>
      </c>
      <c r="P9" s="2833">
        <f>1-P7-P8</f>
        <v>0.2</v>
      </c>
    </row>
    <row r="10" s="2731" customFormat="1" ht="18" customHeight="1" spans="1:16">
      <c r="A10" s="2739" t="s">
        <v>740</v>
      </c>
      <c r="B10" s="2746" t="s">
        <v>741</v>
      </c>
      <c r="C10" s="2741">
        <f>ROUND(C8*H10,0)</f>
        <v>0</v>
      </c>
      <c r="D10" s="2742"/>
      <c r="E10" s="2742"/>
      <c r="F10" s="2743"/>
      <c r="G10" s="2744" t="s">
        <v>738</v>
      </c>
      <c r="H10" s="2761">
        <v>0</v>
      </c>
      <c r="I10" s="2761"/>
      <c r="J10" s="2834">
        <f ca="1" t="shared" si="0"/>
        <v>5.3</v>
      </c>
      <c r="K10" s="2829"/>
      <c r="L10" s="2835" t="s">
        <v>718</v>
      </c>
      <c r="M10" s="2836">
        <f>1-M5</f>
        <v>0.5</v>
      </c>
      <c r="N10" s="2831" t="s">
        <v>716</v>
      </c>
      <c r="O10" s="2837">
        <f>ROUND((O7*P7+O8*P8+O9*P9)/100,2)</f>
        <v>0.8</v>
      </c>
      <c r="P10" s="2838"/>
    </row>
    <row r="11" s="2731" customFormat="1" ht="29.25" customHeight="1" spans="1:12">
      <c r="A11" s="2739" t="s">
        <v>742</v>
      </c>
      <c r="B11" s="2746" t="s">
        <v>743</v>
      </c>
      <c r="C11" s="2741">
        <f>ROUND(I11*I3,0)</f>
        <v>200</v>
      </c>
      <c r="D11" s="2742"/>
      <c r="E11" s="2742"/>
      <c r="F11" s="2743"/>
      <c r="G11" s="2744" t="s">
        <v>744</v>
      </c>
      <c r="H11" s="2746" t="s">
        <v>745</v>
      </c>
      <c r="I11" s="2744">
        <v>200</v>
      </c>
      <c r="J11" s="2826"/>
      <c r="K11" s="2737"/>
      <c r="L11" s="2737"/>
    </row>
    <row r="12" s="2731" customFormat="1" ht="18" customHeight="1" spans="1:12">
      <c r="A12" s="2739" t="s">
        <v>746</v>
      </c>
      <c r="B12" s="2746" t="s">
        <v>747</v>
      </c>
      <c r="C12" s="2741">
        <f>ROUND(C8*H12,0)</f>
        <v>45</v>
      </c>
      <c r="D12" s="2742"/>
      <c r="E12" s="2742"/>
      <c r="F12" s="2743"/>
      <c r="G12" s="2744" t="s">
        <v>738</v>
      </c>
      <c r="H12" s="2761">
        <v>0.015</v>
      </c>
      <c r="I12" s="2761"/>
      <c r="J12" s="2839" t="s">
        <v>748</v>
      </c>
      <c r="L12" s="2840"/>
    </row>
    <row r="13" s="2731" customFormat="1" ht="18" customHeight="1" spans="1:12">
      <c r="A13" s="2739" t="s">
        <v>749</v>
      </c>
      <c r="B13" s="2746" t="s">
        <v>750</v>
      </c>
      <c r="C13" s="2741">
        <f>SUM(C8:F12)</f>
        <v>3335</v>
      </c>
      <c r="D13" s="2742"/>
      <c r="E13" s="2742"/>
      <c r="F13" s="2743"/>
      <c r="G13" s="2744" t="s">
        <v>751</v>
      </c>
      <c r="H13" s="2744"/>
      <c r="I13" s="2744"/>
      <c r="J13" s="2839" t="s">
        <v>752</v>
      </c>
      <c r="L13" s="2840"/>
    </row>
    <row r="14" s="2731" customFormat="1" ht="18" customHeight="1" spans="1:12">
      <c r="A14" s="2739" t="s">
        <v>753</v>
      </c>
      <c r="B14" s="2746" t="s">
        <v>754</v>
      </c>
      <c r="C14" s="2741">
        <f>ROUND(C13*H14,0)</f>
        <v>33</v>
      </c>
      <c r="D14" s="2742"/>
      <c r="E14" s="2742"/>
      <c r="F14" s="2743"/>
      <c r="G14" s="2744" t="s">
        <v>755</v>
      </c>
      <c r="H14" s="2762">
        <v>0.01</v>
      </c>
      <c r="I14" s="2762"/>
      <c r="J14" s="2826"/>
      <c r="L14" s="2840"/>
    </row>
    <row r="15" s="2731" customFormat="1" ht="18" customHeight="1" spans="1:11">
      <c r="A15" s="2739" t="s">
        <v>756</v>
      </c>
      <c r="B15" s="2746" t="s">
        <v>757</v>
      </c>
      <c r="C15" s="2763">
        <f>H15</f>
        <v>0.01</v>
      </c>
      <c r="D15" s="2764"/>
      <c r="E15" s="2765" t="str">
        <f>E18</f>
        <v>V</v>
      </c>
      <c r="F15" s="2766"/>
      <c r="G15" s="2744" t="s">
        <v>758</v>
      </c>
      <c r="H15" s="2762">
        <v>0.01</v>
      </c>
      <c r="I15" s="2762"/>
      <c r="J15" s="2841"/>
      <c r="K15" s="2842"/>
    </row>
    <row r="16" s="2731" customFormat="1" ht="18" customHeight="1" spans="1:11">
      <c r="A16" s="2767" t="s">
        <v>759</v>
      </c>
      <c r="B16" s="2768" t="s">
        <v>760</v>
      </c>
      <c r="C16" s="2741">
        <f>C17</f>
        <v>147</v>
      </c>
      <c r="D16" s="2742" t="s">
        <v>761</v>
      </c>
      <c r="E16" s="2769">
        <f>C18</f>
        <v>0.000435</v>
      </c>
      <c r="F16" s="2766" t="str">
        <f>E18</f>
        <v>V</v>
      </c>
      <c r="G16" s="2741" t="s">
        <v>762</v>
      </c>
      <c r="H16" s="2742"/>
      <c r="I16" s="2743"/>
      <c r="J16" s="2826"/>
      <c r="K16" s="2737"/>
    </row>
    <row r="17" s="2731" customFormat="1" ht="18" customHeight="1" spans="1:12">
      <c r="A17" s="2739" t="s">
        <v>763</v>
      </c>
      <c r="B17" s="2746" t="s">
        <v>764</v>
      </c>
      <c r="C17" s="2741">
        <f>ROUND((C13+C14)*I18*(I17/2),0)</f>
        <v>147</v>
      </c>
      <c r="D17" s="2742"/>
      <c r="E17" s="2742"/>
      <c r="F17" s="2743"/>
      <c r="G17" s="2741" t="s">
        <v>765</v>
      </c>
      <c r="H17" s="2746" t="s">
        <v>766</v>
      </c>
      <c r="I17" s="2843">
        <v>2</v>
      </c>
      <c r="J17" s="2839" t="s">
        <v>767</v>
      </c>
      <c r="K17" s="2737"/>
      <c r="L17" s="2737"/>
    </row>
    <row r="18" s="2731" customFormat="1" ht="18" customHeight="1" spans="1:12">
      <c r="A18" s="2739" t="s">
        <v>768</v>
      </c>
      <c r="B18" s="2746" t="s">
        <v>769</v>
      </c>
      <c r="C18" s="2770">
        <f>H15*I18*I17/2</f>
        <v>0.000435</v>
      </c>
      <c r="D18" s="2771"/>
      <c r="E18" s="2765" t="s">
        <v>770</v>
      </c>
      <c r="F18" s="2766"/>
      <c r="G18" s="2741" t="s">
        <v>771</v>
      </c>
      <c r="H18" s="2746" t="s">
        <v>772</v>
      </c>
      <c r="I18" s="2844">
        <f>'[3]数据-取费表'!B40</f>
        <v>0.0435</v>
      </c>
      <c r="J18" s="2839" t="s">
        <v>773</v>
      </c>
      <c r="K18" s="2737"/>
      <c r="L18" s="2737"/>
    </row>
    <row r="19" s="2731" customFormat="1" ht="27" customHeight="1" spans="1:12">
      <c r="A19" s="2739" t="s">
        <v>774</v>
      </c>
      <c r="B19" s="2746" t="s">
        <v>775</v>
      </c>
      <c r="C19" s="2741">
        <f>C20</f>
        <v>337</v>
      </c>
      <c r="D19" s="2742" t="s">
        <v>761</v>
      </c>
      <c r="E19" s="2742">
        <f>C21</f>
        <v>0.001</v>
      </c>
      <c r="F19" s="2766" t="str">
        <f>E21</f>
        <v>V</v>
      </c>
      <c r="G19" s="2741" t="s">
        <v>776</v>
      </c>
      <c r="H19" s="2742"/>
      <c r="I19" s="2743"/>
      <c r="J19" s="2826"/>
      <c r="K19" s="2737"/>
      <c r="L19" s="2737"/>
    </row>
    <row r="20" s="2731" customFormat="1" ht="26.25" customHeight="1" spans="1:12">
      <c r="A20" s="2739" t="s">
        <v>777</v>
      </c>
      <c r="B20" s="2746" t="s">
        <v>778</v>
      </c>
      <c r="C20" s="2741">
        <f>ROUND((C13+C14)*I20,0)</f>
        <v>337</v>
      </c>
      <c r="D20" s="2742"/>
      <c r="E20" s="2742"/>
      <c r="F20" s="2743"/>
      <c r="G20" s="2744" t="s">
        <v>779</v>
      </c>
      <c r="H20" s="2772" t="s">
        <v>780</v>
      </c>
      <c r="I20" s="2845">
        <v>0.1</v>
      </c>
      <c r="J20" s="2839" t="s">
        <v>781</v>
      </c>
      <c r="K20" s="2737"/>
      <c r="L20" s="2737"/>
    </row>
    <row r="21" s="2731" customFormat="1" ht="27" customHeight="1" spans="1:12">
      <c r="A21" s="2739" t="s">
        <v>777</v>
      </c>
      <c r="B21" s="2746" t="s">
        <v>782</v>
      </c>
      <c r="C21" s="2773">
        <f>H15*I20</f>
        <v>0.001</v>
      </c>
      <c r="D21" s="2774"/>
      <c r="E21" s="2765" t="s">
        <v>770</v>
      </c>
      <c r="F21" s="2766"/>
      <c r="G21" s="2744" t="s">
        <v>783</v>
      </c>
      <c r="H21" s="2775"/>
      <c r="I21" s="2845"/>
      <c r="J21" s="2826"/>
      <c r="K21" s="2737"/>
      <c r="L21" s="2737"/>
    </row>
    <row r="22" s="2731" customFormat="1" ht="18" customHeight="1" spans="1:12">
      <c r="A22" s="2739" t="s">
        <v>784</v>
      </c>
      <c r="B22" s="2746" t="s">
        <v>785</v>
      </c>
      <c r="C22" s="2773">
        <f>ROUND(H22/1.05,4)</f>
        <v>0.0533</v>
      </c>
      <c r="D22" s="2774"/>
      <c r="E22" s="2765" t="s">
        <v>770</v>
      </c>
      <c r="F22" s="2766"/>
      <c r="G22" s="2744" t="s">
        <v>786</v>
      </c>
      <c r="H22" s="2761">
        <v>0.056</v>
      </c>
      <c r="I22" s="2761"/>
      <c r="J22" s="2846"/>
      <c r="K22" s="2737"/>
      <c r="L22" s="2737"/>
    </row>
    <row r="23" s="2731" customFormat="1" ht="18" customHeight="1" spans="1:12">
      <c r="A23" s="2739" t="s">
        <v>787</v>
      </c>
      <c r="B23" s="2746" t="s">
        <v>788</v>
      </c>
      <c r="C23" s="2741">
        <f>ROUND((C13+C14+C17+C20)/(1-H15-C18-C21-C22),0)</f>
        <v>4119</v>
      </c>
      <c r="D23" s="2742"/>
      <c r="E23" s="2742"/>
      <c r="F23" s="2743"/>
      <c r="G23" s="2741" t="s">
        <v>789</v>
      </c>
      <c r="H23" s="2742"/>
      <c r="I23" s="2743"/>
      <c r="J23" s="2846"/>
      <c r="K23" s="2737"/>
      <c r="L23" s="2737"/>
    </row>
    <row r="24" s="2731" customFormat="1" ht="18" customHeight="1" spans="1:12">
      <c r="A24" s="2739" t="s">
        <v>790</v>
      </c>
      <c r="B24" s="2746" t="s">
        <v>791</v>
      </c>
      <c r="C24" s="2763">
        <f>C27+C28</f>
        <v>45</v>
      </c>
      <c r="D24" s="2776" t="s">
        <v>792</v>
      </c>
      <c r="E24" s="2777">
        <f>H29+E26+H25</f>
        <v>0.186</v>
      </c>
      <c r="F24" s="2778"/>
      <c r="G24" s="2744" t="s">
        <v>793</v>
      </c>
      <c r="H24" s="2744"/>
      <c r="I24" s="2744"/>
      <c r="J24" s="2846"/>
      <c r="K24" s="2737"/>
      <c r="L24" s="2737"/>
    </row>
    <row r="25" s="2731" customFormat="1" ht="18" customHeight="1" spans="1:12">
      <c r="A25" s="2739" t="s">
        <v>749</v>
      </c>
      <c r="B25" s="2746" t="s">
        <v>794</v>
      </c>
      <c r="C25" s="2763" t="s">
        <v>795</v>
      </c>
      <c r="D25" s="2764"/>
      <c r="E25" s="2779">
        <f>ROUND(H25/1.05,4)</f>
        <v>0.0533</v>
      </c>
      <c r="F25" s="2780"/>
      <c r="G25" s="2744" t="s">
        <v>796</v>
      </c>
      <c r="H25" s="2781">
        <v>0.056</v>
      </c>
      <c r="I25" s="2781"/>
      <c r="J25" s="2841"/>
      <c r="K25" s="2737"/>
      <c r="L25" s="2737"/>
    </row>
    <row r="26" s="2731" customFormat="1" ht="18" customHeight="1" spans="1:12">
      <c r="A26" s="2739" t="s">
        <v>753</v>
      </c>
      <c r="B26" s="2746" t="s">
        <v>797</v>
      </c>
      <c r="C26" s="2763" t="s">
        <v>795</v>
      </c>
      <c r="D26" s="2764"/>
      <c r="E26" s="2782">
        <v>0.12</v>
      </c>
      <c r="F26" s="2778"/>
      <c r="G26" s="2744"/>
      <c r="H26" s="2783">
        <v>0.12</v>
      </c>
      <c r="I26" s="2847"/>
      <c r="J26" s="2848"/>
      <c r="K26" s="2737"/>
      <c r="L26" s="2737"/>
    </row>
    <row r="27" s="2731" customFormat="1" ht="18" customHeight="1" spans="1:12">
      <c r="A27" s="2739" t="s">
        <v>756</v>
      </c>
      <c r="B27" s="2746" t="s">
        <v>798</v>
      </c>
      <c r="C27" s="2741">
        <f>ROUND(C23*H27,0)</f>
        <v>41</v>
      </c>
      <c r="D27" s="2742"/>
      <c r="E27" s="2742"/>
      <c r="F27" s="2743"/>
      <c r="G27" s="2744" t="s">
        <v>799</v>
      </c>
      <c r="H27" s="2784">
        <v>0.01</v>
      </c>
      <c r="I27" s="2784"/>
      <c r="J27" s="2849" t="s">
        <v>800</v>
      </c>
      <c r="K27" s="2737"/>
      <c r="L27" s="2737"/>
    </row>
    <row r="28" s="2731" customFormat="1" ht="18" customHeight="1" spans="1:12">
      <c r="A28" s="2739" t="s">
        <v>759</v>
      </c>
      <c r="B28" s="2746" t="s">
        <v>801</v>
      </c>
      <c r="C28" s="2741">
        <f>ROUND(C7*H28,0)</f>
        <v>4</v>
      </c>
      <c r="D28" s="2742"/>
      <c r="E28" s="2742"/>
      <c r="F28" s="2743"/>
      <c r="G28" s="2744" t="s">
        <v>802</v>
      </c>
      <c r="H28" s="2785">
        <v>0.001</v>
      </c>
      <c r="I28" s="2785"/>
      <c r="J28" s="2850"/>
      <c r="K28" s="2737"/>
      <c r="L28" s="2737"/>
    </row>
    <row r="29" s="2731" customFormat="1" ht="18" customHeight="1" spans="1:12">
      <c r="A29" s="2739" t="s">
        <v>774</v>
      </c>
      <c r="B29" s="2746" t="s">
        <v>754</v>
      </c>
      <c r="C29" s="2763" t="s">
        <v>795</v>
      </c>
      <c r="D29" s="2764"/>
      <c r="E29" s="2782">
        <f>H29</f>
        <v>0.01</v>
      </c>
      <c r="F29" s="2778"/>
      <c r="G29" s="2744" t="s">
        <v>803</v>
      </c>
      <c r="H29" s="2784">
        <v>0.01</v>
      </c>
      <c r="I29" s="2784"/>
      <c r="J29" s="2851"/>
      <c r="K29" s="2737"/>
      <c r="L29" s="2737"/>
    </row>
    <row r="30" s="2731" customFormat="1" ht="18" customHeight="1" spans="1:12">
      <c r="A30" s="2745" t="s">
        <v>804</v>
      </c>
      <c r="B30" s="2746" t="s">
        <v>805</v>
      </c>
      <c r="C30" s="2741">
        <f ca="1">ROUND((C4+C24)/(1-E24),0)</f>
        <v>375</v>
      </c>
      <c r="D30" s="2742"/>
      <c r="E30" s="2742"/>
      <c r="F30" s="2743"/>
      <c r="G30" s="2745" t="s">
        <v>806</v>
      </c>
      <c r="H30" s="2745"/>
      <c r="I30" s="2745"/>
      <c r="J30" s="2852"/>
      <c r="K30" s="2737"/>
      <c r="L30" s="2737"/>
    </row>
    <row r="31" s="2731" customFormat="1" ht="18" customHeight="1" spans="1:12">
      <c r="A31" s="2745" t="s">
        <v>807</v>
      </c>
      <c r="B31" s="2746" t="s">
        <v>808</v>
      </c>
      <c r="C31" s="2786">
        <f ca="1">ROUND(C30/I31/I32/I3,2)</f>
        <v>1.21</v>
      </c>
      <c r="D31" s="2787"/>
      <c r="E31" s="2787"/>
      <c r="F31" s="2788"/>
      <c r="G31" s="2744" t="s">
        <v>809</v>
      </c>
      <c r="H31" s="2746" t="s">
        <v>810</v>
      </c>
      <c r="I31" s="2744">
        <v>365</v>
      </c>
      <c r="J31" s="2826"/>
      <c r="K31" s="2737"/>
      <c r="L31" s="2737"/>
    </row>
    <row r="32" s="2731" customFormat="1" ht="18" customHeight="1" spans="1:12">
      <c r="A32" s="2745"/>
      <c r="B32" s="2746"/>
      <c r="C32" s="2789"/>
      <c r="D32" s="2790"/>
      <c r="E32" s="2790"/>
      <c r="F32" s="2791"/>
      <c r="G32" s="2744"/>
      <c r="H32" s="2746" t="s">
        <v>811</v>
      </c>
      <c r="I32" s="2845">
        <v>0.85</v>
      </c>
      <c r="J32" s="2846"/>
      <c r="K32" s="2732"/>
      <c r="L32" s="2732"/>
    </row>
    <row r="33" s="2731" customFormat="1" ht="18" customHeight="1" spans="1:12">
      <c r="A33" s="2732"/>
      <c r="B33" s="2792"/>
      <c r="C33" s="2793"/>
      <c r="D33" s="2793"/>
      <c r="E33" s="2793"/>
      <c r="F33" s="2793"/>
      <c r="G33" s="2794"/>
      <c r="H33" s="2795"/>
      <c r="I33" s="2732"/>
      <c r="J33" s="2736"/>
      <c r="K33" s="2732"/>
      <c r="L33" s="2732"/>
    </row>
    <row r="34" s="2731" customFormat="1" ht="18" customHeight="1" spans="1:13">
      <c r="A34" s="2732"/>
      <c r="B34" s="2796" t="s">
        <v>812</v>
      </c>
      <c r="C34" s="2796"/>
      <c r="D34" s="2796"/>
      <c r="E34" s="2796"/>
      <c r="F34" s="2796"/>
      <c r="G34" s="2797"/>
      <c r="H34" s="2798"/>
      <c r="I34" s="2732"/>
      <c r="J34" s="2853">
        <f ca="1">C31*0.5</f>
        <v>0.605</v>
      </c>
      <c r="K34" s="2732"/>
      <c r="L34" s="2732"/>
      <c r="M34" s="2732"/>
    </row>
    <row r="35" s="2731" customFormat="1" ht="18" customHeight="1" spans="1:13">
      <c r="A35" s="2732"/>
      <c r="B35" s="2799" t="s">
        <v>813</v>
      </c>
      <c r="C35" s="2800" t="s">
        <v>718</v>
      </c>
      <c r="D35" s="2800" t="s">
        <v>814</v>
      </c>
      <c r="E35" s="2800"/>
      <c r="F35" s="2800"/>
      <c r="G35" s="2797"/>
      <c r="H35" s="2801" t="s">
        <v>815</v>
      </c>
      <c r="I35" s="2854"/>
      <c r="J35" s="2853">
        <f ca="1">C31*0.4</f>
        <v>0.484</v>
      </c>
      <c r="K35" s="2732"/>
      <c r="L35" s="2732"/>
      <c r="M35" s="2732"/>
    </row>
    <row r="36" spans="2:12">
      <c r="B36" s="2799" t="s">
        <v>816</v>
      </c>
      <c r="C36" s="2802">
        <v>0.5</v>
      </c>
      <c r="D36" s="2803">
        <f>[2]比较法—租金!N39</f>
        <v>9.33</v>
      </c>
      <c r="E36" s="2803"/>
      <c r="F36" s="2803"/>
      <c r="G36" s="2797">
        <f ca="1">(D36-D37)/D37</f>
        <v>6.71074380165289</v>
      </c>
      <c r="H36" s="2801" t="s">
        <v>817</v>
      </c>
      <c r="I36" s="2855"/>
      <c r="J36" s="2732"/>
      <c r="K36" s="2732"/>
      <c r="L36" s="2732"/>
    </row>
    <row r="37" ht="20.1" customHeight="1" spans="2:12">
      <c r="B37" s="2799" t="s">
        <v>697</v>
      </c>
      <c r="C37" s="2802">
        <f>1-C36</f>
        <v>0.5</v>
      </c>
      <c r="D37" s="2803">
        <f ca="1">C31</f>
        <v>1.21</v>
      </c>
      <c r="E37" s="2803"/>
      <c r="F37" s="2803"/>
      <c r="G37" s="2797"/>
      <c r="H37" s="2798"/>
      <c r="J37" s="2732"/>
      <c r="K37" s="2732"/>
      <c r="L37" s="2732"/>
    </row>
    <row r="38" ht="22.5" customHeight="1" spans="2:10">
      <c r="B38" s="2799" t="s">
        <v>818</v>
      </c>
      <c r="C38" s="2799"/>
      <c r="D38" s="2804">
        <f ca="1">ROUND(C36*D36+C37*D37,1)</f>
        <v>5.3</v>
      </c>
      <c r="E38" s="2804"/>
      <c r="F38" s="2804"/>
      <c r="G38" s="2797"/>
      <c r="H38" s="2798"/>
      <c r="J38" s="2732"/>
    </row>
    <row r="39" ht="22.5" customHeight="1" spans="2:10">
      <c r="B39" s="2799" t="s">
        <v>819</v>
      </c>
      <c r="C39" s="2799">
        <f ca="1">ROUND(D38*0.9,1)</f>
        <v>4.8</v>
      </c>
      <c r="D39" s="2804" t="s">
        <v>820</v>
      </c>
      <c r="E39" s="2804">
        <f ca="1">ROUND(D38*1.1,1)</f>
        <v>5.8</v>
      </c>
      <c r="F39" s="2804"/>
      <c r="G39" s="2797" t="s">
        <v>821</v>
      </c>
      <c r="H39" s="2805">
        <v>11.48</v>
      </c>
      <c r="J39" s="2732"/>
    </row>
    <row r="40" ht="18" customHeight="1" spans="2:8">
      <c r="B40" s="2799" t="s">
        <v>822</v>
      </c>
      <c r="C40" s="2799">
        <f ca="1">ROUND(C39+H40,1)</f>
        <v>4.8</v>
      </c>
      <c r="D40" s="2804" t="s">
        <v>820</v>
      </c>
      <c r="E40" s="2804">
        <f ca="1">ROUND(E39+H40,1)</f>
        <v>5.8</v>
      </c>
      <c r="F40" s="2804"/>
      <c r="G40" s="2806" t="s">
        <v>823</v>
      </c>
      <c r="H40" s="2806"/>
    </row>
    <row r="41" ht="18" customHeight="1" spans="2:8">
      <c r="B41" s="2807"/>
      <c r="C41" s="2808"/>
      <c r="D41" s="2809"/>
      <c r="E41" s="2809"/>
      <c r="F41" s="2809"/>
      <c r="G41" s="2797"/>
      <c r="H41" s="2798"/>
    </row>
    <row r="42" ht="18" customHeight="1" spans="2:8">
      <c r="B42" s="2797" t="s">
        <v>824</v>
      </c>
      <c r="C42" s="2809"/>
      <c r="D42" s="2809"/>
      <c r="E42" s="2797" t="s">
        <v>825</v>
      </c>
      <c r="F42" s="2809"/>
      <c r="G42" s="2797"/>
      <c r="H42" s="2797" t="s">
        <v>826</v>
      </c>
    </row>
    <row r="43" ht="29.25" customHeight="1"/>
    <row r="44" spans="2:7">
      <c r="B44" s="2810" t="s">
        <v>827</v>
      </c>
      <c r="C44" s="2810"/>
      <c r="D44" s="2810"/>
      <c r="E44" s="2811"/>
      <c r="F44" s="2812" t="s">
        <v>828</v>
      </c>
      <c r="G44" s="2813"/>
    </row>
    <row r="45" spans="2:7">
      <c r="B45" s="2814" t="s">
        <v>829</v>
      </c>
      <c r="C45" s="2810" t="s">
        <v>830</v>
      </c>
      <c r="D45" s="2810" t="s">
        <v>831</v>
      </c>
      <c r="E45" s="2811" t="s">
        <v>832</v>
      </c>
      <c r="F45" s="2812"/>
      <c r="G45" s="2813"/>
    </row>
    <row r="46" spans="2:7">
      <c r="B46" s="2810">
        <v>0.5</v>
      </c>
      <c r="C46" s="2810">
        <v>0.9</v>
      </c>
      <c r="D46" s="2810">
        <v>0.9</v>
      </c>
      <c r="E46" s="2811">
        <v>0.25</v>
      </c>
      <c r="F46" s="2810">
        <f ca="1">F47*B46*C46*D46-F47*E46</f>
        <v>5532.415</v>
      </c>
      <c r="G46" s="2813" t="s">
        <v>833</v>
      </c>
    </row>
    <row r="47" spans="2:7">
      <c r="B47" s="2813"/>
      <c r="C47" s="2813"/>
      <c r="D47" s="2813"/>
      <c r="E47" s="2815"/>
      <c r="F47" s="2810">
        <f ca="1">'结果表--商业'!G20</f>
        <v>35693</v>
      </c>
      <c r="G47" s="2816"/>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7" workbookViewId="0">
      <selection activeCell="H9" sqref="H9:I9"/>
    </sheetView>
  </sheetViews>
  <sheetFormatPr defaultColWidth="9" defaultRowHeight="13.5"/>
  <cols>
    <col min="1" max="1" width="6.375" style="2732" customWidth="1"/>
    <col min="2" max="2" width="19.375" style="2733" customWidth="1"/>
    <col min="3" max="3" width="6.125" style="2734" customWidth="1"/>
    <col min="4" max="4" width="6.375" style="2734" customWidth="1"/>
    <col min="5" max="5" width="7.375" style="2734" customWidth="1"/>
    <col min="6" max="6" width="16" style="2734" customWidth="1"/>
    <col min="7" max="7" width="19.375" style="2735" customWidth="1"/>
    <col min="8" max="8" width="19.5" style="2732" customWidth="1"/>
    <col min="9" max="9" width="8.625" style="2732" customWidth="1"/>
    <col min="10" max="10" width="10.5" style="2736" customWidth="1"/>
    <col min="11" max="11" width="4.875" style="2737" customWidth="1"/>
    <col min="12" max="12" width="16.375" style="2737" customWidth="1"/>
    <col min="13" max="16" width="8.125" style="2732" customWidth="1"/>
    <col min="17" max="16384" width="9" style="2732"/>
  </cols>
  <sheetData>
    <row r="1" spans="1:15">
      <c r="A1" s="2738" t="s">
        <v>697</v>
      </c>
      <c r="B1" s="2738"/>
      <c r="C1" s="2738"/>
      <c r="D1" s="2738"/>
      <c r="E1" s="2738"/>
      <c r="F1" s="2738"/>
      <c r="G1" s="2738"/>
      <c r="H1" s="2738"/>
      <c r="I1" s="2738"/>
      <c r="K1" s="2817" t="s">
        <v>698</v>
      </c>
      <c r="L1" s="2818" t="s">
        <v>699</v>
      </c>
      <c r="M1" s="2819">
        <v>0</v>
      </c>
      <c r="N1" s="18"/>
      <c r="O1" s="18"/>
    </row>
    <row r="2" ht="15.75" customHeight="1" spans="1:15">
      <c r="A2" s="2739" t="s">
        <v>700</v>
      </c>
      <c r="B2" s="2740" t="s">
        <v>701</v>
      </c>
      <c r="C2" s="2741" t="s">
        <v>702</v>
      </c>
      <c r="D2" s="2742"/>
      <c r="E2" s="2742"/>
      <c r="F2" s="2743"/>
      <c r="G2" s="2744" t="s">
        <v>703</v>
      </c>
      <c r="H2" s="2744" t="s">
        <v>704</v>
      </c>
      <c r="I2" s="2744"/>
      <c r="K2" s="2817"/>
      <c r="L2" s="2818" t="s">
        <v>705</v>
      </c>
      <c r="M2" s="2820" t="s">
        <v>706</v>
      </c>
      <c r="N2" s="2821"/>
      <c r="O2" s="2821"/>
    </row>
    <row r="3" spans="1:15">
      <c r="A3" s="2745" t="s">
        <v>707</v>
      </c>
      <c r="B3" s="2746" t="s">
        <v>325</v>
      </c>
      <c r="C3" s="2747">
        <f ca="1">'收益法倒推租金-商业单租'!F46</f>
        <v>2498.51</v>
      </c>
      <c r="D3" s="2748"/>
      <c r="E3" s="2748"/>
      <c r="F3" s="2749"/>
      <c r="G3" s="2745" t="s">
        <v>708</v>
      </c>
      <c r="H3" s="2750" t="s">
        <v>709</v>
      </c>
      <c r="I3" s="2822">
        <f>1</f>
        <v>1</v>
      </c>
      <c r="K3" s="2817"/>
      <c r="L3" s="2818" t="s">
        <v>710</v>
      </c>
      <c r="M3" s="2820" t="s">
        <v>711</v>
      </c>
      <c r="N3" s="2821"/>
      <c r="O3" s="2823"/>
    </row>
    <row r="4" spans="1:15">
      <c r="A4" s="2745" t="s">
        <v>712</v>
      </c>
      <c r="B4" s="2746" t="s">
        <v>713</v>
      </c>
      <c r="C4" s="2751">
        <f ca="1">ROUND(C3*(I4-I6)/(1-((1+I6)/(1+I4))^I5),0)</f>
        <v>117</v>
      </c>
      <c r="D4" s="2752"/>
      <c r="E4" s="2752"/>
      <c r="F4" s="2753"/>
      <c r="G4" s="2745" t="s">
        <v>714</v>
      </c>
      <c r="H4" s="2754" t="s">
        <v>715</v>
      </c>
      <c r="I4" s="2762">
        <f>'数据-取费表'!J6</f>
        <v>0.04</v>
      </c>
      <c r="K4" s="2817"/>
      <c r="L4" s="2818" t="s">
        <v>716</v>
      </c>
      <c r="M4" s="2824">
        <f>ROUND(1-(1-M1)*M2/M3,2)</f>
        <v>0.55</v>
      </c>
      <c r="N4" s="2821"/>
      <c r="O4" s="2821"/>
    </row>
    <row r="5" s="2731" customFormat="1" ht="18" customHeight="1" spans="1:15">
      <c r="A5" s="2745"/>
      <c r="B5" s="2746"/>
      <c r="C5" s="2755"/>
      <c r="D5" s="2756"/>
      <c r="E5" s="2756"/>
      <c r="F5" s="2757"/>
      <c r="G5" s="2745"/>
      <c r="H5" s="2746" t="s">
        <v>717</v>
      </c>
      <c r="I5" s="2825">
        <v>40</v>
      </c>
      <c r="J5" s="2826"/>
      <c r="K5" s="2817"/>
      <c r="L5" s="2818" t="s">
        <v>718</v>
      </c>
      <c r="M5" s="2827">
        <v>0.5</v>
      </c>
      <c r="N5" s="2821"/>
      <c r="O5" s="2821"/>
    </row>
    <row r="6" s="2731" customFormat="1" ht="18" customHeight="1" spans="1:16">
      <c r="A6" s="2745"/>
      <c r="B6" s="2746"/>
      <c r="C6" s="2758"/>
      <c r="D6" s="2759"/>
      <c r="E6" s="2759"/>
      <c r="F6" s="2760"/>
      <c r="G6" s="2745"/>
      <c r="H6" s="2746" t="s">
        <v>719</v>
      </c>
      <c r="I6" s="2762">
        <v>0.005</v>
      </c>
      <c r="J6" s="2828"/>
      <c r="K6" s="2829" t="s">
        <v>720</v>
      </c>
      <c r="L6" s="2830" t="s">
        <v>721</v>
      </c>
      <c r="M6" s="2831" t="s">
        <v>722</v>
      </c>
      <c r="N6" s="2831" t="s">
        <v>723</v>
      </c>
      <c r="O6" s="2831" t="s">
        <v>724</v>
      </c>
      <c r="P6" s="2831" t="s">
        <v>718</v>
      </c>
    </row>
    <row r="7" s="2731" customFormat="1" ht="17.25" customHeight="1" spans="1:16">
      <c r="A7" s="2745" t="s">
        <v>725</v>
      </c>
      <c r="B7" s="2746" t="s">
        <v>726</v>
      </c>
      <c r="C7" s="2741">
        <f ca="1">ROUND(C23*I7,0)</f>
        <v>4289</v>
      </c>
      <c r="D7" s="2742"/>
      <c r="E7" s="2742"/>
      <c r="F7" s="2743"/>
      <c r="G7" s="2744" t="s">
        <v>727</v>
      </c>
      <c r="H7" s="2746" t="s">
        <v>728</v>
      </c>
      <c r="I7" s="2832">
        <v>1</v>
      </c>
      <c r="K7" s="2829"/>
      <c r="L7" s="2830" t="s">
        <v>729</v>
      </c>
      <c r="M7" s="2831">
        <v>100</v>
      </c>
      <c r="N7" s="2831" t="s">
        <v>730</v>
      </c>
      <c r="O7" s="2831">
        <v>80</v>
      </c>
      <c r="P7" s="2833">
        <v>0.3</v>
      </c>
    </row>
    <row r="8" s="2731" customFormat="1" ht="18" customHeight="1" spans="1:16">
      <c r="A8" s="2739" t="s">
        <v>731</v>
      </c>
      <c r="B8" s="2746" t="s">
        <v>732</v>
      </c>
      <c r="C8" s="2741">
        <f>ROUND(I8*I3,0)</f>
        <v>3131</v>
      </c>
      <c r="D8" s="2742"/>
      <c r="E8" s="2742"/>
      <c r="F8" s="2743"/>
      <c r="G8" s="2744" t="s">
        <v>733</v>
      </c>
      <c r="H8" s="2746" t="s">
        <v>734</v>
      </c>
      <c r="I8" s="2744">
        <f>'数据-取费表'!L6</f>
        <v>3131</v>
      </c>
      <c r="J8" s="2834">
        <f t="shared" ref="J8:J10" si="0">D36</f>
        <v>9.33</v>
      </c>
      <c r="K8" s="2829"/>
      <c r="L8" s="2830" t="s">
        <v>735</v>
      </c>
      <c r="M8" s="2831">
        <v>100</v>
      </c>
      <c r="N8" s="2831" t="s">
        <v>730</v>
      </c>
      <c r="O8" s="2831">
        <v>80</v>
      </c>
      <c r="P8" s="2833">
        <v>0.5</v>
      </c>
    </row>
    <row r="9" s="2731" customFormat="1" ht="18" customHeight="1" spans="1:16">
      <c r="A9" s="2739" t="s">
        <v>736</v>
      </c>
      <c r="B9" s="2746" t="s">
        <v>737</v>
      </c>
      <c r="C9" s="2741">
        <f>ROUND(C8*H9,0)</f>
        <v>94</v>
      </c>
      <c r="D9" s="2742"/>
      <c r="E9" s="2742"/>
      <c r="F9" s="2743"/>
      <c r="G9" s="2744" t="s">
        <v>738</v>
      </c>
      <c r="H9" s="2761">
        <v>0.03</v>
      </c>
      <c r="I9" s="2761"/>
      <c r="J9" s="2834">
        <f ca="1" t="shared" si="0"/>
        <v>0.65</v>
      </c>
      <c r="K9" s="2829"/>
      <c r="L9" s="2830" t="s">
        <v>739</v>
      </c>
      <c r="M9" s="2831">
        <v>100</v>
      </c>
      <c r="N9" s="2831" t="s">
        <v>730</v>
      </c>
      <c r="O9" s="2831">
        <v>80</v>
      </c>
      <c r="P9" s="2833">
        <f>1-P7-P8</f>
        <v>0.2</v>
      </c>
    </row>
    <row r="10" s="2731" customFormat="1" ht="18" customHeight="1" spans="1:16">
      <c r="A10" s="2739" t="s">
        <v>740</v>
      </c>
      <c r="B10" s="2746" t="s">
        <v>741</v>
      </c>
      <c r="C10" s="2741">
        <f>ROUND(C8*H10,0)</f>
        <v>0</v>
      </c>
      <c r="D10" s="2742"/>
      <c r="E10" s="2742"/>
      <c r="F10" s="2743"/>
      <c r="G10" s="2744" t="s">
        <v>738</v>
      </c>
      <c r="H10" s="2761">
        <v>0</v>
      </c>
      <c r="I10" s="2761"/>
      <c r="J10" s="2834">
        <f ca="1" t="shared" si="0"/>
        <v>5</v>
      </c>
      <c r="K10" s="2829"/>
      <c r="L10" s="2835" t="s">
        <v>718</v>
      </c>
      <c r="M10" s="2836">
        <f>1-M5</f>
        <v>0.5</v>
      </c>
      <c r="N10" s="2831" t="s">
        <v>716</v>
      </c>
      <c r="O10" s="2837">
        <f>ROUND((O7*P7+O8*P8+O9*P9)/100,2)</f>
        <v>0.8</v>
      </c>
      <c r="P10" s="2838"/>
    </row>
    <row r="11" s="2731" customFormat="1" ht="29.25" customHeight="1" spans="1:12">
      <c r="A11" s="2739" t="s">
        <v>742</v>
      </c>
      <c r="B11" s="2746" t="s">
        <v>743</v>
      </c>
      <c r="C11" s="2741">
        <f>ROUND(I11*I3,0)</f>
        <v>200</v>
      </c>
      <c r="D11" s="2742"/>
      <c r="E11" s="2742"/>
      <c r="F11" s="2743"/>
      <c r="G11" s="2744" t="s">
        <v>744</v>
      </c>
      <c r="H11" s="2746" t="s">
        <v>745</v>
      </c>
      <c r="I11" s="2744">
        <v>200</v>
      </c>
      <c r="J11" s="2826"/>
      <c r="K11" s="2737"/>
      <c r="L11" s="2737"/>
    </row>
    <row r="12" s="2731" customFormat="1" ht="18" customHeight="1" spans="1:12">
      <c r="A12" s="2739" t="s">
        <v>746</v>
      </c>
      <c r="B12" s="2746" t="s">
        <v>747</v>
      </c>
      <c r="C12" s="2741">
        <f>ROUND(C8*H12,0)</f>
        <v>47</v>
      </c>
      <c r="D12" s="2742"/>
      <c r="E12" s="2742"/>
      <c r="F12" s="2743"/>
      <c r="G12" s="2744" t="s">
        <v>738</v>
      </c>
      <c r="H12" s="2761">
        <v>0.015</v>
      </c>
      <c r="I12" s="2761"/>
      <c r="J12" s="2839" t="s">
        <v>748</v>
      </c>
      <c r="L12" s="2840"/>
    </row>
    <row r="13" s="2731" customFormat="1" ht="18" customHeight="1" spans="1:12">
      <c r="A13" s="2739" t="s">
        <v>749</v>
      </c>
      <c r="B13" s="2746" t="s">
        <v>750</v>
      </c>
      <c r="C13" s="2741">
        <f>SUM(C8:F12)</f>
        <v>3472</v>
      </c>
      <c r="D13" s="2742"/>
      <c r="E13" s="2742"/>
      <c r="F13" s="2743"/>
      <c r="G13" s="2744" t="s">
        <v>751</v>
      </c>
      <c r="H13" s="2744"/>
      <c r="I13" s="2744"/>
      <c r="J13" s="2839" t="s">
        <v>752</v>
      </c>
      <c r="L13" s="2840"/>
    </row>
    <row r="14" s="2731" customFormat="1" ht="18" customHeight="1" spans="1:12">
      <c r="A14" s="2739" t="s">
        <v>753</v>
      </c>
      <c r="B14" s="2746" t="s">
        <v>754</v>
      </c>
      <c r="C14" s="2741">
        <f>ROUND(C13*H14,0)</f>
        <v>35</v>
      </c>
      <c r="D14" s="2742"/>
      <c r="E14" s="2742"/>
      <c r="F14" s="2743"/>
      <c r="G14" s="2744" t="s">
        <v>755</v>
      </c>
      <c r="H14" s="2762">
        <v>0.01</v>
      </c>
      <c r="I14" s="2762"/>
      <c r="J14" s="2826"/>
      <c r="L14" s="2840"/>
    </row>
    <row r="15" s="2731" customFormat="1" ht="18" customHeight="1" spans="1:11">
      <c r="A15" s="2739" t="s">
        <v>756</v>
      </c>
      <c r="B15" s="2746" t="s">
        <v>757</v>
      </c>
      <c r="C15" s="2763">
        <f>H15</f>
        <v>0.01</v>
      </c>
      <c r="D15" s="2764"/>
      <c r="E15" s="2765" t="str">
        <f>E18</f>
        <v>V</v>
      </c>
      <c r="F15" s="2766"/>
      <c r="G15" s="2744" t="s">
        <v>758</v>
      </c>
      <c r="H15" s="2762">
        <v>0.01</v>
      </c>
      <c r="I15" s="2762"/>
      <c r="J15" s="2841"/>
      <c r="K15" s="2842"/>
    </row>
    <row r="16" s="2731" customFormat="1" ht="18" customHeight="1" spans="1:11">
      <c r="A16" s="2767" t="s">
        <v>759</v>
      </c>
      <c r="B16" s="2768" t="s">
        <v>760</v>
      </c>
      <c r="C16" s="2741">
        <f ca="1">C17</f>
        <v>153</v>
      </c>
      <c r="D16" s="2742" t="s">
        <v>761</v>
      </c>
      <c r="E16" s="2769">
        <f ca="1">C18</f>
        <v>0.000435</v>
      </c>
      <c r="F16" s="2766" t="str">
        <f>E18</f>
        <v>V</v>
      </c>
      <c r="G16" s="2741" t="s">
        <v>762</v>
      </c>
      <c r="H16" s="2742"/>
      <c r="I16" s="2743"/>
      <c r="J16" s="2826"/>
      <c r="K16" s="2737"/>
    </row>
    <row r="17" s="2731" customFormat="1" ht="18" customHeight="1" spans="1:12">
      <c r="A17" s="2739" t="s">
        <v>763</v>
      </c>
      <c r="B17" s="2746" t="s">
        <v>764</v>
      </c>
      <c r="C17" s="2741">
        <f ca="1">ROUND((C13+C14)*I18*(I17/2),0)</f>
        <v>153</v>
      </c>
      <c r="D17" s="2742"/>
      <c r="E17" s="2742"/>
      <c r="F17" s="2743"/>
      <c r="G17" s="2741" t="s">
        <v>765</v>
      </c>
      <c r="H17" s="2746" t="s">
        <v>766</v>
      </c>
      <c r="I17" s="2843">
        <v>2</v>
      </c>
      <c r="J17" s="2839" t="s">
        <v>767</v>
      </c>
      <c r="K17" s="2737"/>
      <c r="L17" s="2737"/>
    </row>
    <row r="18" s="2731" customFormat="1" ht="18" customHeight="1" spans="1:12">
      <c r="A18" s="2739" t="s">
        <v>768</v>
      </c>
      <c r="B18" s="2746" t="s">
        <v>769</v>
      </c>
      <c r="C18" s="2770">
        <f ca="1">H15*I18*I17/2</f>
        <v>0.000435</v>
      </c>
      <c r="D18" s="2771"/>
      <c r="E18" s="2765" t="s">
        <v>770</v>
      </c>
      <c r="F18" s="2766"/>
      <c r="G18" s="2741" t="s">
        <v>771</v>
      </c>
      <c r="H18" s="2746" t="s">
        <v>772</v>
      </c>
      <c r="I18" s="2844">
        <f ca="1">'数据-取费表'!B40</f>
        <v>0.0435</v>
      </c>
      <c r="J18" s="2839" t="s">
        <v>773</v>
      </c>
      <c r="K18" s="2737"/>
      <c r="L18" s="2737"/>
    </row>
    <row r="19" s="2731" customFormat="1" ht="27" customHeight="1" spans="1:12">
      <c r="A19" s="2739" t="s">
        <v>774</v>
      </c>
      <c r="B19" s="2746" t="s">
        <v>775</v>
      </c>
      <c r="C19" s="2741">
        <f>C20</f>
        <v>351</v>
      </c>
      <c r="D19" s="2742" t="s">
        <v>761</v>
      </c>
      <c r="E19" s="2742">
        <f>C21</f>
        <v>0.001</v>
      </c>
      <c r="F19" s="2766" t="str">
        <f>E21</f>
        <v>V</v>
      </c>
      <c r="G19" s="2741" t="s">
        <v>776</v>
      </c>
      <c r="H19" s="2742"/>
      <c r="I19" s="2743"/>
      <c r="J19" s="2826"/>
      <c r="K19" s="2737"/>
      <c r="L19" s="2737"/>
    </row>
    <row r="20" s="2731" customFormat="1" ht="26.25" customHeight="1" spans="1:12">
      <c r="A20" s="2739" t="s">
        <v>777</v>
      </c>
      <c r="B20" s="2746" t="s">
        <v>778</v>
      </c>
      <c r="C20" s="2741">
        <f>ROUND((C13+C14)*I20,0)</f>
        <v>351</v>
      </c>
      <c r="D20" s="2742"/>
      <c r="E20" s="2742"/>
      <c r="F20" s="2743"/>
      <c r="G20" s="2744" t="s">
        <v>779</v>
      </c>
      <c r="H20" s="2772" t="s">
        <v>780</v>
      </c>
      <c r="I20" s="2845">
        <v>0.1</v>
      </c>
      <c r="J20" s="2839" t="s">
        <v>781</v>
      </c>
      <c r="K20" s="2737"/>
      <c r="L20" s="2737"/>
    </row>
    <row r="21" s="2731" customFormat="1" ht="27" customHeight="1" spans="1:12">
      <c r="A21" s="2739" t="s">
        <v>777</v>
      </c>
      <c r="B21" s="2746" t="s">
        <v>782</v>
      </c>
      <c r="C21" s="2773">
        <f>H15*I20</f>
        <v>0.001</v>
      </c>
      <c r="D21" s="2774"/>
      <c r="E21" s="2765" t="s">
        <v>770</v>
      </c>
      <c r="F21" s="2766"/>
      <c r="G21" s="2744" t="s">
        <v>783</v>
      </c>
      <c r="H21" s="2775"/>
      <c r="I21" s="2845"/>
      <c r="J21" s="2826"/>
      <c r="K21" s="2737"/>
      <c r="L21" s="2737"/>
    </row>
    <row r="22" s="2731" customFormat="1" ht="18" customHeight="1" spans="1:12">
      <c r="A22" s="2739" t="s">
        <v>784</v>
      </c>
      <c r="B22" s="2746" t="s">
        <v>785</v>
      </c>
      <c r="C22" s="2773">
        <f>ROUND(H22/1.05,4)</f>
        <v>0.0533</v>
      </c>
      <c r="D22" s="2774"/>
      <c r="E22" s="2765" t="s">
        <v>770</v>
      </c>
      <c r="F22" s="2766"/>
      <c r="G22" s="2744" t="s">
        <v>786</v>
      </c>
      <c r="H22" s="2761">
        <v>0.056</v>
      </c>
      <c r="I22" s="2761"/>
      <c r="J22" s="2846"/>
      <c r="K22" s="2737"/>
      <c r="L22" s="2737"/>
    </row>
    <row r="23" s="2731" customFormat="1" ht="18" customHeight="1" spans="1:12">
      <c r="A23" s="2739" t="s">
        <v>787</v>
      </c>
      <c r="B23" s="2746" t="s">
        <v>788</v>
      </c>
      <c r="C23" s="2741">
        <f ca="1">ROUND((C13+C14+C17+C20)/(1-H15-C18-C21-C22),0)</f>
        <v>4289</v>
      </c>
      <c r="D23" s="2742"/>
      <c r="E23" s="2742"/>
      <c r="F23" s="2743"/>
      <c r="G23" s="2741" t="s">
        <v>789</v>
      </c>
      <c r="H23" s="2742"/>
      <c r="I23" s="2743"/>
      <c r="J23" s="2846"/>
      <c r="K23" s="2737"/>
      <c r="L23" s="2737"/>
    </row>
    <row r="24" s="2731" customFormat="1" ht="18" customHeight="1" spans="1:12">
      <c r="A24" s="2739" t="s">
        <v>790</v>
      </c>
      <c r="B24" s="2746" t="s">
        <v>791</v>
      </c>
      <c r="C24" s="2763">
        <f ca="1">C27+C28</f>
        <v>47</v>
      </c>
      <c r="D24" s="2776" t="s">
        <v>792</v>
      </c>
      <c r="E24" s="2777">
        <f>H29+E26+H25</f>
        <v>0.186</v>
      </c>
      <c r="F24" s="2778"/>
      <c r="G24" s="2744" t="s">
        <v>793</v>
      </c>
      <c r="H24" s="2744"/>
      <c r="I24" s="2744"/>
      <c r="J24" s="2846"/>
      <c r="K24" s="2737"/>
      <c r="L24" s="2737"/>
    </row>
    <row r="25" s="2731" customFormat="1" ht="18" customHeight="1" spans="1:12">
      <c r="A25" s="2739" t="s">
        <v>749</v>
      </c>
      <c r="B25" s="2746" t="s">
        <v>794</v>
      </c>
      <c r="C25" s="2763" t="s">
        <v>795</v>
      </c>
      <c r="D25" s="2764"/>
      <c r="E25" s="2779">
        <f>ROUND(H25/1.05,4)</f>
        <v>0.0533</v>
      </c>
      <c r="F25" s="2780"/>
      <c r="G25" s="2744" t="s">
        <v>796</v>
      </c>
      <c r="H25" s="2781">
        <v>0.056</v>
      </c>
      <c r="I25" s="2781"/>
      <c r="J25" s="2841"/>
      <c r="K25" s="2737"/>
      <c r="L25" s="2737"/>
    </row>
    <row r="26" s="2731" customFormat="1" ht="18" customHeight="1" spans="1:12">
      <c r="A26" s="2739" t="s">
        <v>753</v>
      </c>
      <c r="B26" s="2746" t="s">
        <v>797</v>
      </c>
      <c r="C26" s="2763" t="s">
        <v>795</v>
      </c>
      <c r="D26" s="2764"/>
      <c r="E26" s="2782">
        <v>0.12</v>
      </c>
      <c r="F26" s="2778"/>
      <c r="G26" s="2744"/>
      <c r="H26" s="2783">
        <v>0.12</v>
      </c>
      <c r="I26" s="2847"/>
      <c r="J26" s="2848"/>
      <c r="K26" s="2737"/>
      <c r="L26" s="2737"/>
    </row>
    <row r="27" s="2731" customFormat="1" ht="18" customHeight="1" spans="1:12">
      <c r="A27" s="2739" t="s">
        <v>756</v>
      </c>
      <c r="B27" s="2746" t="s">
        <v>798</v>
      </c>
      <c r="C27" s="2741">
        <f ca="1">ROUND(C23*H27,0)</f>
        <v>43</v>
      </c>
      <c r="D27" s="2742"/>
      <c r="E27" s="2742"/>
      <c r="F27" s="2743"/>
      <c r="G27" s="2744" t="s">
        <v>799</v>
      </c>
      <c r="H27" s="2784">
        <v>0.01</v>
      </c>
      <c r="I27" s="2784"/>
      <c r="J27" s="2849" t="s">
        <v>800</v>
      </c>
      <c r="K27" s="2737"/>
      <c r="L27" s="2737"/>
    </row>
    <row r="28" s="2731" customFormat="1" ht="18" customHeight="1" spans="1:12">
      <c r="A28" s="2739" t="s">
        <v>759</v>
      </c>
      <c r="B28" s="2746" t="s">
        <v>801</v>
      </c>
      <c r="C28" s="2741">
        <f ca="1">ROUND(C7*H28,0)</f>
        <v>4</v>
      </c>
      <c r="D28" s="2742"/>
      <c r="E28" s="2742"/>
      <c r="F28" s="2743"/>
      <c r="G28" s="2744" t="s">
        <v>802</v>
      </c>
      <c r="H28" s="2785">
        <v>0.001</v>
      </c>
      <c r="I28" s="2785"/>
      <c r="J28" s="2850"/>
      <c r="K28" s="2737"/>
      <c r="L28" s="2737"/>
    </row>
    <row r="29" s="2731" customFormat="1" ht="18" customHeight="1" spans="1:12">
      <c r="A29" s="2739" t="s">
        <v>774</v>
      </c>
      <c r="B29" s="2746" t="s">
        <v>754</v>
      </c>
      <c r="C29" s="2763" t="s">
        <v>795</v>
      </c>
      <c r="D29" s="2764"/>
      <c r="E29" s="2782">
        <f>H29</f>
        <v>0.01</v>
      </c>
      <c r="F29" s="2778"/>
      <c r="G29" s="2744" t="s">
        <v>803</v>
      </c>
      <c r="H29" s="2784">
        <v>0.01</v>
      </c>
      <c r="I29" s="2784"/>
      <c r="J29" s="2851"/>
      <c r="K29" s="2737"/>
      <c r="L29" s="2737"/>
    </row>
    <row r="30" s="2731" customFormat="1" ht="18" customHeight="1" spans="1:12">
      <c r="A30" s="2745" t="s">
        <v>804</v>
      </c>
      <c r="B30" s="2746" t="s">
        <v>805</v>
      </c>
      <c r="C30" s="2741">
        <f ca="1">ROUND((C4+C24)/(1-E24),0)</f>
        <v>201</v>
      </c>
      <c r="D30" s="2742"/>
      <c r="E30" s="2742"/>
      <c r="F30" s="2743"/>
      <c r="G30" s="2745" t="s">
        <v>806</v>
      </c>
      <c r="H30" s="2745"/>
      <c r="I30" s="2745"/>
      <c r="J30" s="2852"/>
      <c r="K30" s="2737"/>
      <c r="L30" s="2737"/>
    </row>
    <row r="31" s="2731" customFormat="1" ht="18" customHeight="1" spans="1:12">
      <c r="A31" s="2745" t="s">
        <v>807</v>
      </c>
      <c r="B31" s="2746" t="s">
        <v>808</v>
      </c>
      <c r="C31" s="2786">
        <f ca="1">ROUND(C30/I31/I32/I3,2)</f>
        <v>0.65</v>
      </c>
      <c r="D31" s="2787"/>
      <c r="E31" s="2787"/>
      <c r="F31" s="2788"/>
      <c r="G31" s="2744" t="s">
        <v>809</v>
      </c>
      <c r="H31" s="2746" t="s">
        <v>810</v>
      </c>
      <c r="I31" s="2744">
        <v>365</v>
      </c>
      <c r="J31" s="2826"/>
      <c r="K31" s="2737"/>
      <c r="L31" s="2737"/>
    </row>
    <row r="32" s="2731" customFormat="1" ht="18" customHeight="1" spans="1:12">
      <c r="A32" s="2745"/>
      <c r="B32" s="2746"/>
      <c r="C32" s="2789"/>
      <c r="D32" s="2790"/>
      <c r="E32" s="2790"/>
      <c r="F32" s="2791"/>
      <c r="G32" s="2744"/>
      <c r="H32" s="2746" t="s">
        <v>811</v>
      </c>
      <c r="I32" s="2845">
        <v>0.85</v>
      </c>
      <c r="J32" s="2846"/>
      <c r="K32" s="2732"/>
      <c r="L32" s="2732"/>
    </row>
    <row r="33" s="2731" customFormat="1" ht="18" customHeight="1" spans="1:12">
      <c r="A33" s="2732"/>
      <c r="B33" s="2792"/>
      <c r="C33" s="2793"/>
      <c r="D33" s="2793"/>
      <c r="E33" s="2793"/>
      <c r="F33" s="2793"/>
      <c r="G33" s="2794"/>
      <c r="H33" s="2795"/>
      <c r="I33" s="2732"/>
      <c r="J33" s="2736"/>
      <c r="K33" s="2732"/>
      <c r="L33" s="2732"/>
    </row>
    <row r="34" s="2731" customFormat="1" ht="18" customHeight="1" spans="1:13">
      <c r="A34" s="2732"/>
      <c r="B34" s="2796" t="s">
        <v>812</v>
      </c>
      <c r="C34" s="2796"/>
      <c r="D34" s="2796"/>
      <c r="E34" s="2796"/>
      <c r="F34" s="2796"/>
      <c r="G34" s="2797"/>
      <c r="H34" s="2798"/>
      <c r="I34" s="2732"/>
      <c r="J34" s="2853">
        <f ca="1">C31*0.5</f>
        <v>0.325</v>
      </c>
      <c r="K34" s="2732"/>
      <c r="L34" s="2732"/>
      <c r="M34" s="2732"/>
    </row>
    <row r="35" s="2731" customFormat="1" ht="18" customHeight="1" spans="1:13">
      <c r="A35" s="2732"/>
      <c r="B35" s="2799" t="s">
        <v>813</v>
      </c>
      <c r="C35" s="2800" t="s">
        <v>718</v>
      </c>
      <c r="D35" s="2800" t="s">
        <v>814</v>
      </c>
      <c r="E35" s="2800"/>
      <c r="F35" s="2800"/>
      <c r="G35" s="2797"/>
      <c r="H35" s="2801" t="s">
        <v>815</v>
      </c>
      <c r="I35" s="2854"/>
      <c r="J35" s="2853">
        <f ca="1">C31*0.4</f>
        <v>0.26</v>
      </c>
      <c r="K35" s="2732"/>
      <c r="L35" s="2732"/>
      <c r="M35" s="2732"/>
    </row>
    <row r="36" spans="2:12">
      <c r="B36" s="2799" t="s">
        <v>816</v>
      </c>
      <c r="C36" s="2802">
        <v>0.5</v>
      </c>
      <c r="D36" s="2803">
        <f>[2]比较法—租金!N39</f>
        <v>9.33</v>
      </c>
      <c r="E36" s="2803"/>
      <c r="F36" s="2803"/>
      <c r="G36" s="2797">
        <f ca="1">(D36-D37)/D37</f>
        <v>13.3538461538462</v>
      </c>
      <c r="H36" s="2801" t="s">
        <v>817</v>
      </c>
      <c r="I36" s="2855"/>
      <c r="J36" s="2732"/>
      <c r="K36" s="2732"/>
      <c r="L36" s="2732"/>
    </row>
    <row r="37" ht="20.1" customHeight="1" spans="2:12">
      <c r="B37" s="2799" t="s">
        <v>697</v>
      </c>
      <c r="C37" s="2802">
        <f>1-C36</f>
        <v>0.5</v>
      </c>
      <c r="D37" s="2803">
        <f ca="1">C31</f>
        <v>0.65</v>
      </c>
      <c r="E37" s="2803"/>
      <c r="F37" s="2803"/>
      <c r="G37" s="2797"/>
      <c r="H37" s="2798"/>
      <c r="J37" s="2732"/>
      <c r="K37" s="2732"/>
      <c r="L37" s="2732"/>
    </row>
    <row r="38" ht="22.5" customHeight="1" spans="2:10">
      <c r="B38" s="2799" t="s">
        <v>818</v>
      </c>
      <c r="C38" s="2799"/>
      <c r="D38" s="2804">
        <f ca="1">ROUND(C36*D36+C37*D37,1)</f>
        <v>5</v>
      </c>
      <c r="E38" s="2804"/>
      <c r="F38" s="2804"/>
      <c r="G38" s="2797"/>
      <c r="H38" s="2798"/>
      <c r="J38" s="2732"/>
    </row>
    <row r="39" ht="22.5" customHeight="1" spans="2:10">
      <c r="B39" s="2799" t="s">
        <v>819</v>
      </c>
      <c r="C39" s="2799">
        <f ca="1">ROUND(D38*0.9,1)</f>
        <v>4.5</v>
      </c>
      <c r="D39" s="2804" t="s">
        <v>820</v>
      </c>
      <c r="E39" s="2804">
        <f ca="1">ROUND(D38*1.1,1)</f>
        <v>5.5</v>
      </c>
      <c r="F39" s="2804"/>
      <c r="G39" s="2797" t="s">
        <v>821</v>
      </c>
      <c r="H39" s="2805">
        <v>11.48</v>
      </c>
      <c r="J39" s="2732"/>
    </row>
    <row r="40" ht="18" customHeight="1" spans="2:8">
      <c r="B40" s="2799" t="s">
        <v>822</v>
      </c>
      <c r="C40" s="2799">
        <f ca="1">ROUND(C39+H40,1)</f>
        <v>4.5</v>
      </c>
      <c r="D40" s="2804" t="s">
        <v>820</v>
      </c>
      <c r="E40" s="2804">
        <f ca="1">ROUND(E39+H40,1)</f>
        <v>5.5</v>
      </c>
      <c r="F40" s="2804"/>
      <c r="G40" s="2806" t="s">
        <v>823</v>
      </c>
      <c r="H40" s="2806"/>
    </row>
    <row r="41" ht="18" customHeight="1" spans="2:8">
      <c r="B41" s="2807"/>
      <c r="C41" s="2808"/>
      <c r="D41" s="2809"/>
      <c r="E41" s="2809"/>
      <c r="F41" s="2809"/>
      <c r="G41" s="2797"/>
      <c r="H41" s="2798"/>
    </row>
    <row r="42" ht="18" customHeight="1" spans="2:8">
      <c r="B42" s="2797" t="s">
        <v>824</v>
      </c>
      <c r="C42" s="2809"/>
      <c r="D42" s="2809"/>
      <c r="E42" s="2797" t="s">
        <v>825</v>
      </c>
      <c r="F42" s="2809"/>
      <c r="G42" s="2797"/>
      <c r="H42" s="2797" t="s">
        <v>826</v>
      </c>
    </row>
    <row r="43" ht="29.25" customHeight="1"/>
    <row r="44" spans="2:7">
      <c r="B44" s="2810" t="s">
        <v>827</v>
      </c>
      <c r="C44" s="2810"/>
      <c r="D44" s="2810"/>
      <c r="E44" s="2811"/>
      <c r="F44" s="2812" t="s">
        <v>828</v>
      </c>
      <c r="G44" s="2813"/>
    </row>
    <row r="45" spans="2:7">
      <c r="B45" s="2814" t="s">
        <v>829</v>
      </c>
      <c r="C45" s="2810" t="s">
        <v>830</v>
      </c>
      <c r="D45" s="2810" t="s">
        <v>831</v>
      </c>
      <c r="E45" s="2811" t="s">
        <v>832</v>
      </c>
      <c r="F45" s="2812"/>
      <c r="G45" s="2813"/>
    </row>
    <row r="46" spans="2:7">
      <c r="B46" s="2810">
        <v>0.5</v>
      </c>
      <c r="C46" s="2810">
        <v>0.8</v>
      </c>
      <c r="D46" s="2810">
        <v>0.8</v>
      </c>
      <c r="E46" s="2811">
        <v>0.25</v>
      </c>
      <c r="F46" s="2810">
        <f ca="1">F47*B46*C46*D46-F47*E46</f>
        <v>2498.51</v>
      </c>
      <c r="G46" s="2813" t="s">
        <v>833</v>
      </c>
    </row>
    <row r="47" spans="2:7">
      <c r="B47" s="2813"/>
      <c r="C47" s="2813"/>
      <c r="D47" s="2813"/>
      <c r="E47" s="2815"/>
      <c r="F47" s="2810">
        <f ca="1">系统读取表!E14</f>
        <v>35693</v>
      </c>
      <c r="G47" s="2816"/>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9" workbookViewId="0">
      <selection activeCell="C11" sqref="C11:F11"/>
    </sheetView>
  </sheetViews>
  <sheetFormatPr defaultColWidth="9" defaultRowHeight="13.5"/>
  <cols>
    <col min="1" max="1" width="6.375" style="2732" customWidth="1"/>
    <col min="2" max="2" width="19.375" style="2733" customWidth="1"/>
    <col min="3" max="3" width="6.125" style="2734" customWidth="1"/>
    <col min="4" max="4" width="6.375" style="2734" customWidth="1"/>
    <col min="5" max="5" width="7.375" style="2734" customWidth="1"/>
    <col min="6" max="6" width="16" style="2734" customWidth="1"/>
    <col min="7" max="7" width="19.375" style="2735" customWidth="1"/>
    <col min="8" max="8" width="19.5" style="2732" customWidth="1"/>
    <col min="9" max="9" width="8.625" style="2732" customWidth="1"/>
    <col min="10" max="10" width="10.5" style="2736" customWidth="1"/>
    <col min="11" max="11" width="4.875" style="2737" customWidth="1"/>
    <col min="12" max="12" width="16.375" style="2737" customWidth="1"/>
    <col min="13" max="16" width="8.125" style="2732" customWidth="1"/>
    <col min="17" max="16384" width="9" style="2732"/>
  </cols>
  <sheetData>
    <row r="1" spans="1:15">
      <c r="A1" s="2738" t="s">
        <v>697</v>
      </c>
      <c r="B1" s="2738"/>
      <c r="C1" s="2738"/>
      <c r="D1" s="2738"/>
      <c r="E1" s="2738"/>
      <c r="F1" s="2738"/>
      <c r="G1" s="2738"/>
      <c r="H1" s="2738"/>
      <c r="I1" s="2738"/>
      <c r="K1" s="2817" t="s">
        <v>698</v>
      </c>
      <c r="L1" s="2818" t="s">
        <v>699</v>
      </c>
      <c r="M1" s="2819">
        <v>0</v>
      </c>
      <c r="N1" s="18"/>
      <c r="O1" s="18"/>
    </row>
    <row r="2" ht="15.75" customHeight="1" spans="1:15">
      <c r="A2" s="2739" t="s">
        <v>700</v>
      </c>
      <c r="B2" s="2740" t="s">
        <v>701</v>
      </c>
      <c r="C2" s="2741" t="s">
        <v>702</v>
      </c>
      <c r="D2" s="2742"/>
      <c r="E2" s="2742"/>
      <c r="F2" s="2743"/>
      <c r="G2" s="2744" t="s">
        <v>703</v>
      </c>
      <c r="H2" s="2744" t="s">
        <v>704</v>
      </c>
      <c r="I2" s="2744"/>
      <c r="K2" s="2817"/>
      <c r="L2" s="2818" t="s">
        <v>705</v>
      </c>
      <c r="M2" s="2820" t="s">
        <v>706</v>
      </c>
      <c r="N2" s="2821"/>
      <c r="O2" s="2821"/>
    </row>
    <row r="3" spans="1:15">
      <c r="A3" s="2745" t="s">
        <v>707</v>
      </c>
      <c r="B3" s="2746" t="s">
        <v>325</v>
      </c>
      <c r="C3" s="2747">
        <f ca="1">'收益法倒推租金-酒店'!F46</f>
        <v>1082.97</v>
      </c>
      <c r="D3" s="2748"/>
      <c r="E3" s="2748"/>
      <c r="F3" s="2749"/>
      <c r="G3" s="2745" t="s">
        <v>708</v>
      </c>
      <c r="H3" s="2750" t="s">
        <v>709</v>
      </c>
      <c r="I3" s="2822">
        <f>1</f>
        <v>1</v>
      </c>
      <c r="K3" s="2817"/>
      <c r="L3" s="2818" t="s">
        <v>710</v>
      </c>
      <c r="M3" s="2820" t="s">
        <v>711</v>
      </c>
      <c r="N3" s="2821"/>
      <c r="O3" s="2823"/>
    </row>
    <row r="4" spans="1:15">
      <c r="A4" s="2745" t="s">
        <v>712</v>
      </c>
      <c r="B4" s="2746" t="s">
        <v>713</v>
      </c>
      <c r="C4" s="2751">
        <f ca="1">ROUND(C3*(I4-I6)/(1-((1+I6)/(1+I4))^I5),0)</f>
        <v>51</v>
      </c>
      <c r="D4" s="2752"/>
      <c r="E4" s="2752"/>
      <c r="F4" s="2753"/>
      <c r="G4" s="2745" t="s">
        <v>714</v>
      </c>
      <c r="H4" s="2754" t="s">
        <v>715</v>
      </c>
      <c r="I4" s="2762">
        <f>'数据-取费表'!J6</f>
        <v>0.04</v>
      </c>
      <c r="K4" s="2817"/>
      <c r="L4" s="2818" t="s">
        <v>716</v>
      </c>
      <c r="M4" s="2824">
        <f>ROUND(1-(1-M1)*M2/M3,2)</f>
        <v>0.55</v>
      </c>
      <c r="N4" s="2821"/>
      <c r="O4" s="2821"/>
    </row>
    <row r="5" s="2731" customFormat="1" ht="18" customHeight="1" spans="1:15">
      <c r="A5" s="2745"/>
      <c r="B5" s="2746"/>
      <c r="C5" s="2755"/>
      <c r="D5" s="2756"/>
      <c r="E5" s="2756"/>
      <c r="F5" s="2757"/>
      <c r="G5" s="2745"/>
      <c r="H5" s="2746" t="s">
        <v>717</v>
      </c>
      <c r="I5" s="2825">
        <v>40</v>
      </c>
      <c r="J5" s="2826"/>
      <c r="K5" s="2817"/>
      <c r="L5" s="2818" t="s">
        <v>718</v>
      </c>
      <c r="M5" s="2827">
        <v>0.5</v>
      </c>
      <c r="N5" s="2821"/>
      <c r="O5" s="2821"/>
    </row>
    <row r="6" s="2731" customFormat="1" ht="18" customHeight="1" spans="1:16">
      <c r="A6" s="2745"/>
      <c r="B6" s="2746"/>
      <c r="C6" s="2758"/>
      <c r="D6" s="2759"/>
      <c r="E6" s="2759"/>
      <c r="F6" s="2760"/>
      <c r="G6" s="2745"/>
      <c r="H6" s="2746" t="s">
        <v>719</v>
      </c>
      <c r="I6" s="2762">
        <v>0.005</v>
      </c>
      <c r="J6" s="2828"/>
      <c r="K6" s="2829" t="s">
        <v>720</v>
      </c>
      <c r="L6" s="2830" t="s">
        <v>721</v>
      </c>
      <c r="M6" s="2831" t="s">
        <v>722</v>
      </c>
      <c r="N6" s="2831" t="s">
        <v>723</v>
      </c>
      <c r="O6" s="2831" t="s">
        <v>724</v>
      </c>
      <c r="P6" s="2831" t="s">
        <v>718</v>
      </c>
    </row>
    <row r="7" s="2731" customFormat="1" ht="17.25" customHeight="1" spans="1:16">
      <c r="A7" s="2745" t="s">
        <v>725</v>
      </c>
      <c r="B7" s="2746" t="s">
        <v>726</v>
      </c>
      <c r="C7" s="2741">
        <f ca="1">ROUND(C23*I7,0)</f>
        <v>4119</v>
      </c>
      <c r="D7" s="2742"/>
      <c r="E7" s="2742"/>
      <c r="F7" s="2743"/>
      <c r="G7" s="2744" t="s">
        <v>727</v>
      </c>
      <c r="H7" s="2746" t="s">
        <v>728</v>
      </c>
      <c r="I7" s="2832">
        <v>1</v>
      </c>
      <c r="K7" s="2829"/>
      <c r="L7" s="2830" t="s">
        <v>729</v>
      </c>
      <c r="M7" s="2831">
        <v>100</v>
      </c>
      <c r="N7" s="2831" t="s">
        <v>730</v>
      </c>
      <c r="O7" s="2831">
        <v>80</v>
      </c>
      <c r="P7" s="2833">
        <v>0.3</v>
      </c>
    </row>
    <row r="8" s="2731" customFormat="1" ht="18" customHeight="1" spans="1:16">
      <c r="A8" s="2739" t="s">
        <v>731</v>
      </c>
      <c r="B8" s="2746" t="s">
        <v>732</v>
      </c>
      <c r="C8" s="2741">
        <f>ROUND(I8*I3,0)</f>
        <v>3000</v>
      </c>
      <c r="D8" s="2742"/>
      <c r="E8" s="2742"/>
      <c r="F8" s="2743"/>
      <c r="G8" s="2744" t="s">
        <v>733</v>
      </c>
      <c r="H8" s="2746" t="s">
        <v>734</v>
      </c>
      <c r="I8" s="2744">
        <f>'数据-取费表'!L8</f>
        <v>3000</v>
      </c>
      <c r="J8" s="2834">
        <f t="shared" ref="J8:J10" si="0">D36</f>
        <v>9.33</v>
      </c>
      <c r="K8" s="2829"/>
      <c r="L8" s="2830" t="s">
        <v>735</v>
      </c>
      <c r="M8" s="2831">
        <v>100</v>
      </c>
      <c r="N8" s="2831" t="s">
        <v>730</v>
      </c>
      <c r="O8" s="2831">
        <v>80</v>
      </c>
      <c r="P8" s="2833">
        <v>0.5</v>
      </c>
    </row>
    <row r="9" s="2731" customFormat="1" ht="18" customHeight="1" spans="1:16">
      <c r="A9" s="2739" t="s">
        <v>736</v>
      </c>
      <c r="B9" s="2746" t="s">
        <v>737</v>
      </c>
      <c r="C9" s="2741">
        <f>ROUND(C8*H9,0)</f>
        <v>90</v>
      </c>
      <c r="D9" s="2742"/>
      <c r="E9" s="2742"/>
      <c r="F9" s="2743"/>
      <c r="G9" s="2744" t="s">
        <v>738</v>
      </c>
      <c r="H9" s="2761">
        <v>0.03</v>
      </c>
      <c r="I9" s="2761"/>
      <c r="J9" s="2834">
        <f ca="1" t="shared" si="0"/>
        <v>0.38</v>
      </c>
      <c r="K9" s="2829"/>
      <c r="L9" s="2830" t="s">
        <v>739</v>
      </c>
      <c r="M9" s="2831">
        <v>100</v>
      </c>
      <c r="N9" s="2831" t="s">
        <v>730</v>
      </c>
      <c r="O9" s="2831">
        <v>80</v>
      </c>
      <c r="P9" s="2833">
        <f>1-P7-P8</f>
        <v>0.2</v>
      </c>
    </row>
    <row r="10" s="2731" customFormat="1" ht="18" customHeight="1" spans="1:16">
      <c r="A10" s="2739" t="s">
        <v>740</v>
      </c>
      <c r="B10" s="2746" t="s">
        <v>741</v>
      </c>
      <c r="C10" s="2741">
        <f>ROUND(C8*H10,0)</f>
        <v>0</v>
      </c>
      <c r="D10" s="2742"/>
      <c r="E10" s="2742"/>
      <c r="F10" s="2743"/>
      <c r="G10" s="2744" t="s">
        <v>738</v>
      </c>
      <c r="H10" s="2761">
        <v>0</v>
      </c>
      <c r="I10" s="2761"/>
      <c r="J10" s="2834">
        <f ca="1" t="shared" si="0"/>
        <v>4.9</v>
      </c>
      <c r="K10" s="2829"/>
      <c r="L10" s="2835" t="s">
        <v>718</v>
      </c>
      <c r="M10" s="2836">
        <f>1-M5</f>
        <v>0.5</v>
      </c>
      <c r="N10" s="2831" t="s">
        <v>716</v>
      </c>
      <c r="O10" s="2837">
        <f>ROUND((O7*P7+O8*P8+O9*P9)/100,2)</f>
        <v>0.8</v>
      </c>
      <c r="P10" s="2838"/>
    </row>
    <row r="11" s="2731" customFormat="1" ht="29.25" customHeight="1" spans="1:12">
      <c r="A11" s="2739" t="s">
        <v>742</v>
      </c>
      <c r="B11" s="2746" t="s">
        <v>743</v>
      </c>
      <c r="C11" s="2741">
        <f>ROUND(I11*I3,0)</f>
        <v>200</v>
      </c>
      <c r="D11" s="2742"/>
      <c r="E11" s="2742"/>
      <c r="F11" s="2743"/>
      <c r="G11" s="2744" t="s">
        <v>744</v>
      </c>
      <c r="H11" s="2746" t="s">
        <v>745</v>
      </c>
      <c r="I11" s="2744">
        <v>200</v>
      </c>
      <c r="J11" s="2826"/>
      <c r="K11" s="2737"/>
      <c r="L11" s="2737"/>
    </row>
    <row r="12" s="2731" customFormat="1" ht="18" customHeight="1" spans="1:12">
      <c r="A12" s="2739" t="s">
        <v>746</v>
      </c>
      <c r="B12" s="2746" t="s">
        <v>747</v>
      </c>
      <c r="C12" s="2741">
        <f>ROUND(C8*H12,0)</f>
        <v>45</v>
      </c>
      <c r="D12" s="2742"/>
      <c r="E12" s="2742"/>
      <c r="F12" s="2743"/>
      <c r="G12" s="2744" t="s">
        <v>738</v>
      </c>
      <c r="H12" s="2761">
        <v>0.015</v>
      </c>
      <c r="I12" s="2761"/>
      <c r="J12" s="2839" t="s">
        <v>748</v>
      </c>
      <c r="L12" s="2840"/>
    </row>
    <row r="13" s="2731" customFormat="1" ht="18" customHeight="1" spans="1:12">
      <c r="A13" s="2739" t="s">
        <v>749</v>
      </c>
      <c r="B13" s="2746" t="s">
        <v>750</v>
      </c>
      <c r="C13" s="2741">
        <f>SUM(C8:F12)</f>
        <v>3335</v>
      </c>
      <c r="D13" s="2742"/>
      <c r="E13" s="2742"/>
      <c r="F13" s="2743"/>
      <c r="G13" s="2744" t="s">
        <v>751</v>
      </c>
      <c r="H13" s="2744"/>
      <c r="I13" s="2744"/>
      <c r="J13" s="2839" t="s">
        <v>752</v>
      </c>
      <c r="L13" s="2840"/>
    </row>
    <row r="14" s="2731" customFormat="1" ht="18" customHeight="1" spans="1:12">
      <c r="A14" s="2739" t="s">
        <v>753</v>
      </c>
      <c r="B14" s="2746" t="s">
        <v>754</v>
      </c>
      <c r="C14" s="2741">
        <f>ROUND(C13*H14,0)</f>
        <v>33</v>
      </c>
      <c r="D14" s="2742"/>
      <c r="E14" s="2742"/>
      <c r="F14" s="2743"/>
      <c r="G14" s="2744" t="s">
        <v>755</v>
      </c>
      <c r="H14" s="2762">
        <v>0.01</v>
      </c>
      <c r="I14" s="2762"/>
      <c r="J14" s="2826"/>
      <c r="L14" s="2840"/>
    </row>
    <row r="15" s="2731" customFormat="1" ht="18" customHeight="1" spans="1:11">
      <c r="A15" s="2739" t="s">
        <v>756</v>
      </c>
      <c r="B15" s="2746" t="s">
        <v>757</v>
      </c>
      <c r="C15" s="2763">
        <f>H15</f>
        <v>0.01</v>
      </c>
      <c r="D15" s="2764"/>
      <c r="E15" s="2765" t="str">
        <f>E18</f>
        <v>V</v>
      </c>
      <c r="F15" s="2766"/>
      <c r="G15" s="2744" t="s">
        <v>758</v>
      </c>
      <c r="H15" s="2762">
        <v>0.01</v>
      </c>
      <c r="I15" s="2762"/>
      <c r="J15" s="2841"/>
      <c r="K15" s="2842"/>
    </row>
    <row r="16" s="2731" customFormat="1" ht="18" customHeight="1" spans="1:11">
      <c r="A16" s="2767" t="s">
        <v>759</v>
      </c>
      <c r="B16" s="2768" t="s">
        <v>760</v>
      </c>
      <c r="C16" s="2741">
        <f ca="1">C17</f>
        <v>147</v>
      </c>
      <c r="D16" s="2742" t="s">
        <v>761</v>
      </c>
      <c r="E16" s="2769">
        <f ca="1">C18</f>
        <v>0.000435</v>
      </c>
      <c r="F16" s="2766" t="str">
        <f>E18</f>
        <v>V</v>
      </c>
      <c r="G16" s="2741" t="s">
        <v>762</v>
      </c>
      <c r="H16" s="2742"/>
      <c r="I16" s="2743"/>
      <c r="J16" s="2826"/>
      <c r="K16" s="2737"/>
    </row>
    <row r="17" s="2731" customFormat="1" ht="18" customHeight="1" spans="1:12">
      <c r="A17" s="2739" t="s">
        <v>763</v>
      </c>
      <c r="B17" s="2746" t="s">
        <v>764</v>
      </c>
      <c r="C17" s="2741">
        <f ca="1">ROUND((C13+C14)*I18*(I17/2),0)</f>
        <v>147</v>
      </c>
      <c r="D17" s="2742"/>
      <c r="E17" s="2742"/>
      <c r="F17" s="2743"/>
      <c r="G17" s="2741" t="s">
        <v>765</v>
      </c>
      <c r="H17" s="2746" t="s">
        <v>766</v>
      </c>
      <c r="I17" s="2843">
        <v>2</v>
      </c>
      <c r="J17" s="2839" t="s">
        <v>767</v>
      </c>
      <c r="K17" s="2737"/>
      <c r="L17" s="2737"/>
    </row>
    <row r="18" s="2731" customFormat="1" ht="18" customHeight="1" spans="1:12">
      <c r="A18" s="2739" t="s">
        <v>768</v>
      </c>
      <c r="B18" s="2746" t="s">
        <v>769</v>
      </c>
      <c r="C18" s="2770">
        <f ca="1">H15*I18*I17/2</f>
        <v>0.000435</v>
      </c>
      <c r="D18" s="2771"/>
      <c r="E18" s="2765" t="s">
        <v>770</v>
      </c>
      <c r="F18" s="2766"/>
      <c r="G18" s="2741" t="s">
        <v>771</v>
      </c>
      <c r="H18" s="2746" t="s">
        <v>772</v>
      </c>
      <c r="I18" s="2844">
        <f ca="1">'数据-取费表'!B40</f>
        <v>0.0435</v>
      </c>
      <c r="J18" s="2839" t="s">
        <v>773</v>
      </c>
      <c r="K18" s="2737"/>
      <c r="L18" s="2737"/>
    </row>
    <row r="19" s="2731" customFormat="1" ht="27" customHeight="1" spans="1:12">
      <c r="A19" s="2739" t="s">
        <v>774</v>
      </c>
      <c r="B19" s="2746" t="s">
        <v>775</v>
      </c>
      <c r="C19" s="2741">
        <f>C20</f>
        <v>337</v>
      </c>
      <c r="D19" s="2742" t="s">
        <v>761</v>
      </c>
      <c r="E19" s="2742">
        <f>C21</f>
        <v>0.001</v>
      </c>
      <c r="F19" s="2766" t="str">
        <f>E21</f>
        <v>V</v>
      </c>
      <c r="G19" s="2741" t="s">
        <v>776</v>
      </c>
      <c r="H19" s="2742"/>
      <c r="I19" s="2743"/>
      <c r="J19" s="2826"/>
      <c r="K19" s="2737"/>
      <c r="L19" s="2737"/>
    </row>
    <row r="20" s="2731" customFormat="1" ht="26.25" customHeight="1" spans="1:12">
      <c r="A20" s="2739" t="s">
        <v>777</v>
      </c>
      <c r="B20" s="2746" t="s">
        <v>778</v>
      </c>
      <c r="C20" s="2741">
        <f>ROUND((C13+C14)*I20,0)</f>
        <v>337</v>
      </c>
      <c r="D20" s="2742"/>
      <c r="E20" s="2742"/>
      <c r="F20" s="2743"/>
      <c r="G20" s="2744" t="s">
        <v>779</v>
      </c>
      <c r="H20" s="2772" t="s">
        <v>780</v>
      </c>
      <c r="I20" s="2845">
        <v>0.1</v>
      </c>
      <c r="J20" s="2839" t="s">
        <v>781</v>
      </c>
      <c r="K20" s="2737"/>
      <c r="L20" s="2737"/>
    </row>
    <row r="21" s="2731" customFormat="1" ht="27" customHeight="1" spans="1:12">
      <c r="A21" s="2739" t="s">
        <v>777</v>
      </c>
      <c r="B21" s="2746" t="s">
        <v>782</v>
      </c>
      <c r="C21" s="2773">
        <f>H15*I20</f>
        <v>0.001</v>
      </c>
      <c r="D21" s="2774"/>
      <c r="E21" s="2765" t="s">
        <v>770</v>
      </c>
      <c r="F21" s="2766"/>
      <c r="G21" s="2744" t="s">
        <v>783</v>
      </c>
      <c r="H21" s="2775"/>
      <c r="I21" s="2845"/>
      <c r="J21" s="2826"/>
      <c r="K21" s="2737"/>
      <c r="L21" s="2737"/>
    </row>
    <row r="22" s="2731" customFormat="1" ht="18" customHeight="1" spans="1:12">
      <c r="A22" s="2739" t="s">
        <v>784</v>
      </c>
      <c r="B22" s="2746" t="s">
        <v>785</v>
      </c>
      <c r="C22" s="2773">
        <f>ROUND(H22/1.05,4)</f>
        <v>0.0533</v>
      </c>
      <c r="D22" s="2774"/>
      <c r="E22" s="2765" t="s">
        <v>770</v>
      </c>
      <c r="F22" s="2766"/>
      <c r="G22" s="2744" t="s">
        <v>786</v>
      </c>
      <c r="H22" s="2761">
        <v>0.056</v>
      </c>
      <c r="I22" s="2761"/>
      <c r="J22" s="2846"/>
      <c r="K22" s="2737"/>
      <c r="L22" s="2737"/>
    </row>
    <row r="23" s="2731" customFormat="1" ht="18" customHeight="1" spans="1:12">
      <c r="A23" s="2739" t="s">
        <v>787</v>
      </c>
      <c r="B23" s="2746" t="s">
        <v>788</v>
      </c>
      <c r="C23" s="2741">
        <f ca="1">ROUND((C13+C14+C17+C20)/(1-H15-C18-C21-C22),0)</f>
        <v>4119</v>
      </c>
      <c r="D23" s="2742"/>
      <c r="E23" s="2742"/>
      <c r="F23" s="2743"/>
      <c r="G23" s="2741" t="s">
        <v>789</v>
      </c>
      <c r="H23" s="2742"/>
      <c r="I23" s="2743"/>
      <c r="J23" s="2846"/>
      <c r="K23" s="2737"/>
      <c r="L23" s="2737"/>
    </row>
    <row r="24" s="2731" customFormat="1" ht="18" customHeight="1" spans="1:12">
      <c r="A24" s="2739" t="s">
        <v>790</v>
      </c>
      <c r="B24" s="2746" t="s">
        <v>791</v>
      </c>
      <c r="C24" s="2763">
        <f ca="1">C27+C28</f>
        <v>45</v>
      </c>
      <c r="D24" s="2776" t="s">
        <v>792</v>
      </c>
      <c r="E24" s="2777">
        <f>H29+E26+H25</f>
        <v>0.186</v>
      </c>
      <c r="F24" s="2778"/>
      <c r="G24" s="2744" t="s">
        <v>793</v>
      </c>
      <c r="H24" s="2744"/>
      <c r="I24" s="2744"/>
      <c r="J24" s="2846"/>
      <c r="K24" s="2737"/>
      <c r="L24" s="2737"/>
    </row>
    <row r="25" s="2731" customFormat="1" ht="18" customHeight="1" spans="1:12">
      <c r="A25" s="2739" t="s">
        <v>749</v>
      </c>
      <c r="B25" s="2746" t="s">
        <v>794</v>
      </c>
      <c r="C25" s="2763" t="s">
        <v>795</v>
      </c>
      <c r="D25" s="2764"/>
      <c r="E25" s="2779">
        <f>ROUND(H25/1.05,4)</f>
        <v>0.0533</v>
      </c>
      <c r="F25" s="2780"/>
      <c r="G25" s="2744" t="s">
        <v>796</v>
      </c>
      <c r="H25" s="2781">
        <v>0.056</v>
      </c>
      <c r="I25" s="2781"/>
      <c r="J25" s="2841"/>
      <c r="K25" s="2737"/>
      <c r="L25" s="2737"/>
    </row>
    <row r="26" s="2731" customFormat="1" ht="18" customHeight="1" spans="1:12">
      <c r="A26" s="2739" t="s">
        <v>753</v>
      </c>
      <c r="B26" s="2746" t="s">
        <v>797</v>
      </c>
      <c r="C26" s="2763" t="s">
        <v>795</v>
      </c>
      <c r="D26" s="2764"/>
      <c r="E26" s="2782">
        <v>0.12</v>
      </c>
      <c r="F26" s="2778"/>
      <c r="G26" s="2744"/>
      <c r="H26" s="2783">
        <v>0.12</v>
      </c>
      <c r="I26" s="2847"/>
      <c r="J26" s="2848"/>
      <c r="K26" s="2737"/>
      <c r="L26" s="2737"/>
    </row>
    <row r="27" s="2731" customFormat="1" ht="18" customHeight="1" spans="1:12">
      <c r="A27" s="2739" t="s">
        <v>756</v>
      </c>
      <c r="B27" s="2746" t="s">
        <v>798</v>
      </c>
      <c r="C27" s="2741">
        <f ca="1">ROUND(C23*H27,0)</f>
        <v>41</v>
      </c>
      <c r="D27" s="2742"/>
      <c r="E27" s="2742"/>
      <c r="F27" s="2743"/>
      <c r="G27" s="2744" t="s">
        <v>799</v>
      </c>
      <c r="H27" s="2784">
        <v>0.01</v>
      </c>
      <c r="I27" s="2784"/>
      <c r="J27" s="2849" t="s">
        <v>800</v>
      </c>
      <c r="K27" s="2737"/>
      <c r="L27" s="2737"/>
    </row>
    <row r="28" s="2731" customFormat="1" ht="18" customHeight="1" spans="1:12">
      <c r="A28" s="2739" t="s">
        <v>759</v>
      </c>
      <c r="B28" s="2746" t="s">
        <v>801</v>
      </c>
      <c r="C28" s="2741">
        <f ca="1">ROUND(C7*H28,0)</f>
        <v>4</v>
      </c>
      <c r="D28" s="2742"/>
      <c r="E28" s="2742"/>
      <c r="F28" s="2743"/>
      <c r="G28" s="2744" t="s">
        <v>802</v>
      </c>
      <c r="H28" s="2785">
        <v>0.001</v>
      </c>
      <c r="I28" s="2785"/>
      <c r="J28" s="2850"/>
      <c r="K28" s="2737"/>
      <c r="L28" s="2737"/>
    </row>
    <row r="29" s="2731" customFormat="1" ht="18" customHeight="1" spans="1:12">
      <c r="A29" s="2739" t="s">
        <v>774</v>
      </c>
      <c r="B29" s="2746" t="s">
        <v>754</v>
      </c>
      <c r="C29" s="2763" t="s">
        <v>795</v>
      </c>
      <c r="D29" s="2764"/>
      <c r="E29" s="2782">
        <f>H29</f>
        <v>0.01</v>
      </c>
      <c r="F29" s="2778"/>
      <c r="G29" s="2744" t="s">
        <v>803</v>
      </c>
      <c r="H29" s="2784">
        <v>0.01</v>
      </c>
      <c r="I29" s="2784"/>
      <c r="J29" s="2851"/>
      <c r="K29" s="2737"/>
      <c r="L29" s="2737"/>
    </row>
    <row r="30" s="2731" customFormat="1" ht="18" customHeight="1" spans="1:12">
      <c r="A30" s="2745" t="s">
        <v>804</v>
      </c>
      <c r="B30" s="2746" t="s">
        <v>805</v>
      </c>
      <c r="C30" s="2741">
        <f ca="1">ROUND((C4+C24)/(1-E24),0)</f>
        <v>118</v>
      </c>
      <c r="D30" s="2742"/>
      <c r="E30" s="2742"/>
      <c r="F30" s="2743"/>
      <c r="G30" s="2745" t="s">
        <v>806</v>
      </c>
      <c r="H30" s="2745"/>
      <c r="I30" s="2745"/>
      <c r="J30" s="2852"/>
      <c r="K30" s="2737"/>
      <c r="L30" s="2737"/>
    </row>
    <row r="31" s="2731" customFormat="1" ht="18" customHeight="1" spans="1:12">
      <c r="A31" s="2745" t="s">
        <v>807</v>
      </c>
      <c r="B31" s="2746" t="s">
        <v>808</v>
      </c>
      <c r="C31" s="2786">
        <f ca="1">ROUND(C30/I31/I32/I3,2)</f>
        <v>0.38</v>
      </c>
      <c r="D31" s="2787"/>
      <c r="E31" s="2787"/>
      <c r="F31" s="2788"/>
      <c r="G31" s="2744" t="s">
        <v>809</v>
      </c>
      <c r="H31" s="2746" t="s">
        <v>810</v>
      </c>
      <c r="I31" s="2744">
        <v>365</v>
      </c>
      <c r="J31" s="2826"/>
      <c r="K31" s="2737"/>
      <c r="L31" s="2737"/>
    </row>
    <row r="32" s="2731" customFormat="1" ht="18" customHeight="1" spans="1:12">
      <c r="A32" s="2745"/>
      <c r="B32" s="2746"/>
      <c r="C32" s="2789"/>
      <c r="D32" s="2790"/>
      <c r="E32" s="2790"/>
      <c r="F32" s="2791"/>
      <c r="G32" s="2744"/>
      <c r="H32" s="2746" t="s">
        <v>811</v>
      </c>
      <c r="I32" s="2845">
        <v>0.85</v>
      </c>
      <c r="J32" s="2846"/>
      <c r="K32" s="2732"/>
      <c r="L32" s="2732"/>
    </row>
    <row r="33" s="2731" customFormat="1" ht="18" customHeight="1" spans="1:12">
      <c r="A33" s="2732"/>
      <c r="B33" s="2792"/>
      <c r="C33" s="2793"/>
      <c r="D33" s="2793"/>
      <c r="E33" s="2793"/>
      <c r="F33" s="2793"/>
      <c r="G33" s="2794"/>
      <c r="H33" s="2795"/>
      <c r="I33" s="2732"/>
      <c r="J33" s="2736"/>
      <c r="K33" s="2732"/>
      <c r="L33" s="2732"/>
    </row>
    <row r="34" s="2731" customFormat="1" ht="18" customHeight="1" spans="1:13">
      <c r="A34" s="2732"/>
      <c r="B34" s="2796" t="s">
        <v>812</v>
      </c>
      <c r="C34" s="2796"/>
      <c r="D34" s="2796"/>
      <c r="E34" s="2796"/>
      <c r="F34" s="2796"/>
      <c r="G34" s="2797"/>
      <c r="H34" s="2798"/>
      <c r="I34" s="2732"/>
      <c r="J34" s="2853">
        <f ca="1">C31*0.5</f>
        <v>0.19</v>
      </c>
      <c r="K34" s="2732"/>
      <c r="L34" s="2732"/>
      <c r="M34" s="2732"/>
    </row>
    <row r="35" s="2731" customFormat="1" ht="18" customHeight="1" spans="1:13">
      <c r="A35" s="2732"/>
      <c r="B35" s="2799" t="s">
        <v>813</v>
      </c>
      <c r="C35" s="2800" t="s">
        <v>718</v>
      </c>
      <c r="D35" s="2800" t="s">
        <v>814</v>
      </c>
      <c r="E35" s="2800"/>
      <c r="F35" s="2800"/>
      <c r="G35" s="2797"/>
      <c r="H35" s="2801" t="s">
        <v>815</v>
      </c>
      <c r="I35" s="2854"/>
      <c r="J35" s="2853">
        <f ca="1">C31*0.4</f>
        <v>0.152</v>
      </c>
      <c r="K35" s="2732"/>
      <c r="L35" s="2732"/>
      <c r="M35" s="2732"/>
    </row>
    <row r="36" spans="2:12">
      <c r="B36" s="2799" t="s">
        <v>816</v>
      </c>
      <c r="C36" s="2802">
        <v>0.5</v>
      </c>
      <c r="D36" s="2803">
        <f>[2]比较法—租金!N39</f>
        <v>9.33</v>
      </c>
      <c r="E36" s="2803"/>
      <c r="F36" s="2803"/>
      <c r="G36" s="2797">
        <f ca="1">(D36-D37)/D37</f>
        <v>23.5526315789474</v>
      </c>
      <c r="H36" s="2801" t="s">
        <v>817</v>
      </c>
      <c r="I36" s="2855"/>
      <c r="J36" s="2732"/>
      <c r="K36" s="2732"/>
      <c r="L36" s="2732"/>
    </row>
    <row r="37" ht="20.1" customHeight="1" spans="2:12">
      <c r="B37" s="2799" t="s">
        <v>697</v>
      </c>
      <c r="C37" s="2802">
        <f>1-C36</f>
        <v>0.5</v>
      </c>
      <c r="D37" s="2803">
        <f ca="1">C31</f>
        <v>0.38</v>
      </c>
      <c r="E37" s="2803"/>
      <c r="F37" s="2803"/>
      <c r="G37" s="2797"/>
      <c r="H37" s="2798"/>
      <c r="J37" s="2732"/>
      <c r="K37" s="2732"/>
      <c r="L37" s="2732"/>
    </row>
    <row r="38" ht="22.5" customHeight="1" spans="2:10">
      <c r="B38" s="2799" t="s">
        <v>818</v>
      </c>
      <c r="C38" s="2799"/>
      <c r="D38" s="2804">
        <f ca="1">ROUND(C36*D36+C37*D37,1)</f>
        <v>4.9</v>
      </c>
      <c r="E38" s="2804"/>
      <c r="F38" s="2804"/>
      <c r="G38" s="2797"/>
      <c r="H38" s="2798"/>
      <c r="J38" s="2732"/>
    </row>
    <row r="39" ht="22.5" customHeight="1" spans="2:10">
      <c r="B39" s="2799" t="s">
        <v>819</v>
      </c>
      <c r="C39" s="2799">
        <f ca="1">ROUND(D38*0.9,1)</f>
        <v>4.4</v>
      </c>
      <c r="D39" s="2804" t="s">
        <v>820</v>
      </c>
      <c r="E39" s="2804">
        <f ca="1">ROUND(D38*1.1,1)</f>
        <v>5.4</v>
      </c>
      <c r="F39" s="2804"/>
      <c r="G39" s="2797" t="s">
        <v>821</v>
      </c>
      <c r="H39" s="2805">
        <v>11.48</v>
      </c>
      <c r="J39" s="2732"/>
    </row>
    <row r="40" ht="18" customHeight="1" spans="2:8">
      <c r="B40" s="2799" t="s">
        <v>822</v>
      </c>
      <c r="C40" s="2799">
        <f ca="1">ROUND(C39+H40,1)</f>
        <v>4.4</v>
      </c>
      <c r="D40" s="2804" t="s">
        <v>820</v>
      </c>
      <c r="E40" s="2804">
        <f ca="1">ROUND(E39+H40,1)</f>
        <v>5.4</v>
      </c>
      <c r="F40" s="2804"/>
      <c r="G40" s="2806" t="s">
        <v>823</v>
      </c>
      <c r="H40" s="2806"/>
    </row>
    <row r="41" ht="18" customHeight="1" spans="2:8">
      <c r="B41" s="2807"/>
      <c r="C41" s="2808"/>
      <c r="D41" s="2809"/>
      <c r="E41" s="2809"/>
      <c r="F41" s="2809"/>
      <c r="G41" s="2797"/>
      <c r="H41" s="2798"/>
    </row>
    <row r="42" ht="18" customHeight="1" spans="2:8">
      <c r="B42" s="2797" t="s">
        <v>824</v>
      </c>
      <c r="C42" s="2809"/>
      <c r="D42" s="2809"/>
      <c r="E42" s="2797" t="s">
        <v>825</v>
      </c>
      <c r="F42" s="2809"/>
      <c r="G42" s="2797"/>
      <c r="H42" s="2797" t="s">
        <v>826</v>
      </c>
    </row>
    <row r="43" ht="29.25" customHeight="1"/>
    <row r="44" spans="2:7">
      <c r="B44" s="2810" t="s">
        <v>827</v>
      </c>
      <c r="C44" s="2810"/>
      <c r="D44" s="2810"/>
      <c r="E44" s="2811"/>
      <c r="F44" s="2812" t="s">
        <v>828</v>
      </c>
      <c r="G44" s="2813"/>
    </row>
    <row r="45" spans="2:7">
      <c r="B45" s="2814" t="s">
        <v>829</v>
      </c>
      <c r="C45" s="2810" t="s">
        <v>830</v>
      </c>
      <c r="D45" s="2810" t="s">
        <v>831</v>
      </c>
      <c r="E45" s="2811" t="s">
        <v>832</v>
      </c>
      <c r="F45" s="2812"/>
      <c r="G45" s="2813"/>
    </row>
    <row r="46" spans="2:7">
      <c r="B46" s="2810">
        <v>0.5</v>
      </c>
      <c r="C46" s="2810">
        <v>0.8</v>
      </c>
      <c r="D46" s="2810">
        <v>0.8</v>
      </c>
      <c r="E46" s="2811">
        <v>0.25</v>
      </c>
      <c r="F46" s="2810">
        <f ca="1">F47*B46*C46*D46-F47*E46</f>
        <v>1082.97</v>
      </c>
      <c r="G46" s="2813" t="s">
        <v>833</v>
      </c>
    </row>
    <row r="47" spans="2:7">
      <c r="B47" s="2813"/>
      <c r="C47" s="2813"/>
      <c r="D47" s="2813"/>
      <c r="E47" s="2815"/>
      <c r="F47" s="2810">
        <f ca="1">系统读取表!E15</f>
        <v>15471</v>
      </c>
      <c r="G47" s="2816"/>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39" customWidth="1"/>
    <col min="2" max="9" width="10" style="3639" customWidth="1"/>
    <col min="10" max="16384" width="9" style="3639"/>
  </cols>
  <sheetData>
    <row r="36" spans="1:2">
      <c r="A36" s="3638" t="s">
        <v>75</v>
      </c>
      <c r="B36" s="3638" t="s">
        <v>76</v>
      </c>
    </row>
    <row r="37" ht="27.75" customHeight="1" spans="1:9">
      <c r="A37" s="3638"/>
      <c r="B37" s="3640" t="str">
        <f>项目基本情况!B1</f>
        <v>北京市房地产市场价值预评估</v>
      </c>
      <c r="C37" s="3640"/>
      <c r="D37" s="3640"/>
      <c r="E37" s="3640"/>
      <c r="F37" s="3640"/>
      <c r="G37" s="3640"/>
      <c r="H37" s="3640"/>
      <c r="I37" s="3640"/>
    </row>
    <row r="38" spans="1:2">
      <c r="A38" s="3641"/>
      <c r="B38" s="3641"/>
    </row>
    <row r="39" spans="1:2">
      <c r="A39" s="3638" t="s">
        <v>75</v>
      </c>
      <c r="B39" s="3638" t="s">
        <v>77</v>
      </c>
    </row>
    <row r="40" spans="1:2">
      <c r="A40" s="3638"/>
      <c r="B40" s="3642">
        <f>项目基本情况!B5</f>
        <v>0</v>
      </c>
    </row>
    <row r="41" spans="1:2">
      <c r="A41" s="3638"/>
      <c r="B41" s="3638"/>
    </row>
    <row r="42" spans="1:2">
      <c r="A42" s="3638" t="s">
        <v>75</v>
      </c>
      <c r="B42" s="3638" t="s">
        <v>78</v>
      </c>
    </row>
    <row r="43" spans="1:2">
      <c r="A43" s="3638"/>
      <c r="B43" s="3642" t="s">
        <v>79</v>
      </c>
    </row>
    <row r="44" spans="1:2">
      <c r="A44" s="3638"/>
      <c r="B44" s="3638"/>
    </row>
    <row r="45" spans="1:2">
      <c r="A45" s="3638" t="s">
        <v>75</v>
      </c>
      <c r="B45" s="3638" t="s">
        <v>80</v>
      </c>
    </row>
    <row r="46" s="3638" customFormat="1" ht="12.75" spans="2:2">
      <c r="B46" s="3642" t="str">
        <f ca="1">项目基本情况!K4</f>
        <v>陈颖（注册号：1120060040)、（注册号：0)</v>
      </c>
    </row>
    <row r="47" spans="1:2">
      <c r="A47" s="3638"/>
      <c r="B47" s="3638" t="str">
        <f ca="1">项目基本情况!K5</f>
        <v>（注册号：0)、（注册号：0)</v>
      </c>
    </row>
    <row r="48" spans="1:2">
      <c r="A48" s="3638" t="s">
        <v>75</v>
      </c>
      <c r="B48" s="3638" t="s">
        <v>81</v>
      </c>
    </row>
    <row r="49" spans="2:2">
      <c r="B49" s="364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L27"/>
  <sheetViews>
    <sheetView workbookViewId="0">
      <selection activeCell="H9" sqref="H9:I9"/>
    </sheetView>
  </sheetViews>
  <sheetFormatPr defaultColWidth="9" defaultRowHeight="13.5"/>
  <cols>
    <col min="4" max="4" width="12.625"/>
    <col min="5" max="5" width="10.375"/>
    <col min="6" max="6" width="12.625"/>
    <col min="7" max="7" width="9.375"/>
    <col min="8" max="8" width="10.375"/>
    <col min="12" max="12" width="11.5"/>
  </cols>
  <sheetData>
    <row r="3" spans="4:11">
      <c r="D3" t="s">
        <v>834</v>
      </c>
      <c r="E3" t="s">
        <v>835</v>
      </c>
      <c r="F3" t="s">
        <v>836</v>
      </c>
      <c r="G3" t="s">
        <v>837</v>
      </c>
      <c r="H3" t="s">
        <v>838</v>
      </c>
      <c r="I3" t="s">
        <v>839</v>
      </c>
      <c r="J3" t="s">
        <v>840</v>
      </c>
      <c r="K3" t="s">
        <v>841</v>
      </c>
    </row>
    <row r="4" spans="3:11">
      <c r="C4" t="s">
        <v>842</v>
      </c>
      <c r="D4">
        <f>'数据-基础表'!I14+'数据-基础表'!I31+'数据-基础表'!I39+'数据-基础表'!I45+'数据-基础表'!I46</f>
        <v>6137.32</v>
      </c>
      <c r="E4">
        <f>'数据-基础表'!I17</f>
        <v>1255.99</v>
      </c>
      <c r="F4">
        <f>'数据-基础表'!I15+'数据-基础表'!I32+'数据-基础表'!I33+'数据-基础表'!I40+'数据-基础表'!I41+'数据-基础表'!I47+'数据-基础表'!I48</f>
        <v>4426.05</v>
      </c>
      <c r="G4">
        <f>'数据-基础表'!I18</f>
        <v>906.54</v>
      </c>
      <c r="H4">
        <f>'数据-基础表'!I16+'数据-基础表'!I34+'数据-基础表'!I42+'数据-基础表'!I49</f>
        <v>3065.09</v>
      </c>
      <c r="I4">
        <f>'数据-基础表'!I35+'数据-基础表'!I50</f>
        <v>1107.87</v>
      </c>
      <c r="J4">
        <f>'数据-基础表'!I36</f>
        <v>548.94</v>
      </c>
      <c r="K4">
        <f>'数据-基础表'!K5</f>
        <v>7379.7</v>
      </c>
    </row>
    <row r="5" spans="3:11">
      <c r="C5" t="s">
        <v>843</v>
      </c>
      <c r="D5">
        <f ca="1">ROUND(D14/L7,2)*D6</f>
        <v>0.89</v>
      </c>
      <c r="E5">
        <f ca="1">ROUND($D$5*E6,2)</f>
        <v>0.94</v>
      </c>
      <c r="F5">
        <f ca="1" t="shared" ref="F5:K5" si="0">ROUND($D$5*F6,2)</f>
        <v>0.67</v>
      </c>
      <c r="G5">
        <f ca="1" t="shared" si="0"/>
        <v>0.71</v>
      </c>
      <c r="H5">
        <f ca="1" t="shared" si="0"/>
        <v>0.58</v>
      </c>
      <c r="I5">
        <f ca="1" t="shared" si="0"/>
        <v>0.53</v>
      </c>
      <c r="J5">
        <f ca="1" t="shared" si="0"/>
        <v>0.45</v>
      </c>
      <c r="K5">
        <f ca="1" t="shared" si="0"/>
        <v>0.45</v>
      </c>
    </row>
    <row r="6" spans="4:11">
      <c r="D6">
        <v>1</v>
      </c>
      <c r="E6">
        <v>1.06</v>
      </c>
      <c r="F6">
        <v>0.75</v>
      </c>
      <c r="G6">
        <f>0.75*1.06</f>
        <v>0.795</v>
      </c>
      <c r="H6">
        <v>0.65</v>
      </c>
      <c r="I6">
        <v>0.6</v>
      </c>
      <c r="J6">
        <v>0.5</v>
      </c>
      <c r="K6">
        <v>0.5</v>
      </c>
    </row>
    <row r="7" spans="4:12">
      <c r="D7">
        <f>ROUND(D6*D4,2)</f>
        <v>6137.32</v>
      </c>
      <c r="E7">
        <f t="shared" ref="E7:K7" si="1">ROUND(E6*E4,2)</f>
        <v>1331.35</v>
      </c>
      <c r="F7">
        <f t="shared" si="1"/>
        <v>3319.54</v>
      </c>
      <c r="G7">
        <f t="shared" si="1"/>
        <v>720.7</v>
      </c>
      <c r="H7">
        <f t="shared" si="1"/>
        <v>1992.31</v>
      </c>
      <c r="I7">
        <f t="shared" si="1"/>
        <v>664.72</v>
      </c>
      <c r="J7">
        <f t="shared" si="1"/>
        <v>274.47</v>
      </c>
      <c r="K7">
        <f t="shared" si="1"/>
        <v>3689.85</v>
      </c>
      <c r="L7">
        <f>SUM(D7:K7)</f>
        <v>18130.26</v>
      </c>
    </row>
    <row r="12" spans="3:4">
      <c r="C12" t="s">
        <v>844</v>
      </c>
      <c r="D12">
        <f ca="1">'收益法倒推租金-商业单租'!C31</f>
        <v>0.65</v>
      </c>
    </row>
    <row r="13" spans="3:4">
      <c r="C13" t="s">
        <v>842</v>
      </c>
      <c r="D13">
        <f>'数据-汇总表'!E19</f>
        <v>24827.5</v>
      </c>
    </row>
    <row r="14" spans="4:4">
      <c r="D14">
        <f ca="1">D13*D12</f>
        <v>16137.875</v>
      </c>
    </row>
    <row r="25" spans="4:6">
      <c r="D25">
        <f ca="1">'收益法倒推租金-商业单租'!C31</f>
        <v>0.65</v>
      </c>
      <c r="E25">
        <f ca="1">'收益法倒推租金-酒店'!C31</f>
        <v>0.38</v>
      </c>
      <c r="F25">
        <f ca="1">F27/F26</f>
        <v>0.617758511040006</v>
      </c>
    </row>
    <row r="26" spans="4:6">
      <c r="D26">
        <f ca="1">系统读取表!D14</f>
        <v>88617</v>
      </c>
      <c r="E26">
        <f ca="1">系统读取表!D15</f>
        <v>12017</v>
      </c>
      <c r="F26">
        <f ca="1">SUM(D26:E26)</f>
        <v>100634</v>
      </c>
    </row>
    <row r="27" spans="4:6">
      <c r="D27">
        <f ca="1">D26*D25</f>
        <v>57601.05</v>
      </c>
      <c r="E27">
        <f ca="1">E26*E25</f>
        <v>4566.46</v>
      </c>
      <c r="F27">
        <f ca="1">SUM(D27:E27)</f>
        <v>62167.51</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4" workbookViewId="0">
      <selection activeCell="D46" sqref="D46"/>
    </sheetView>
  </sheetViews>
  <sheetFormatPr defaultColWidth="9" defaultRowHeight="13.5"/>
  <cols>
    <col min="1" max="1" width="6.375" style="2732" customWidth="1"/>
    <col min="2" max="2" width="19.375" style="2733" customWidth="1"/>
    <col min="3" max="3" width="6.125" style="2734" customWidth="1"/>
    <col min="4" max="4" width="6.375" style="2734" customWidth="1"/>
    <col min="5" max="5" width="7.375" style="2734" customWidth="1"/>
    <col min="6" max="6" width="16" style="2734" customWidth="1"/>
    <col min="7" max="7" width="19.375" style="2735" customWidth="1"/>
    <col min="8" max="8" width="19.5" style="2732" customWidth="1"/>
    <col min="9" max="9" width="8.625" style="2732" customWidth="1"/>
    <col min="10" max="10" width="10.5" style="2736" customWidth="1"/>
    <col min="11" max="11" width="4.875" style="2737" customWidth="1"/>
    <col min="12" max="12" width="16.375" style="2737" customWidth="1"/>
    <col min="13" max="16" width="8.125" style="2732" customWidth="1"/>
    <col min="17" max="16384" width="9" style="2732"/>
  </cols>
  <sheetData>
    <row r="1" spans="1:15">
      <c r="A1" s="2738" t="s">
        <v>697</v>
      </c>
      <c r="B1" s="2738"/>
      <c r="C1" s="2738"/>
      <c r="D1" s="2738"/>
      <c r="E1" s="2738"/>
      <c r="F1" s="2738"/>
      <c r="G1" s="2738"/>
      <c r="H1" s="2738"/>
      <c r="I1" s="2738"/>
      <c r="K1" s="2817" t="s">
        <v>698</v>
      </c>
      <c r="L1" s="2818" t="s">
        <v>699</v>
      </c>
      <c r="M1" s="2819">
        <v>0</v>
      </c>
      <c r="N1" s="18"/>
      <c r="O1" s="18"/>
    </row>
    <row r="2" ht="15.75" customHeight="1" spans="1:15">
      <c r="A2" s="2739" t="s">
        <v>700</v>
      </c>
      <c r="B2" s="2740" t="s">
        <v>701</v>
      </c>
      <c r="C2" s="2741" t="s">
        <v>702</v>
      </c>
      <c r="D2" s="2742"/>
      <c r="E2" s="2742"/>
      <c r="F2" s="2743"/>
      <c r="G2" s="2744" t="s">
        <v>703</v>
      </c>
      <c r="H2" s="2744" t="s">
        <v>704</v>
      </c>
      <c r="I2" s="2744"/>
      <c r="K2" s="2817"/>
      <c r="L2" s="2818" t="s">
        <v>705</v>
      </c>
      <c r="M2" s="2820" t="s">
        <v>706</v>
      </c>
      <c r="N2" s="2821"/>
      <c r="O2" s="2821"/>
    </row>
    <row r="3" spans="1:15">
      <c r="A3" s="2745" t="s">
        <v>707</v>
      </c>
      <c r="B3" s="2746" t="s">
        <v>325</v>
      </c>
      <c r="C3" s="2747">
        <f ca="1">'收益法倒推租金-仓储'!F46</f>
        <v>956.4</v>
      </c>
      <c r="D3" s="2748"/>
      <c r="E3" s="2748"/>
      <c r="F3" s="2749"/>
      <c r="G3" s="2745" t="s">
        <v>708</v>
      </c>
      <c r="H3" s="2750" t="s">
        <v>709</v>
      </c>
      <c r="I3" s="2822">
        <f>1</f>
        <v>1</v>
      </c>
      <c r="K3" s="2817"/>
      <c r="L3" s="2818" t="s">
        <v>710</v>
      </c>
      <c r="M3" s="2820" t="s">
        <v>711</v>
      </c>
      <c r="N3" s="2821"/>
      <c r="O3" s="2823"/>
    </row>
    <row r="4" spans="1:15">
      <c r="A4" s="2745" t="s">
        <v>712</v>
      </c>
      <c r="B4" s="2746" t="s">
        <v>713</v>
      </c>
      <c r="C4" s="2751">
        <f ca="1">ROUND(C3*(I4-I6)/(1-((1+I6)/(1+I4))^I5),0)</f>
        <v>45</v>
      </c>
      <c r="D4" s="2752"/>
      <c r="E4" s="2752"/>
      <c r="F4" s="2753"/>
      <c r="G4" s="2745" t="s">
        <v>714</v>
      </c>
      <c r="H4" s="2754" t="s">
        <v>715</v>
      </c>
      <c r="I4" s="2762">
        <f>'数据-取费表'!J6</f>
        <v>0.04</v>
      </c>
      <c r="K4" s="2817"/>
      <c r="L4" s="2818" t="s">
        <v>716</v>
      </c>
      <c r="M4" s="2824">
        <f>ROUND(1-(1-M1)*M2/M3,2)</f>
        <v>0.55</v>
      </c>
      <c r="N4" s="2821"/>
      <c r="O4" s="2821"/>
    </row>
    <row r="5" s="2731" customFormat="1" ht="18" customHeight="1" spans="1:15">
      <c r="A5" s="2745"/>
      <c r="B5" s="2746"/>
      <c r="C5" s="2755"/>
      <c r="D5" s="2756"/>
      <c r="E5" s="2756"/>
      <c r="F5" s="2757"/>
      <c r="G5" s="2745"/>
      <c r="H5" s="2746" t="s">
        <v>717</v>
      </c>
      <c r="I5" s="2825">
        <v>40</v>
      </c>
      <c r="J5" s="2826"/>
      <c r="K5" s="2817"/>
      <c r="L5" s="2818" t="s">
        <v>718</v>
      </c>
      <c r="M5" s="2827">
        <v>0.5</v>
      </c>
      <c r="N5" s="2821"/>
      <c r="O5" s="2821"/>
    </row>
    <row r="6" s="2731" customFormat="1" ht="18" customHeight="1" spans="1:16">
      <c r="A6" s="2745"/>
      <c r="B6" s="2746"/>
      <c r="C6" s="2758"/>
      <c r="D6" s="2759"/>
      <c r="E6" s="2759"/>
      <c r="F6" s="2760"/>
      <c r="G6" s="2745"/>
      <c r="H6" s="2746" t="s">
        <v>719</v>
      </c>
      <c r="I6" s="2762">
        <v>0.005</v>
      </c>
      <c r="J6" s="2828"/>
      <c r="K6" s="2829" t="s">
        <v>720</v>
      </c>
      <c r="L6" s="2830" t="s">
        <v>721</v>
      </c>
      <c r="M6" s="2831" t="s">
        <v>722</v>
      </c>
      <c r="N6" s="2831" t="s">
        <v>723</v>
      </c>
      <c r="O6" s="2831" t="s">
        <v>724</v>
      </c>
      <c r="P6" s="2831" t="s">
        <v>718</v>
      </c>
    </row>
    <row r="7" s="2731" customFormat="1" ht="17.25" customHeight="1" spans="1:16">
      <c r="A7" s="2745" t="s">
        <v>725</v>
      </c>
      <c r="B7" s="2746" t="s">
        <v>726</v>
      </c>
      <c r="C7" s="2741">
        <f>ROUND(C23*I7,0)</f>
        <v>4119</v>
      </c>
      <c r="D7" s="2742"/>
      <c r="E7" s="2742"/>
      <c r="F7" s="2743"/>
      <c r="G7" s="2744" t="s">
        <v>727</v>
      </c>
      <c r="H7" s="2746" t="s">
        <v>728</v>
      </c>
      <c r="I7" s="2832">
        <v>1</v>
      </c>
      <c r="K7" s="2829"/>
      <c r="L7" s="2830" t="s">
        <v>729</v>
      </c>
      <c r="M7" s="2831">
        <v>100</v>
      </c>
      <c r="N7" s="2831" t="s">
        <v>730</v>
      </c>
      <c r="O7" s="2831">
        <v>80</v>
      </c>
      <c r="P7" s="2833">
        <v>0.3</v>
      </c>
    </row>
    <row r="8" s="2731" customFormat="1" ht="18" customHeight="1" spans="1:16">
      <c r="A8" s="2739" t="s">
        <v>731</v>
      </c>
      <c r="B8" s="2746" t="s">
        <v>732</v>
      </c>
      <c r="C8" s="2741">
        <f>ROUND(I8*I3,0)</f>
        <v>3000</v>
      </c>
      <c r="D8" s="2742"/>
      <c r="E8" s="2742"/>
      <c r="F8" s="2743"/>
      <c r="G8" s="2744" t="s">
        <v>733</v>
      </c>
      <c r="H8" s="2746" t="s">
        <v>734</v>
      </c>
      <c r="I8" s="2744">
        <f>'数据-取费表'!L7</f>
        <v>3000</v>
      </c>
      <c r="J8" s="2834">
        <f t="shared" ref="J8:J10" si="0">D36</f>
        <v>9.33</v>
      </c>
      <c r="K8" s="2829"/>
      <c r="L8" s="2830" t="s">
        <v>735</v>
      </c>
      <c r="M8" s="2831">
        <v>100</v>
      </c>
      <c r="N8" s="2831" t="s">
        <v>730</v>
      </c>
      <c r="O8" s="2831">
        <v>80</v>
      </c>
      <c r="P8" s="2833">
        <v>0.5</v>
      </c>
    </row>
    <row r="9" s="2731" customFormat="1" ht="18" customHeight="1" spans="1:16">
      <c r="A9" s="2739" t="s">
        <v>736</v>
      </c>
      <c r="B9" s="2746" t="s">
        <v>737</v>
      </c>
      <c r="C9" s="2741">
        <f>ROUND(C8*H9,0)</f>
        <v>90</v>
      </c>
      <c r="D9" s="2742"/>
      <c r="E9" s="2742"/>
      <c r="F9" s="2743"/>
      <c r="G9" s="2744" t="s">
        <v>738</v>
      </c>
      <c r="H9" s="2761">
        <v>0.03</v>
      </c>
      <c r="I9" s="2761"/>
      <c r="J9" s="2834">
        <f ca="1" t="shared" si="0"/>
        <v>0.36</v>
      </c>
      <c r="K9" s="2829"/>
      <c r="L9" s="2830" t="s">
        <v>739</v>
      </c>
      <c r="M9" s="2831">
        <v>100</v>
      </c>
      <c r="N9" s="2831" t="s">
        <v>730</v>
      </c>
      <c r="O9" s="2831">
        <v>80</v>
      </c>
      <c r="P9" s="2833">
        <f>1-P7-P8</f>
        <v>0.2</v>
      </c>
    </row>
    <row r="10" s="2731" customFormat="1" ht="18" customHeight="1" spans="1:16">
      <c r="A10" s="2739" t="s">
        <v>740</v>
      </c>
      <c r="B10" s="2746" t="s">
        <v>741</v>
      </c>
      <c r="C10" s="2741">
        <f>ROUND(C8*H10,0)</f>
        <v>0</v>
      </c>
      <c r="D10" s="2742"/>
      <c r="E10" s="2742"/>
      <c r="F10" s="2743"/>
      <c r="G10" s="2744" t="s">
        <v>738</v>
      </c>
      <c r="H10" s="2761">
        <v>0</v>
      </c>
      <c r="I10" s="2761"/>
      <c r="J10" s="2834">
        <f ca="1" t="shared" si="0"/>
        <v>4.8</v>
      </c>
      <c r="K10" s="2829"/>
      <c r="L10" s="2835" t="s">
        <v>718</v>
      </c>
      <c r="M10" s="2836">
        <f>1-M5</f>
        <v>0.5</v>
      </c>
      <c r="N10" s="2831" t="s">
        <v>716</v>
      </c>
      <c r="O10" s="2837">
        <f>ROUND((O7*P7+O8*P8+O9*P9)/100,2)</f>
        <v>0.8</v>
      </c>
      <c r="P10" s="2838"/>
    </row>
    <row r="11" s="2731" customFormat="1" ht="29.25" customHeight="1" spans="1:12">
      <c r="A11" s="2739" t="s">
        <v>742</v>
      </c>
      <c r="B11" s="2746" t="s">
        <v>743</v>
      </c>
      <c r="C11" s="2741">
        <f>ROUND(I11*I3,0)</f>
        <v>200</v>
      </c>
      <c r="D11" s="2742"/>
      <c r="E11" s="2742"/>
      <c r="F11" s="2743"/>
      <c r="G11" s="2744" t="s">
        <v>744</v>
      </c>
      <c r="H11" s="2746" t="s">
        <v>745</v>
      </c>
      <c r="I11" s="2744">
        <v>200</v>
      </c>
      <c r="J11" s="2826"/>
      <c r="K11" s="2737"/>
      <c r="L11" s="2737"/>
    </row>
    <row r="12" s="2731" customFormat="1" ht="18" customHeight="1" spans="1:12">
      <c r="A12" s="2739" t="s">
        <v>746</v>
      </c>
      <c r="B12" s="2746" t="s">
        <v>747</v>
      </c>
      <c r="C12" s="2741">
        <f>ROUND(C8*H12,0)</f>
        <v>45</v>
      </c>
      <c r="D12" s="2742"/>
      <c r="E12" s="2742"/>
      <c r="F12" s="2743"/>
      <c r="G12" s="2744" t="s">
        <v>738</v>
      </c>
      <c r="H12" s="2761">
        <v>0.015</v>
      </c>
      <c r="I12" s="2761"/>
      <c r="J12" s="2839" t="s">
        <v>748</v>
      </c>
      <c r="L12" s="2840"/>
    </row>
    <row r="13" s="2731" customFormat="1" ht="18" customHeight="1" spans="1:12">
      <c r="A13" s="2739" t="s">
        <v>749</v>
      </c>
      <c r="B13" s="2746" t="s">
        <v>750</v>
      </c>
      <c r="C13" s="2741">
        <f>SUM(C8:F12)</f>
        <v>3335</v>
      </c>
      <c r="D13" s="2742"/>
      <c r="E13" s="2742"/>
      <c r="F13" s="2743"/>
      <c r="G13" s="2744" t="s">
        <v>751</v>
      </c>
      <c r="H13" s="2744"/>
      <c r="I13" s="2744"/>
      <c r="J13" s="2839" t="s">
        <v>752</v>
      </c>
      <c r="L13" s="2840"/>
    </row>
    <row r="14" s="2731" customFormat="1" ht="18" customHeight="1" spans="1:12">
      <c r="A14" s="2739" t="s">
        <v>753</v>
      </c>
      <c r="B14" s="2746" t="s">
        <v>754</v>
      </c>
      <c r="C14" s="2741">
        <f>ROUND(C13*H14,0)</f>
        <v>33</v>
      </c>
      <c r="D14" s="2742"/>
      <c r="E14" s="2742"/>
      <c r="F14" s="2743"/>
      <c r="G14" s="2744" t="s">
        <v>755</v>
      </c>
      <c r="H14" s="2762">
        <v>0.01</v>
      </c>
      <c r="I14" s="2762"/>
      <c r="J14" s="2826"/>
      <c r="L14" s="2840"/>
    </row>
    <row r="15" s="2731" customFormat="1" ht="18" customHeight="1" spans="1:11">
      <c r="A15" s="2739" t="s">
        <v>756</v>
      </c>
      <c r="B15" s="2746" t="s">
        <v>757</v>
      </c>
      <c r="C15" s="2763">
        <f>H15</f>
        <v>0.01</v>
      </c>
      <c r="D15" s="2764"/>
      <c r="E15" s="2765" t="str">
        <f>E18</f>
        <v>V</v>
      </c>
      <c r="F15" s="2766"/>
      <c r="G15" s="2744" t="s">
        <v>758</v>
      </c>
      <c r="H15" s="2762">
        <v>0.01</v>
      </c>
      <c r="I15" s="2762"/>
      <c r="J15" s="2841"/>
      <c r="K15" s="2842"/>
    </row>
    <row r="16" s="2731" customFormat="1" ht="18" customHeight="1" spans="1:11">
      <c r="A16" s="2767" t="s">
        <v>759</v>
      </c>
      <c r="B16" s="2768" t="s">
        <v>760</v>
      </c>
      <c r="C16" s="2741">
        <f>C17</f>
        <v>147</v>
      </c>
      <c r="D16" s="2742" t="s">
        <v>761</v>
      </c>
      <c r="E16" s="2769">
        <f>C18</f>
        <v>0.000435</v>
      </c>
      <c r="F16" s="2766" t="str">
        <f>E18</f>
        <v>V</v>
      </c>
      <c r="G16" s="2741" t="s">
        <v>762</v>
      </c>
      <c r="H16" s="2742"/>
      <c r="I16" s="2743"/>
      <c r="J16" s="2826"/>
      <c r="K16" s="2737"/>
    </row>
    <row r="17" s="2731" customFormat="1" ht="18" customHeight="1" spans="1:12">
      <c r="A17" s="2739" t="s">
        <v>763</v>
      </c>
      <c r="B17" s="2746" t="s">
        <v>764</v>
      </c>
      <c r="C17" s="2741">
        <f>ROUND((C13+C14)*I18*(I17/2),0)</f>
        <v>147</v>
      </c>
      <c r="D17" s="2742"/>
      <c r="E17" s="2742"/>
      <c r="F17" s="2743"/>
      <c r="G17" s="2741" t="s">
        <v>765</v>
      </c>
      <c r="H17" s="2746" t="s">
        <v>766</v>
      </c>
      <c r="I17" s="2843">
        <v>2</v>
      </c>
      <c r="J17" s="2839" t="s">
        <v>767</v>
      </c>
      <c r="K17" s="2737"/>
      <c r="L17" s="2737"/>
    </row>
    <row r="18" s="2731" customFormat="1" ht="18" customHeight="1" spans="1:12">
      <c r="A18" s="2739" t="s">
        <v>768</v>
      </c>
      <c r="B18" s="2746" t="s">
        <v>769</v>
      </c>
      <c r="C18" s="2770">
        <f>H15*I18*I17/2</f>
        <v>0.000435</v>
      </c>
      <c r="D18" s="2771"/>
      <c r="E18" s="2765" t="s">
        <v>770</v>
      </c>
      <c r="F18" s="2766"/>
      <c r="G18" s="2741" t="s">
        <v>771</v>
      </c>
      <c r="H18" s="2746" t="s">
        <v>772</v>
      </c>
      <c r="I18" s="2844">
        <f>'[3]数据-取费表'!B40</f>
        <v>0.0435</v>
      </c>
      <c r="J18" s="2839" t="s">
        <v>773</v>
      </c>
      <c r="K18" s="2737"/>
      <c r="L18" s="2737"/>
    </row>
    <row r="19" s="2731" customFormat="1" ht="27" customHeight="1" spans="1:12">
      <c r="A19" s="2739" t="s">
        <v>774</v>
      </c>
      <c r="B19" s="2746" t="s">
        <v>775</v>
      </c>
      <c r="C19" s="2741">
        <f>C20</f>
        <v>337</v>
      </c>
      <c r="D19" s="2742" t="s">
        <v>761</v>
      </c>
      <c r="E19" s="2742">
        <f>C21</f>
        <v>0.001</v>
      </c>
      <c r="F19" s="2766" t="str">
        <f>E21</f>
        <v>V</v>
      </c>
      <c r="G19" s="2741" t="s">
        <v>776</v>
      </c>
      <c r="H19" s="2742"/>
      <c r="I19" s="2743"/>
      <c r="J19" s="2826"/>
      <c r="K19" s="2737"/>
      <c r="L19" s="2737"/>
    </row>
    <row r="20" s="2731" customFormat="1" ht="26.25" customHeight="1" spans="1:12">
      <c r="A20" s="2739" t="s">
        <v>777</v>
      </c>
      <c r="B20" s="2746" t="s">
        <v>778</v>
      </c>
      <c r="C20" s="2741">
        <f>ROUND((C13+C14)*I20,0)</f>
        <v>337</v>
      </c>
      <c r="D20" s="2742"/>
      <c r="E20" s="2742"/>
      <c r="F20" s="2743"/>
      <c r="G20" s="2744" t="s">
        <v>779</v>
      </c>
      <c r="H20" s="2772" t="s">
        <v>780</v>
      </c>
      <c r="I20" s="2845">
        <v>0.1</v>
      </c>
      <c r="J20" s="2839" t="s">
        <v>781</v>
      </c>
      <c r="K20" s="2737"/>
      <c r="L20" s="2737"/>
    </row>
    <row r="21" s="2731" customFormat="1" ht="27" customHeight="1" spans="1:12">
      <c r="A21" s="2739" t="s">
        <v>777</v>
      </c>
      <c r="B21" s="2746" t="s">
        <v>782</v>
      </c>
      <c r="C21" s="2773">
        <f>H15*I20</f>
        <v>0.001</v>
      </c>
      <c r="D21" s="2774"/>
      <c r="E21" s="2765" t="s">
        <v>770</v>
      </c>
      <c r="F21" s="2766"/>
      <c r="G21" s="2744" t="s">
        <v>783</v>
      </c>
      <c r="H21" s="2775"/>
      <c r="I21" s="2845"/>
      <c r="J21" s="2826"/>
      <c r="K21" s="2737"/>
      <c r="L21" s="2737"/>
    </row>
    <row r="22" s="2731" customFormat="1" ht="18" customHeight="1" spans="1:12">
      <c r="A22" s="2739" t="s">
        <v>784</v>
      </c>
      <c r="B22" s="2746" t="s">
        <v>785</v>
      </c>
      <c r="C22" s="2773">
        <f>ROUND(H22/1.05,4)</f>
        <v>0.0533</v>
      </c>
      <c r="D22" s="2774"/>
      <c r="E22" s="2765" t="s">
        <v>770</v>
      </c>
      <c r="F22" s="2766"/>
      <c r="G22" s="2744" t="s">
        <v>786</v>
      </c>
      <c r="H22" s="2761">
        <v>0.056</v>
      </c>
      <c r="I22" s="2761"/>
      <c r="J22" s="2846"/>
      <c r="K22" s="2737"/>
      <c r="L22" s="2737"/>
    </row>
    <row r="23" s="2731" customFormat="1" ht="18" customHeight="1" spans="1:12">
      <c r="A23" s="2739" t="s">
        <v>787</v>
      </c>
      <c r="B23" s="2746" t="s">
        <v>788</v>
      </c>
      <c r="C23" s="2741">
        <f>ROUND((C13+C14+C17+C20)/(1-H15-C18-C21-C22),0)</f>
        <v>4119</v>
      </c>
      <c r="D23" s="2742"/>
      <c r="E23" s="2742"/>
      <c r="F23" s="2743"/>
      <c r="G23" s="2741" t="s">
        <v>789</v>
      </c>
      <c r="H23" s="2742"/>
      <c r="I23" s="2743"/>
      <c r="J23" s="2846"/>
      <c r="K23" s="2737"/>
      <c r="L23" s="2737"/>
    </row>
    <row r="24" s="2731" customFormat="1" ht="18" customHeight="1" spans="1:12">
      <c r="A24" s="2739" t="s">
        <v>790</v>
      </c>
      <c r="B24" s="2746" t="s">
        <v>791</v>
      </c>
      <c r="C24" s="2763">
        <f>C27+C28</f>
        <v>45</v>
      </c>
      <c r="D24" s="2776" t="s">
        <v>792</v>
      </c>
      <c r="E24" s="2777">
        <f>H29+E26+H25</f>
        <v>0.186</v>
      </c>
      <c r="F24" s="2778"/>
      <c r="G24" s="2744" t="s">
        <v>793</v>
      </c>
      <c r="H24" s="2744"/>
      <c r="I24" s="2744"/>
      <c r="J24" s="2846"/>
      <c r="K24" s="2737"/>
      <c r="L24" s="2737"/>
    </row>
    <row r="25" s="2731" customFormat="1" ht="18" customHeight="1" spans="1:12">
      <c r="A25" s="2739" t="s">
        <v>749</v>
      </c>
      <c r="B25" s="2746" t="s">
        <v>794</v>
      </c>
      <c r="C25" s="2763" t="s">
        <v>795</v>
      </c>
      <c r="D25" s="2764"/>
      <c r="E25" s="2779">
        <f>ROUND(H25/1.05,4)</f>
        <v>0.0533</v>
      </c>
      <c r="F25" s="2780"/>
      <c r="G25" s="2744" t="s">
        <v>796</v>
      </c>
      <c r="H25" s="2781">
        <v>0.056</v>
      </c>
      <c r="I25" s="2781"/>
      <c r="J25" s="2841"/>
      <c r="K25" s="2737"/>
      <c r="L25" s="2737"/>
    </row>
    <row r="26" s="2731" customFormat="1" ht="18" customHeight="1" spans="1:12">
      <c r="A26" s="2739" t="s">
        <v>753</v>
      </c>
      <c r="B26" s="2746" t="s">
        <v>797</v>
      </c>
      <c r="C26" s="2763" t="s">
        <v>795</v>
      </c>
      <c r="D26" s="2764"/>
      <c r="E26" s="2782">
        <v>0.12</v>
      </c>
      <c r="F26" s="2778"/>
      <c r="G26" s="2744"/>
      <c r="H26" s="2783">
        <v>0.12</v>
      </c>
      <c r="I26" s="2847"/>
      <c r="J26" s="2848"/>
      <c r="K26" s="2737"/>
      <c r="L26" s="2737"/>
    </row>
    <row r="27" s="2731" customFormat="1" ht="18" customHeight="1" spans="1:12">
      <c r="A27" s="2739" t="s">
        <v>756</v>
      </c>
      <c r="B27" s="2746" t="s">
        <v>798</v>
      </c>
      <c r="C27" s="2741">
        <f>ROUND(C23*H27,0)</f>
        <v>41</v>
      </c>
      <c r="D27" s="2742"/>
      <c r="E27" s="2742"/>
      <c r="F27" s="2743"/>
      <c r="G27" s="2744" t="s">
        <v>799</v>
      </c>
      <c r="H27" s="2784">
        <v>0.01</v>
      </c>
      <c r="I27" s="2784"/>
      <c r="J27" s="2849" t="s">
        <v>800</v>
      </c>
      <c r="K27" s="2737"/>
      <c r="L27" s="2737"/>
    </row>
    <row r="28" s="2731" customFormat="1" ht="18" customHeight="1" spans="1:12">
      <c r="A28" s="2739" t="s">
        <v>759</v>
      </c>
      <c r="B28" s="2746" t="s">
        <v>801</v>
      </c>
      <c r="C28" s="2741">
        <f>ROUND(C7*H28,0)</f>
        <v>4</v>
      </c>
      <c r="D28" s="2742"/>
      <c r="E28" s="2742"/>
      <c r="F28" s="2743"/>
      <c r="G28" s="2744" t="s">
        <v>802</v>
      </c>
      <c r="H28" s="2785">
        <v>0.001</v>
      </c>
      <c r="I28" s="2785"/>
      <c r="J28" s="2850"/>
      <c r="K28" s="2737"/>
      <c r="L28" s="2737"/>
    </row>
    <row r="29" s="2731" customFormat="1" ht="18" customHeight="1" spans="1:12">
      <c r="A29" s="2739" t="s">
        <v>774</v>
      </c>
      <c r="B29" s="2746" t="s">
        <v>754</v>
      </c>
      <c r="C29" s="2763" t="s">
        <v>795</v>
      </c>
      <c r="D29" s="2764"/>
      <c r="E29" s="2782">
        <f>H29</f>
        <v>0.01</v>
      </c>
      <c r="F29" s="2778"/>
      <c r="G29" s="2744" t="s">
        <v>803</v>
      </c>
      <c r="H29" s="2784">
        <v>0.01</v>
      </c>
      <c r="I29" s="2784"/>
      <c r="J29" s="2851"/>
      <c r="K29" s="2737"/>
      <c r="L29" s="2737"/>
    </row>
    <row r="30" s="2731" customFormat="1" ht="18" customHeight="1" spans="1:12">
      <c r="A30" s="2745" t="s">
        <v>804</v>
      </c>
      <c r="B30" s="2746" t="s">
        <v>805</v>
      </c>
      <c r="C30" s="2741">
        <f ca="1">ROUND((C4+C24)/(1-E24),0)</f>
        <v>111</v>
      </c>
      <c r="D30" s="2742"/>
      <c r="E30" s="2742"/>
      <c r="F30" s="2743"/>
      <c r="G30" s="2745" t="s">
        <v>806</v>
      </c>
      <c r="H30" s="2745"/>
      <c r="I30" s="2745"/>
      <c r="J30" s="2852"/>
      <c r="K30" s="2737"/>
      <c r="L30" s="2737"/>
    </row>
    <row r="31" s="2731" customFormat="1" ht="18" customHeight="1" spans="1:12">
      <c r="A31" s="2745" t="s">
        <v>807</v>
      </c>
      <c r="B31" s="2746" t="s">
        <v>808</v>
      </c>
      <c r="C31" s="2786">
        <f ca="1">ROUND(C30/I31/I32/I3,2)</f>
        <v>0.36</v>
      </c>
      <c r="D31" s="2787"/>
      <c r="E31" s="2787"/>
      <c r="F31" s="2788"/>
      <c r="G31" s="2744" t="s">
        <v>809</v>
      </c>
      <c r="H31" s="2746" t="s">
        <v>810</v>
      </c>
      <c r="I31" s="2744">
        <v>365</v>
      </c>
      <c r="J31" s="2826"/>
      <c r="K31" s="2737"/>
      <c r="L31" s="2737"/>
    </row>
    <row r="32" s="2731" customFormat="1" ht="18" customHeight="1" spans="1:12">
      <c r="A32" s="2745"/>
      <c r="B32" s="2746"/>
      <c r="C32" s="2789"/>
      <c r="D32" s="2790"/>
      <c r="E32" s="2790"/>
      <c r="F32" s="2791"/>
      <c r="G32" s="2744"/>
      <c r="H32" s="2746" t="s">
        <v>811</v>
      </c>
      <c r="I32" s="2845">
        <v>0.85</v>
      </c>
      <c r="J32" s="2846"/>
      <c r="K32" s="2732"/>
      <c r="L32" s="2732"/>
    </row>
    <row r="33" s="2731" customFormat="1" ht="18" customHeight="1" spans="1:12">
      <c r="A33" s="2732"/>
      <c r="B33" s="2792"/>
      <c r="C33" s="2793"/>
      <c r="D33" s="2793"/>
      <c r="E33" s="2793"/>
      <c r="F33" s="2793"/>
      <c r="G33" s="2794"/>
      <c r="H33" s="2795"/>
      <c r="I33" s="2732"/>
      <c r="J33" s="2736"/>
      <c r="K33" s="2732"/>
      <c r="L33" s="2732"/>
    </row>
    <row r="34" s="2731" customFormat="1" ht="18" customHeight="1" spans="1:13">
      <c r="A34" s="2732"/>
      <c r="B34" s="2796" t="s">
        <v>812</v>
      </c>
      <c r="C34" s="2796"/>
      <c r="D34" s="2796"/>
      <c r="E34" s="2796"/>
      <c r="F34" s="2796"/>
      <c r="G34" s="2797"/>
      <c r="H34" s="2798"/>
      <c r="I34" s="2732"/>
      <c r="J34" s="2853">
        <f ca="1">C31*0.5</f>
        <v>0.18</v>
      </c>
      <c r="K34" s="2732"/>
      <c r="L34" s="2732"/>
      <c r="M34" s="2732"/>
    </row>
    <row r="35" s="2731" customFormat="1" ht="18" customHeight="1" spans="1:13">
      <c r="A35" s="2732"/>
      <c r="B35" s="2799" t="s">
        <v>813</v>
      </c>
      <c r="C35" s="2800" t="s">
        <v>718</v>
      </c>
      <c r="D35" s="2800" t="s">
        <v>814</v>
      </c>
      <c r="E35" s="2800"/>
      <c r="F35" s="2800"/>
      <c r="G35" s="2797"/>
      <c r="H35" s="2801" t="s">
        <v>815</v>
      </c>
      <c r="I35" s="2854"/>
      <c r="J35" s="2853">
        <f ca="1">C31*0.4</f>
        <v>0.144</v>
      </c>
      <c r="K35" s="2732"/>
      <c r="L35" s="2732"/>
      <c r="M35" s="2732"/>
    </row>
    <row r="36" spans="2:12">
      <c r="B36" s="2799" t="s">
        <v>816</v>
      </c>
      <c r="C36" s="2802">
        <v>0.5</v>
      </c>
      <c r="D36" s="2803">
        <f>[2]比较法—租金!N39</f>
        <v>9.33</v>
      </c>
      <c r="E36" s="2803"/>
      <c r="F36" s="2803"/>
      <c r="G36" s="2797">
        <f ca="1">(D36-D37)/D37</f>
        <v>24.9166666666667</v>
      </c>
      <c r="H36" s="2801" t="s">
        <v>817</v>
      </c>
      <c r="I36" s="2855"/>
      <c r="J36" s="2732"/>
      <c r="K36" s="2732"/>
      <c r="L36" s="2732"/>
    </row>
    <row r="37" ht="20.1" customHeight="1" spans="2:12">
      <c r="B37" s="2799" t="s">
        <v>697</v>
      </c>
      <c r="C37" s="2802">
        <f>1-C36</f>
        <v>0.5</v>
      </c>
      <c r="D37" s="2803">
        <f ca="1">C31</f>
        <v>0.36</v>
      </c>
      <c r="E37" s="2803"/>
      <c r="F37" s="2803"/>
      <c r="G37" s="2797"/>
      <c r="H37" s="2798"/>
      <c r="J37" s="2732"/>
      <c r="K37" s="2732"/>
      <c r="L37" s="2732"/>
    </row>
    <row r="38" ht="22.5" customHeight="1" spans="2:10">
      <c r="B38" s="2799" t="s">
        <v>818</v>
      </c>
      <c r="C38" s="2799"/>
      <c r="D38" s="2804">
        <f ca="1">ROUND(C36*D36+C37*D37,1)</f>
        <v>4.8</v>
      </c>
      <c r="E38" s="2804"/>
      <c r="F38" s="2804"/>
      <c r="G38" s="2797"/>
      <c r="H38" s="2798"/>
      <c r="J38" s="2732"/>
    </row>
    <row r="39" ht="22.5" customHeight="1" spans="2:10">
      <c r="B39" s="2799" t="s">
        <v>819</v>
      </c>
      <c r="C39" s="2799">
        <f ca="1">ROUND(D38*0.9,1)</f>
        <v>4.3</v>
      </c>
      <c r="D39" s="2804" t="s">
        <v>820</v>
      </c>
      <c r="E39" s="2804">
        <f ca="1">ROUND(D38*1.1,1)</f>
        <v>5.3</v>
      </c>
      <c r="F39" s="2804"/>
      <c r="G39" s="2797" t="s">
        <v>821</v>
      </c>
      <c r="H39" s="2805">
        <v>11.48</v>
      </c>
      <c r="J39" s="2732"/>
    </row>
    <row r="40" ht="18" customHeight="1" spans="2:8">
      <c r="B40" s="2799" t="s">
        <v>822</v>
      </c>
      <c r="C40" s="2799">
        <f ca="1">ROUND(C39+H40,1)</f>
        <v>4.3</v>
      </c>
      <c r="D40" s="2804" t="s">
        <v>820</v>
      </c>
      <c r="E40" s="2804">
        <f ca="1">ROUND(E39+H40,1)</f>
        <v>5.3</v>
      </c>
      <c r="F40" s="2804"/>
      <c r="G40" s="2806" t="s">
        <v>823</v>
      </c>
      <c r="H40" s="2806"/>
    </row>
    <row r="41" ht="18" customHeight="1" spans="2:8">
      <c r="B41" s="2807"/>
      <c r="C41" s="2808"/>
      <c r="D41" s="2809"/>
      <c r="E41" s="2809"/>
      <c r="F41" s="2809"/>
      <c r="G41" s="2797"/>
      <c r="H41" s="2798"/>
    </row>
    <row r="42" ht="18" customHeight="1" spans="2:8">
      <c r="B42" s="2797" t="s">
        <v>824</v>
      </c>
      <c r="C42" s="2809"/>
      <c r="D42" s="2809"/>
      <c r="E42" s="2797" t="s">
        <v>825</v>
      </c>
      <c r="F42" s="2809"/>
      <c r="G42" s="2797"/>
      <c r="H42" s="2797" t="s">
        <v>826</v>
      </c>
    </row>
    <row r="43" ht="29.25" customHeight="1"/>
    <row r="44" spans="2:7">
      <c r="B44" s="2810" t="s">
        <v>827</v>
      </c>
      <c r="C44" s="2810"/>
      <c r="D44" s="2810"/>
      <c r="E44" s="2811"/>
      <c r="F44" s="2812" t="s">
        <v>828</v>
      </c>
      <c r="G44" s="2813"/>
    </row>
    <row r="45" spans="2:7">
      <c r="B45" s="2814" t="s">
        <v>829</v>
      </c>
      <c r="C45" s="2810" t="s">
        <v>830</v>
      </c>
      <c r="D45" s="2810" t="s">
        <v>831</v>
      </c>
      <c r="E45" s="2811" t="s">
        <v>832</v>
      </c>
      <c r="F45" s="2812"/>
      <c r="G45" s="2813"/>
    </row>
    <row r="46" spans="2:7">
      <c r="B46" s="2810">
        <v>0.5</v>
      </c>
      <c r="C46" s="2810">
        <v>0.8</v>
      </c>
      <c r="D46" s="2810">
        <v>1</v>
      </c>
      <c r="E46" s="2811">
        <v>0.25</v>
      </c>
      <c r="F46" s="2810">
        <f ca="1">F47*B46*C46*D46-F47*E46</f>
        <v>956.4</v>
      </c>
      <c r="G46" s="2813" t="s">
        <v>833</v>
      </c>
    </row>
    <row r="47" spans="2:7">
      <c r="B47" s="2813"/>
      <c r="C47" s="2813"/>
      <c r="D47" s="2813"/>
      <c r="E47" s="2815"/>
      <c r="F47" s="2810">
        <f ca="1">系统读取表!E16</f>
        <v>6376</v>
      </c>
      <c r="G47" s="2816"/>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K34"/>
  <sheetViews>
    <sheetView workbookViewId="0">
      <selection activeCell="J34" sqref="J34"/>
    </sheetView>
  </sheetViews>
  <sheetFormatPr defaultColWidth="9" defaultRowHeight="13.5"/>
  <cols>
    <col min="5" max="5" width="9.375"/>
    <col min="10" max="11" width="12.625"/>
  </cols>
  <sheetData>
    <row r="4" spans="5:10">
      <c r="E4" t="s">
        <v>842</v>
      </c>
      <c r="F4" t="s">
        <v>845</v>
      </c>
      <c r="G4" t="s">
        <v>846</v>
      </c>
      <c r="H4" t="s">
        <v>847</v>
      </c>
      <c r="J4" t="s">
        <v>843</v>
      </c>
    </row>
    <row r="5" spans="4:11">
      <c r="D5" t="s">
        <v>848</v>
      </c>
      <c r="E5">
        <v>156.24</v>
      </c>
      <c r="F5">
        <v>1</v>
      </c>
      <c r="G5">
        <v>1</v>
      </c>
      <c r="H5" t="s">
        <v>610</v>
      </c>
      <c r="I5">
        <v>1</v>
      </c>
      <c r="J5" s="2717">
        <f ca="1">'收益法倒推租金-商业'!C31</f>
        <v>1.21</v>
      </c>
      <c r="K5">
        <f ca="1">ROUND(J5*E5,2)</f>
        <v>189.05</v>
      </c>
    </row>
    <row r="6" spans="4:11">
      <c r="D6" t="s">
        <v>849</v>
      </c>
      <c r="E6">
        <v>2852.34</v>
      </c>
      <c r="F6" t="s">
        <v>841</v>
      </c>
      <c r="G6">
        <v>0.5</v>
      </c>
      <c r="H6" t="s">
        <v>610</v>
      </c>
      <c r="I6">
        <v>1</v>
      </c>
      <c r="J6" s="2717">
        <f ca="1">$J$5*G6*I6</f>
        <v>0.605</v>
      </c>
      <c r="K6">
        <f ca="1" t="shared" ref="K6:K33" si="0">ROUND(J6*E6,2)</f>
        <v>1725.67</v>
      </c>
    </row>
    <row r="7" spans="4:11">
      <c r="D7" t="s">
        <v>850</v>
      </c>
      <c r="E7">
        <v>1550.22</v>
      </c>
      <c r="F7">
        <v>1</v>
      </c>
      <c r="G7">
        <v>1</v>
      </c>
      <c r="H7" t="s">
        <v>610</v>
      </c>
      <c r="I7">
        <v>1</v>
      </c>
      <c r="J7" s="2717">
        <f ca="1" t="shared" ref="J7:J32" si="1">$J$5*G7*I7</f>
        <v>1.21</v>
      </c>
      <c r="K7">
        <f ca="1" t="shared" si="0"/>
        <v>1875.77</v>
      </c>
    </row>
    <row r="8" spans="4:11">
      <c r="D8" t="s">
        <v>851</v>
      </c>
      <c r="E8">
        <v>1568.95</v>
      </c>
      <c r="F8">
        <v>2</v>
      </c>
      <c r="G8">
        <v>0.7</v>
      </c>
      <c r="H8" t="s">
        <v>610</v>
      </c>
      <c r="I8">
        <v>1</v>
      </c>
      <c r="J8" s="2717">
        <f ca="1" t="shared" si="1"/>
        <v>0.847</v>
      </c>
      <c r="K8">
        <f ca="1" t="shared" si="0"/>
        <v>1328.9</v>
      </c>
    </row>
    <row r="9" spans="4:11">
      <c r="D9" t="s">
        <v>852</v>
      </c>
      <c r="E9">
        <v>1535.76</v>
      </c>
      <c r="F9">
        <v>3</v>
      </c>
      <c r="G9">
        <v>0.65</v>
      </c>
      <c r="H9" t="s">
        <v>610</v>
      </c>
      <c r="I9">
        <v>1</v>
      </c>
      <c r="J9" s="2717">
        <f ca="1" t="shared" si="1"/>
        <v>0.7865</v>
      </c>
      <c r="K9">
        <f ca="1" t="shared" si="0"/>
        <v>1207.88</v>
      </c>
    </row>
    <row r="10" spans="4:11">
      <c r="D10" t="s">
        <v>853</v>
      </c>
      <c r="E10">
        <v>1255.99</v>
      </c>
      <c r="F10">
        <v>1</v>
      </c>
      <c r="G10">
        <v>1</v>
      </c>
      <c r="H10" t="s">
        <v>854</v>
      </c>
      <c r="I10">
        <v>1.06</v>
      </c>
      <c r="J10" s="2717">
        <f ca="1" t="shared" si="1"/>
        <v>1.2826</v>
      </c>
      <c r="K10">
        <f ca="1" t="shared" si="0"/>
        <v>1610.93</v>
      </c>
    </row>
    <row r="11" spans="4:11">
      <c r="D11" t="s">
        <v>855</v>
      </c>
      <c r="E11">
        <v>906.54</v>
      </c>
      <c r="F11">
        <v>2</v>
      </c>
      <c r="G11">
        <v>0.7</v>
      </c>
      <c r="H11" t="s">
        <v>854</v>
      </c>
      <c r="I11">
        <v>1.06</v>
      </c>
      <c r="J11" s="2717">
        <f ca="1" t="shared" si="1"/>
        <v>0.89782</v>
      </c>
      <c r="K11">
        <f ca="1" t="shared" si="0"/>
        <v>813.91</v>
      </c>
    </row>
    <row r="12" spans="4:11">
      <c r="D12" t="s">
        <v>856</v>
      </c>
      <c r="E12">
        <v>790.44</v>
      </c>
      <c r="F12" t="s">
        <v>841</v>
      </c>
      <c r="G12">
        <v>0.5</v>
      </c>
      <c r="H12" t="s">
        <v>610</v>
      </c>
      <c r="I12">
        <v>1</v>
      </c>
      <c r="J12" s="2717">
        <f ca="1" t="shared" si="1"/>
        <v>0.605</v>
      </c>
      <c r="K12">
        <f ca="1" t="shared" si="0"/>
        <v>478.22</v>
      </c>
    </row>
    <row r="13" spans="4:11">
      <c r="D13" t="s">
        <v>857</v>
      </c>
      <c r="E13">
        <v>825.68</v>
      </c>
      <c r="F13" t="s">
        <v>841</v>
      </c>
      <c r="G13">
        <v>0.5</v>
      </c>
      <c r="H13" t="s">
        <v>610</v>
      </c>
      <c r="I13">
        <v>1</v>
      </c>
      <c r="J13" s="2717">
        <f ca="1" t="shared" si="1"/>
        <v>0.605</v>
      </c>
      <c r="K13">
        <f ca="1" t="shared" si="0"/>
        <v>499.54</v>
      </c>
    </row>
    <row r="14" spans="4:11">
      <c r="D14" t="s">
        <v>858</v>
      </c>
      <c r="E14">
        <v>1542.92</v>
      </c>
      <c r="F14">
        <v>1</v>
      </c>
      <c r="G14">
        <v>1</v>
      </c>
      <c r="H14" t="s">
        <v>610</v>
      </c>
      <c r="I14">
        <v>1</v>
      </c>
      <c r="J14" s="2717">
        <f ca="1" t="shared" si="1"/>
        <v>1.21</v>
      </c>
      <c r="K14">
        <f ca="1" t="shared" si="0"/>
        <v>1866.93</v>
      </c>
    </row>
    <row r="15" spans="4:11">
      <c r="D15" t="s">
        <v>859</v>
      </c>
      <c r="E15">
        <v>439.7</v>
      </c>
      <c r="F15">
        <v>2</v>
      </c>
      <c r="G15">
        <v>0.7</v>
      </c>
      <c r="H15" t="s">
        <v>610</v>
      </c>
      <c r="I15">
        <v>1</v>
      </c>
      <c r="J15" s="2717">
        <f ca="1" t="shared" si="1"/>
        <v>0.847</v>
      </c>
      <c r="K15">
        <f ca="1" t="shared" si="0"/>
        <v>372.43</v>
      </c>
    </row>
    <row r="16" spans="4:11">
      <c r="D16" t="s">
        <v>860</v>
      </c>
      <c r="E16">
        <v>528.95</v>
      </c>
      <c r="F16">
        <v>2</v>
      </c>
      <c r="G16">
        <v>0.7</v>
      </c>
      <c r="H16" t="s">
        <v>610</v>
      </c>
      <c r="I16">
        <v>1</v>
      </c>
      <c r="J16" s="2717">
        <f ca="1" t="shared" si="1"/>
        <v>0.847</v>
      </c>
      <c r="K16">
        <f ca="1" t="shared" si="0"/>
        <v>448.02</v>
      </c>
    </row>
    <row r="17" spans="4:11">
      <c r="D17" t="s">
        <v>861</v>
      </c>
      <c r="E17">
        <v>528.95</v>
      </c>
      <c r="F17">
        <v>3</v>
      </c>
      <c r="G17">
        <v>0.65</v>
      </c>
      <c r="H17" t="s">
        <v>610</v>
      </c>
      <c r="I17">
        <v>1</v>
      </c>
      <c r="J17" s="2717">
        <f ca="1" t="shared" si="1"/>
        <v>0.7865</v>
      </c>
      <c r="K17">
        <f ca="1" t="shared" si="0"/>
        <v>416.02</v>
      </c>
    </row>
    <row r="18" spans="4:11">
      <c r="D18" t="s">
        <v>862</v>
      </c>
      <c r="E18">
        <v>559.13</v>
      </c>
      <c r="F18">
        <v>4</v>
      </c>
      <c r="G18">
        <v>0.6</v>
      </c>
      <c r="H18" t="s">
        <v>610</v>
      </c>
      <c r="I18">
        <v>1</v>
      </c>
      <c r="J18" s="2717">
        <f ca="1" t="shared" si="1"/>
        <v>0.726</v>
      </c>
      <c r="K18">
        <f ca="1" t="shared" si="0"/>
        <v>405.93</v>
      </c>
    </row>
    <row r="19" spans="4:11">
      <c r="D19" t="s">
        <v>863</v>
      </c>
      <c r="E19">
        <v>548.94</v>
      </c>
      <c r="F19">
        <v>5</v>
      </c>
      <c r="G19">
        <v>0.5</v>
      </c>
      <c r="H19" t="s">
        <v>610</v>
      </c>
      <c r="I19">
        <v>1</v>
      </c>
      <c r="J19" s="2717">
        <f ca="1" t="shared" si="1"/>
        <v>0.605</v>
      </c>
      <c r="K19">
        <f ca="1" t="shared" si="0"/>
        <v>332.11</v>
      </c>
    </row>
    <row r="20" spans="4:11">
      <c r="D20" t="s">
        <v>864</v>
      </c>
      <c r="E20">
        <v>378.85</v>
      </c>
      <c r="F20" t="s">
        <v>841</v>
      </c>
      <c r="G20">
        <v>0.5</v>
      </c>
      <c r="H20" t="s">
        <v>610</v>
      </c>
      <c r="I20">
        <v>1</v>
      </c>
      <c r="J20" s="2717">
        <f ca="1" t="shared" si="1"/>
        <v>0.605</v>
      </c>
      <c r="K20">
        <f ca="1" t="shared" si="0"/>
        <v>229.2</v>
      </c>
    </row>
    <row r="21" spans="4:11">
      <c r="D21" t="s">
        <v>865</v>
      </c>
      <c r="E21">
        <v>899.91</v>
      </c>
      <c r="F21" t="s">
        <v>841</v>
      </c>
      <c r="G21">
        <v>0.5</v>
      </c>
      <c r="H21" t="s">
        <v>610</v>
      </c>
      <c r="I21">
        <v>1</v>
      </c>
      <c r="J21" s="2717">
        <f ca="1" t="shared" si="1"/>
        <v>0.605</v>
      </c>
      <c r="K21">
        <f ca="1" t="shared" si="0"/>
        <v>544.45</v>
      </c>
    </row>
    <row r="22" spans="4:11">
      <c r="D22" t="s">
        <v>866</v>
      </c>
      <c r="E22">
        <v>1428.63</v>
      </c>
      <c r="F22">
        <v>1</v>
      </c>
      <c r="G22">
        <v>1</v>
      </c>
      <c r="H22" t="s">
        <v>610</v>
      </c>
      <c r="I22">
        <v>1</v>
      </c>
      <c r="J22" s="2717">
        <f ca="1" t="shared" si="1"/>
        <v>1.21</v>
      </c>
      <c r="K22">
        <f ca="1" t="shared" si="0"/>
        <v>1728.64</v>
      </c>
    </row>
    <row r="23" spans="4:11">
      <c r="D23" t="s">
        <v>867</v>
      </c>
      <c r="E23">
        <v>451.64</v>
      </c>
      <c r="F23">
        <v>2</v>
      </c>
      <c r="G23">
        <v>0.7</v>
      </c>
      <c r="H23" t="s">
        <v>610</v>
      </c>
      <c r="I23">
        <v>1</v>
      </c>
      <c r="J23" s="2717">
        <f ca="1" t="shared" si="1"/>
        <v>0.847</v>
      </c>
      <c r="K23">
        <f ca="1" t="shared" si="0"/>
        <v>382.54</v>
      </c>
    </row>
    <row r="24" spans="4:11">
      <c r="D24" t="s">
        <v>868</v>
      </c>
      <c r="E24">
        <v>358.18</v>
      </c>
      <c r="F24">
        <v>2</v>
      </c>
      <c r="G24">
        <v>0.7</v>
      </c>
      <c r="H24" t="s">
        <v>610</v>
      </c>
      <c r="I24">
        <v>1</v>
      </c>
      <c r="J24" s="2717">
        <f ca="1" t="shared" si="1"/>
        <v>0.847</v>
      </c>
      <c r="K24">
        <f ca="1" t="shared" si="0"/>
        <v>303.38</v>
      </c>
    </row>
    <row r="25" spans="4:11">
      <c r="D25" t="s">
        <v>869</v>
      </c>
      <c r="E25">
        <v>451.64</v>
      </c>
      <c r="F25">
        <v>3</v>
      </c>
      <c r="G25">
        <v>0.65</v>
      </c>
      <c r="H25" t="s">
        <v>610</v>
      </c>
      <c r="I25">
        <v>1</v>
      </c>
      <c r="J25" s="2717">
        <f ca="1" t="shared" si="1"/>
        <v>0.7865</v>
      </c>
      <c r="K25">
        <f ca="1" t="shared" si="0"/>
        <v>355.21</v>
      </c>
    </row>
    <row r="26" spans="4:11">
      <c r="D26" t="s">
        <v>870</v>
      </c>
      <c r="E26">
        <v>975.67</v>
      </c>
      <c r="F26" t="s">
        <v>841</v>
      </c>
      <c r="G26">
        <v>0.5</v>
      </c>
      <c r="H26" t="s">
        <v>610</v>
      </c>
      <c r="I26">
        <v>1</v>
      </c>
      <c r="J26" s="2717">
        <f ca="1" t="shared" si="1"/>
        <v>0.605</v>
      </c>
      <c r="K26">
        <f ca="1" t="shared" si="0"/>
        <v>590.28</v>
      </c>
    </row>
    <row r="27" spans="4:11">
      <c r="D27" t="s">
        <v>871</v>
      </c>
      <c r="E27">
        <v>656.81</v>
      </c>
      <c r="F27" t="s">
        <v>841</v>
      </c>
      <c r="G27">
        <v>0.5</v>
      </c>
      <c r="H27" t="s">
        <v>610</v>
      </c>
      <c r="I27">
        <v>1</v>
      </c>
      <c r="J27" s="2717">
        <f ca="1" t="shared" si="1"/>
        <v>0.605</v>
      </c>
      <c r="K27">
        <f ca="1" t="shared" si="0"/>
        <v>397.37</v>
      </c>
    </row>
    <row r="28" spans="4:11">
      <c r="D28" t="s">
        <v>872</v>
      </c>
      <c r="E28">
        <v>1459.31</v>
      </c>
      <c r="F28">
        <v>1</v>
      </c>
      <c r="G28">
        <v>1</v>
      </c>
      <c r="H28" t="s">
        <v>610</v>
      </c>
      <c r="I28">
        <v>1</v>
      </c>
      <c r="J28" s="2717">
        <f ca="1" t="shared" si="1"/>
        <v>1.21</v>
      </c>
      <c r="K28">
        <f ca="1" t="shared" si="0"/>
        <v>1765.77</v>
      </c>
    </row>
    <row r="29" spans="4:11">
      <c r="D29" t="s">
        <v>873</v>
      </c>
      <c r="E29">
        <v>525.22</v>
      </c>
      <c r="F29">
        <v>2</v>
      </c>
      <c r="G29">
        <v>0.7</v>
      </c>
      <c r="H29" t="s">
        <v>610</v>
      </c>
      <c r="I29">
        <v>1</v>
      </c>
      <c r="J29" s="2717">
        <f ca="1" t="shared" si="1"/>
        <v>0.847</v>
      </c>
      <c r="K29">
        <f ca="1" t="shared" si="0"/>
        <v>444.86</v>
      </c>
    </row>
    <row r="30" spans="4:11">
      <c r="D30" t="s">
        <v>874</v>
      </c>
      <c r="E30">
        <v>553.41</v>
      </c>
      <c r="F30">
        <v>2</v>
      </c>
      <c r="G30">
        <v>0.7</v>
      </c>
      <c r="H30" t="s">
        <v>610</v>
      </c>
      <c r="I30">
        <v>1</v>
      </c>
      <c r="J30" s="2717">
        <f ca="1" t="shared" si="1"/>
        <v>0.847</v>
      </c>
      <c r="K30">
        <f ca="1" t="shared" si="0"/>
        <v>468.74</v>
      </c>
    </row>
    <row r="31" spans="4:11">
      <c r="D31" t="s">
        <v>875</v>
      </c>
      <c r="E31">
        <v>548.74</v>
      </c>
      <c r="F31">
        <v>3</v>
      </c>
      <c r="G31">
        <v>0.65</v>
      </c>
      <c r="H31" t="s">
        <v>610</v>
      </c>
      <c r="I31">
        <v>1</v>
      </c>
      <c r="J31" s="2717">
        <f ca="1" t="shared" si="1"/>
        <v>0.7865</v>
      </c>
      <c r="K31">
        <f ca="1" t="shared" si="0"/>
        <v>431.58</v>
      </c>
    </row>
    <row r="32" spans="4:11">
      <c r="D32" t="s">
        <v>876</v>
      </c>
      <c r="E32">
        <v>548.74</v>
      </c>
      <c r="F32">
        <v>4</v>
      </c>
      <c r="G32">
        <v>0.6</v>
      </c>
      <c r="H32" t="s">
        <v>610</v>
      </c>
      <c r="I32">
        <v>1</v>
      </c>
      <c r="J32" s="2717">
        <f ca="1" t="shared" si="1"/>
        <v>0.726</v>
      </c>
      <c r="K32">
        <f ca="1" t="shared" si="0"/>
        <v>398.39</v>
      </c>
    </row>
    <row r="33" spans="4:11">
      <c r="D33" t="s">
        <v>554</v>
      </c>
      <c r="E33">
        <f>系统读取表!B15</f>
        <v>7767.62</v>
      </c>
      <c r="J33">
        <f ca="1">'收益法倒推租金-酒店'!C31</f>
        <v>0.38</v>
      </c>
      <c r="K33">
        <f ca="1" t="shared" si="0"/>
        <v>2951.7</v>
      </c>
    </row>
    <row r="34" spans="5:11">
      <c r="E34">
        <f>SUM(E5:E33)</f>
        <v>32595.12</v>
      </c>
      <c r="J34">
        <f ca="1">ROUND(K34/E34,2)</f>
        <v>0.75</v>
      </c>
      <c r="K34">
        <f ca="1">SUM(K5:K33)</f>
        <v>24563.42</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K32"/>
  <sheetViews>
    <sheetView topLeftCell="A3" workbookViewId="0">
      <selection activeCell="J32" sqref="J32"/>
    </sheetView>
  </sheetViews>
  <sheetFormatPr defaultColWidth="9" defaultRowHeight="13.5"/>
  <cols>
    <col min="4" max="4" width="4.75" customWidth="1"/>
    <col min="5" max="5" width="4" customWidth="1"/>
    <col min="6" max="6" width="13.125" customWidth="1"/>
    <col min="7" max="7" width="5.375" customWidth="1"/>
    <col min="10" max="10" width="9" style="2717"/>
    <col min="11" max="11" width="9.375"/>
    <col min="12" max="12" width="12.625"/>
  </cols>
  <sheetData>
    <row r="2" customHeight="1"/>
    <row r="5" ht="36" spans="4:11">
      <c r="D5" s="2718" t="s">
        <v>700</v>
      </c>
      <c r="E5" s="2718" t="s">
        <v>877</v>
      </c>
      <c r="F5" s="2718" t="s">
        <v>878</v>
      </c>
      <c r="G5" s="2718" t="s">
        <v>845</v>
      </c>
      <c r="H5" s="2718" t="s">
        <v>879</v>
      </c>
      <c r="I5" s="2718" t="s">
        <v>880</v>
      </c>
      <c r="J5" s="2725" t="s">
        <v>881</v>
      </c>
      <c r="K5" s="2726" t="s">
        <v>882</v>
      </c>
    </row>
    <row r="6" ht="15" customHeight="1" spans="4:11">
      <c r="D6" s="2718">
        <v>1</v>
      </c>
      <c r="E6" s="2719" t="s">
        <v>883</v>
      </c>
      <c r="F6" s="2720">
        <v>5</v>
      </c>
      <c r="G6" s="2721" t="s">
        <v>884</v>
      </c>
      <c r="H6" s="2720">
        <v>2852.34</v>
      </c>
      <c r="I6" s="2718" t="s">
        <v>459</v>
      </c>
      <c r="J6" s="2727">
        <f>[7]商业总体租金!J6</f>
        <v>0.605</v>
      </c>
      <c r="K6" s="2728">
        <f t="shared" ref="K6:K27" si="0">ROUND(J6*H6,2)</f>
        <v>1725.67</v>
      </c>
    </row>
    <row r="7" spans="4:11">
      <c r="D7" s="2718">
        <v>2</v>
      </c>
      <c r="E7" s="2722"/>
      <c r="F7" s="2720"/>
      <c r="G7" s="2721" t="s">
        <v>815</v>
      </c>
      <c r="H7" s="2720">
        <v>1550.22</v>
      </c>
      <c r="I7" s="2718" t="s">
        <v>459</v>
      </c>
      <c r="J7" s="2727">
        <f>[7]商业总体租金!J7</f>
        <v>1.21</v>
      </c>
      <c r="K7" s="2728">
        <f t="shared" si="0"/>
        <v>1875.77</v>
      </c>
    </row>
    <row r="8" ht="15" customHeight="1" spans="4:11">
      <c r="D8" s="2718">
        <v>3</v>
      </c>
      <c r="E8" s="2722"/>
      <c r="F8" s="2720"/>
      <c r="G8" s="2721" t="s">
        <v>817</v>
      </c>
      <c r="H8" s="2720">
        <v>1568.95</v>
      </c>
      <c r="I8" s="2718" t="s">
        <v>459</v>
      </c>
      <c r="J8" s="2727">
        <f>[7]商业总体租金!J8</f>
        <v>0.847</v>
      </c>
      <c r="K8" s="2728">
        <f t="shared" si="0"/>
        <v>1328.9</v>
      </c>
    </row>
    <row r="9" ht="15" customHeight="1" spans="4:11">
      <c r="D9" s="2718">
        <v>4</v>
      </c>
      <c r="E9" s="2722"/>
      <c r="F9" s="2720"/>
      <c r="G9" s="2721" t="s">
        <v>885</v>
      </c>
      <c r="H9" s="2720">
        <v>1535.76</v>
      </c>
      <c r="I9" s="2718" t="s">
        <v>459</v>
      </c>
      <c r="J9" s="2727">
        <f>[7]商业总体租金!J9</f>
        <v>0.7865</v>
      </c>
      <c r="K9" s="2728">
        <f t="shared" si="0"/>
        <v>1207.88</v>
      </c>
    </row>
    <row r="10" spans="4:11">
      <c r="D10" s="2718">
        <v>5</v>
      </c>
      <c r="E10" s="2722"/>
      <c r="F10" s="2720">
        <v>6</v>
      </c>
      <c r="G10" s="2721" t="s">
        <v>815</v>
      </c>
      <c r="H10" s="2720">
        <v>1255.99</v>
      </c>
      <c r="I10" s="2718" t="s">
        <v>459</v>
      </c>
      <c r="J10" s="2727">
        <f>[7]商业总体租金!J10</f>
        <v>1.2826</v>
      </c>
      <c r="K10" s="2728">
        <f t="shared" si="0"/>
        <v>1610.93</v>
      </c>
    </row>
    <row r="11" spans="4:11">
      <c r="D11" s="2718">
        <v>6</v>
      </c>
      <c r="E11" s="2722"/>
      <c r="F11" s="2720"/>
      <c r="G11" s="2721" t="s">
        <v>817</v>
      </c>
      <c r="H11" s="2720">
        <v>906.54</v>
      </c>
      <c r="I11" s="2718" t="s">
        <v>459</v>
      </c>
      <c r="J11" s="2727">
        <f>[7]商业总体租金!J11</f>
        <v>0.89782</v>
      </c>
      <c r="K11" s="2728">
        <f t="shared" si="0"/>
        <v>813.91</v>
      </c>
    </row>
    <row r="12" ht="22.5" spans="4:11">
      <c r="D12" s="2718">
        <v>7</v>
      </c>
      <c r="E12" s="2722"/>
      <c r="F12" s="2720" t="s">
        <v>886</v>
      </c>
      <c r="G12" s="2721" t="s">
        <v>887</v>
      </c>
      <c r="H12" s="2720">
        <f>'[7]数据-汇总表'!F21</f>
        <v>7767.62</v>
      </c>
      <c r="I12" s="2718" t="s">
        <v>888</v>
      </c>
      <c r="J12" s="2729">
        <f>[7]商业总体租金!J33</f>
        <v>0.38</v>
      </c>
      <c r="K12" s="2728">
        <f t="shared" si="0"/>
        <v>2951.7</v>
      </c>
    </row>
    <row r="13" ht="22.5" spans="4:11">
      <c r="D13" s="2718">
        <v>17</v>
      </c>
      <c r="E13" s="2722"/>
      <c r="F13" s="2718" t="s">
        <v>889</v>
      </c>
      <c r="G13" s="2721" t="s">
        <v>884</v>
      </c>
      <c r="H13" s="2720">
        <f>'[7]数据-基础表'!K29+'[7]数据-基础表'!K30</f>
        <v>1616.12</v>
      </c>
      <c r="I13" s="2718" t="s">
        <v>459</v>
      </c>
      <c r="J13" s="2727">
        <f>[7]商业总体租金!J12</f>
        <v>0.605</v>
      </c>
      <c r="K13" s="2728">
        <f t="shared" si="0"/>
        <v>977.75</v>
      </c>
    </row>
    <row r="14" spans="4:11">
      <c r="D14" s="2718">
        <v>19</v>
      </c>
      <c r="E14" s="2722"/>
      <c r="F14" s="2718"/>
      <c r="G14" s="2721" t="s">
        <v>815</v>
      </c>
      <c r="H14" s="2720">
        <v>1542.92</v>
      </c>
      <c r="I14" s="2718" t="s">
        <v>459</v>
      </c>
      <c r="J14" s="2727">
        <f>[7]商业总体租金!J14</f>
        <v>1.21</v>
      </c>
      <c r="K14" s="2728">
        <f t="shared" si="0"/>
        <v>1866.93</v>
      </c>
    </row>
    <row r="15" spans="4:11">
      <c r="D15" s="2718">
        <v>20</v>
      </c>
      <c r="E15" s="2722"/>
      <c r="F15" s="2718"/>
      <c r="G15" s="2721" t="s">
        <v>817</v>
      </c>
      <c r="H15" s="2720">
        <f>'[7]数据-基础表'!I32+'[7]数据-基础表'!I33</f>
        <v>968.65</v>
      </c>
      <c r="I15" s="2718" t="s">
        <v>459</v>
      </c>
      <c r="J15" s="2727">
        <f>[7]商业总体租金!J15</f>
        <v>0.847</v>
      </c>
      <c r="K15" s="2728">
        <f t="shared" si="0"/>
        <v>820.45</v>
      </c>
    </row>
    <row r="16" spans="4:11">
      <c r="D16" s="2718">
        <v>22</v>
      </c>
      <c r="E16" s="2722"/>
      <c r="F16" s="2718"/>
      <c r="G16" s="2721" t="s">
        <v>885</v>
      </c>
      <c r="H16" s="2720">
        <v>528.95</v>
      </c>
      <c r="I16" s="2718" t="s">
        <v>459</v>
      </c>
      <c r="J16" s="2727">
        <f>[7]商业总体租金!J17</f>
        <v>0.7865</v>
      </c>
      <c r="K16" s="2728">
        <f t="shared" si="0"/>
        <v>416.02</v>
      </c>
    </row>
    <row r="17" spans="4:11">
      <c r="D17" s="2718">
        <v>23</v>
      </c>
      <c r="E17" s="2722"/>
      <c r="F17" s="2718"/>
      <c r="G17" s="2721" t="s">
        <v>890</v>
      </c>
      <c r="H17" s="2720">
        <v>559.13</v>
      </c>
      <c r="I17" s="2718" t="s">
        <v>459</v>
      </c>
      <c r="J17" s="2727">
        <f>[7]商业总体租金!J18</f>
        <v>0.726</v>
      </c>
      <c r="K17" s="2728">
        <f t="shared" si="0"/>
        <v>405.93</v>
      </c>
    </row>
    <row r="18" spans="4:11">
      <c r="D18" s="2718">
        <v>24</v>
      </c>
      <c r="E18" s="2722"/>
      <c r="F18" s="2718"/>
      <c r="G18" s="2721" t="s">
        <v>891</v>
      </c>
      <c r="H18" s="2720">
        <v>548.94</v>
      </c>
      <c r="I18" s="2718" t="s">
        <v>459</v>
      </c>
      <c r="J18" s="2727">
        <f>[7]商业总体租金!J19</f>
        <v>0.605</v>
      </c>
      <c r="K18" s="2728">
        <f t="shared" si="0"/>
        <v>332.11</v>
      </c>
    </row>
    <row r="19" ht="22.5" spans="4:11">
      <c r="D19" s="2718">
        <v>25</v>
      </c>
      <c r="E19" s="2722"/>
      <c r="F19" s="2718" t="s">
        <v>892</v>
      </c>
      <c r="G19" s="2721" t="s">
        <v>884</v>
      </c>
      <c r="H19" s="2720">
        <f>'[7]数据-基础表'!K37+'[7]数据-基础表'!K38</f>
        <v>1278.76</v>
      </c>
      <c r="I19" s="2718" t="s">
        <v>459</v>
      </c>
      <c r="J19" s="2727">
        <f>[7]商业总体租金!J20</f>
        <v>0.605</v>
      </c>
      <c r="K19" s="2728">
        <f t="shared" si="0"/>
        <v>773.65</v>
      </c>
    </row>
    <row r="20" ht="15" customHeight="1" spans="4:11">
      <c r="D20" s="2718">
        <v>27</v>
      </c>
      <c r="E20" s="2722"/>
      <c r="F20" s="2718"/>
      <c r="G20" s="2721" t="s">
        <v>815</v>
      </c>
      <c r="H20" s="2720">
        <v>1428.63</v>
      </c>
      <c r="I20" s="2718" t="s">
        <v>459</v>
      </c>
      <c r="J20" s="2727">
        <f>[7]商业总体租金!J22</f>
        <v>1.21</v>
      </c>
      <c r="K20" s="2728">
        <f t="shared" si="0"/>
        <v>1728.64</v>
      </c>
    </row>
    <row r="21" spans="4:11">
      <c r="D21" s="2718">
        <v>28</v>
      </c>
      <c r="E21" s="2722"/>
      <c r="F21" s="2718"/>
      <c r="G21" s="2721" t="s">
        <v>817</v>
      </c>
      <c r="H21" s="2720">
        <f>'[7]数据-基础表'!I40+'[7]数据-基础表'!I41</f>
        <v>809.82</v>
      </c>
      <c r="I21" s="2718" t="s">
        <v>459</v>
      </c>
      <c r="J21" s="2727">
        <f>[7]商业总体租金!J23</f>
        <v>0.847</v>
      </c>
      <c r="K21" s="2728">
        <f t="shared" si="0"/>
        <v>685.92</v>
      </c>
    </row>
    <row r="22" spans="4:11">
      <c r="D22" s="2718">
        <v>30</v>
      </c>
      <c r="E22" s="2722"/>
      <c r="F22" s="2718"/>
      <c r="G22" s="2721" t="s">
        <v>885</v>
      </c>
      <c r="H22" s="2720">
        <v>451.64</v>
      </c>
      <c r="I22" s="2718" t="s">
        <v>459</v>
      </c>
      <c r="J22" s="2727">
        <f>[7]商业总体租金!J25</f>
        <v>0.7865</v>
      </c>
      <c r="K22" s="2728">
        <f t="shared" si="0"/>
        <v>355.21</v>
      </c>
    </row>
    <row r="23" ht="22.5" spans="4:11">
      <c r="D23" s="2718">
        <v>31</v>
      </c>
      <c r="E23" s="2722"/>
      <c r="F23" s="2718" t="s">
        <v>893</v>
      </c>
      <c r="G23" s="2721" t="s">
        <v>884</v>
      </c>
      <c r="H23" s="2720">
        <f>'[7]数据-基础表'!K43+'[7]数据-基础表'!K44</f>
        <v>1632.48</v>
      </c>
      <c r="I23" s="2718" t="s">
        <v>459</v>
      </c>
      <c r="J23" s="2727">
        <f>[7]商业总体租金!J26</f>
        <v>0.605</v>
      </c>
      <c r="K23" s="2728">
        <f t="shared" si="0"/>
        <v>987.65</v>
      </c>
    </row>
    <row r="24" spans="4:11">
      <c r="D24" s="2718">
        <v>33</v>
      </c>
      <c r="E24" s="2722"/>
      <c r="F24" s="2718"/>
      <c r="G24" s="2721" t="s">
        <v>815</v>
      </c>
      <c r="H24" s="2720">
        <f>'[7]数据-基础表'!I45+'[7]数据-基础表'!I46</f>
        <v>1615.55</v>
      </c>
      <c r="I24" s="2718" t="s">
        <v>459</v>
      </c>
      <c r="J24" s="2727">
        <f>[7]商业总体租金!J5</f>
        <v>1.21</v>
      </c>
      <c r="K24" s="2728">
        <f t="shared" si="0"/>
        <v>1954.82</v>
      </c>
    </row>
    <row r="25" ht="15" customHeight="1" spans="4:11">
      <c r="D25" s="2718">
        <v>38</v>
      </c>
      <c r="E25" s="2722"/>
      <c r="F25" s="2718"/>
      <c r="G25" s="2721" t="s">
        <v>817</v>
      </c>
      <c r="H25" s="2720">
        <f>'[7]数据-基础表'!I47+'[7]数据-基础表'!I48</f>
        <v>1078.63</v>
      </c>
      <c r="I25" s="2718" t="s">
        <v>459</v>
      </c>
      <c r="J25" s="2727">
        <f>[7]商业总体租金!J29</f>
        <v>0.847</v>
      </c>
      <c r="K25" s="2728">
        <f t="shared" si="0"/>
        <v>913.6</v>
      </c>
    </row>
    <row r="26" spans="4:11">
      <c r="D26" s="2718">
        <v>40</v>
      </c>
      <c r="E26" s="2722"/>
      <c r="F26" s="2718"/>
      <c r="G26" s="2721" t="s">
        <v>885</v>
      </c>
      <c r="H26" s="2720">
        <v>548.74</v>
      </c>
      <c r="I26" s="2718" t="s">
        <v>459</v>
      </c>
      <c r="J26" s="2727">
        <f>[7]商业总体租金!J31</f>
        <v>0.7865</v>
      </c>
      <c r="K26" s="2728">
        <f t="shared" si="0"/>
        <v>431.58</v>
      </c>
    </row>
    <row r="27" ht="15" customHeight="1" spans="4:11">
      <c r="D27" s="2718">
        <v>41</v>
      </c>
      <c r="E27" s="2723"/>
      <c r="F27" s="2718"/>
      <c r="G27" s="2721" t="s">
        <v>890</v>
      </c>
      <c r="H27" s="2720">
        <v>548.74</v>
      </c>
      <c r="I27" s="2718" t="s">
        <v>459</v>
      </c>
      <c r="J27" s="2727">
        <f>[7]商业总体租金!J32</f>
        <v>0.726</v>
      </c>
      <c r="K27" s="2728">
        <f t="shared" si="0"/>
        <v>398.39</v>
      </c>
    </row>
    <row r="28" ht="15" customHeight="1" spans="4:11">
      <c r="D28" s="2718" t="s">
        <v>496</v>
      </c>
      <c r="E28" s="2718"/>
      <c r="F28" s="2718"/>
      <c r="G28" s="2718"/>
      <c r="H28" s="2720">
        <f>SUM(H6:H27)</f>
        <v>32595.12</v>
      </c>
      <c r="I28" s="2718" t="s">
        <v>124</v>
      </c>
      <c r="J28" s="2718" t="s">
        <v>124</v>
      </c>
      <c r="K28" s="2718" t="s">
        <v>124</v>
      </c>
    </row>
    <row r="29" spans="4:11">
      <c r="D29" s="2718" t="s">
        <v>894</v>
      </c>
      <c r="E29" s="2718"/>
      <c r="F29" s="2718"/>
      <c r="G29" s="2718"/>
      <c r="H29" s="2720">
        <v>32595.12</v>
      </c>
      <c r="I29" s="2718" t="s">
        <v>124</v>
      </c>
      <c r="J29" s="2727">
        <v>0.75</v>
      </c>
      <c r="K29" s="2730">
        <f>SUM(K6:K27)</f>
        <v>24563.41</v>
      </c>
    </row>
    <row r="30" ht="33.75" spans="4:11">
      <c r="D30" s="2718">
        <v>43</v>
      </c>
      <c r="E30" s="2718" t="s">
        <v>895</v>
      </c>
      <c r="F30" s="2718">
        <v>6</v>
      </c>
      <c r="G30" s="2721" t="s">
        <v>884</v>
      </c>
      <c r="H30" s="2720">
        <v>1140.25</v>
      </c>
      <c r="I30" s="2721" t="s">
        <v>896</v>
      </c>
      <c r="J30" s="2727">
        <f>'[7]收益法倒推租金-仓储'!C31</f>
        <v>0.36</v>
      </c>
      <c r="K30" s="2730">
        <f>ROUND(H30*J30,2)</f>
        <v>410.49</v>
      </c>
    </row>
    <row r="31" spans="4:11">
      <c r="D31" s="2718" t="s">
        <v>897</v>
      </c>
      <c r="E31" s="2718"/>
      <c r="F31" s="2718"/>
      <c r="G31" s="2718"/>
      <c r="H31" s="2720">
        <v>1140.25</v>
      </c>
      <c r="I31" s="2718" t="s">
        <v>124</v>
      </c>
      <c r="J31" s="2727">
        <v>0.36</v>
      </c>
      <c r="K31" s="2730">
        <f>K30</f>
        <v>410.49</v>
      </c>
    </row>
    <row r="32" spans="4:11">
      <c r="D32" s="2718" t="s">
        <v>898</v>
      </c>
      <c r="E32" s="2718"/>
      <c r="F32" s="2718"/>
      <c r="G32" s="2718"/>
      <c r="H32" s="2724">
        <v>33735.37</v>
      </c>
      <c r="I32" s="2718" t="s">
        <v>124</v>
      </c>
      <c r="J32" s="2727">
        <f>ROUND(K32/H32,2)</f>
        <v>0.74</v>
      </c>
      <c r="K32" s="2730">
        <f>K31+K29</f>
        <v>24973.9</v>
      </c>
    </row>
  </sheetData>
  <mergeCells count="10">
    <mergeCell ref="D28:F28"/>
    <mergeCell ref="D29:F29"/>
    <mergeCell ref="D31:F31"/>
    <mergeCell ref="D32:F32"/>
    <mergeCell ref="E6:E27"/>
    <mergeCell ref="F6:F9"/>
    <mergeCell ref="F10:F11"/>
    <mergeCell ref="F13:F18"/>
    <mergeCell ref="F19:F22"/>
    <mergeCell ref="F23:F27"/>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1" sqref="B11"/>
    </sheetView>
  </sheetViews>
  <sheetFormatPr defaultColWidth="9" defaultRowHeight="13.5"/>
  <cols>
    <col min="1" max="1" width="25" style="2704" customWidth="1"/>
    <col min="2" max="9" width="15.775" style="2704" customWidth="1"/>
    <col min="10" max="16384" width="9" style="2704"/>
  </cols>
  <sheetData>
    <row r="1" ht="16.5" spans="1:11">
      <c r="A1" s="2705" t="s">
        <v>899</v>
      </c>
      <c r="B1" s="2705">
        <f>SUM(B14:B23)</f>
        <v>33735.37</v>
      </c>
      <c r="C1" s="2706"/>
      <c r="D1" s="2706"/>
      <c r="E1" s="2706"/>
      <c r="F1" s="2706"/>
      <c r="G1" s="2707"/>
      <c r="H1" s="2708"/>
      <c r="I1" s="2708"/>
      <c r="J1" s="2708"/>
      <c r="K1" s="2708"/>
    </row>
    <row r="2" ht="16.5" spans="1:11">
      <c r="A2" s="2705" t="s">
        <v>900</v>
      </c>
      <c r="B2" s="2705">
        <f>SUM(C14:C23)</f>
        <v>0</v>
      </c>
      <c r="C2" s="2706"/>
      <c r="D2" s="2706"/>
      <c r="E2" s="2706"/>
      <c r="F2" s="2706"/>
      <c r="G2" s="2707"/>
      <c r="H2" s="2708"/>
      <c r="I2" s="2708"/>
      <c r="J2" s="2708"/>
      <c r="K2" s="2708"/>
    </row>
    <row r="3" ht="16.5" spans="1:11">
      <c r="A3" s="2705" t="s">
        <v>901</v>
      </c>
      <c r="B3" s="2709">
        <f>项目基本情况!D3</f>
        <v>44461</v>
      </c>
      <c r="C3" s="2706"/>
      <c r="D3" s="2706"/>
      <c r="E3" s="2706"/>
      <c r="F3" s="2706"/>
      <c r="G3" s="2707"/>
      <c r="H3" s="2708"/>
      <c r="I3" s="2708"/>
      <c r="J3" s="2708"/>
      <c r="K3" s="2708"/>
    </row>
    <row r="4" ht="33" spans="1:11">
      <c r="A4" s="2705" t="s">
        <v>902</v>
      </c>
      <c r="B4" s="2705" t="s">
        <v>903</v>
      </c>
      <c r="C4" s="2705" t="s">
        <v>904</v>
      </c>
      <c r="D4" s="2705" t="s">
        <v>905</v>
      </c>
      <c r="E4" s="2706"/>
      <c r="F4" s="2707"/>
      <c r="G4" s="2707"/>
      <c r="H4" s="2708"/>
      <c r="I4" s="2708"/>
      <c r="J4" s="2708"/>
      <c r="K4" s="2708"/>
    </row>
    <row r="5" ht="16.5" spans="1:11">
      <c r="A5" s="2705" t="s">
        <v>906</v>
      </c>
      <c r="B5" s="2705">
        <f ca="1">SUM(D14:D23)</f>
        <v>101361</v>
      </c>
      <c r="C5" s="2705">
        <f ca="1">ROUND(B5*10000/$B$1,0)</f>
        <v>30046</v>
      </c>
      <c r="D5" s="2705" t="e">
        <f ca="1">ROUND(B5*10000/$B$2,0)</f>
        <v>#DIV/0!</v>
      </c>
      <c r="E5" s="2706"/>
      <c r="F5" s="2707"/>
      <c r="G5" s="2707"/>
      <c r="H5" s="2708"/>
      <c r="I5" s="2708"/>
      <c r="J5" s="2708"/>
      <c r="K5" s="2708"/>
    </row>
    <row r="6" ht="16.5" spans="1:11">
      <c r="A6" s="2705" t="s">
        <v>907</v>
      </c>
      <c r="B6" s="2705">
        <f ca="1">SUM(G14:G23)</f>
        <v>101361</v>
      </c>
      <c r="C6" s="2705">
        <f ca="1">ROUND(B6*10000/$B$1,0)</f>
        <v>30046</v>
      </c>
      <c r="D6" s="2705" t="e">
        <f ca="1">ROUND(B6*10000/$B$2,0)</f>
        <v>#DIV/0!</v>
      </c>
      <c r="E6" s="2706"/>
      <c r="F6" s="2707"/>
      <c r="G6" s="2707"/>
      <c r="H6" s="2708"/>
      <c r="I6" s="2708"/>
      <c r="J6" s="2708"/>
      <c r="K6" s="2708"/>
    </row>
    <row r="7" ht="16.5" spans="1:11">
      <c r="A7" s="2705" t="s">
        <v>908</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909</v>
      </c>
      <c r="B9" s="2710"/>
      <c r="C9" s="2706"/>
      <c r="D9" s="2706"/>
      <c r="E9" s="2706"/>
      <c r="F9" s="2707"/>
      <c r="G9" s="2707"/>
      <c r="H9" s="2708"/>
      <c r="I9" s="2708"/>
      <c r="J9" s="2708"/>
      <c r="K9" s="2708"/>
    </row>
    <row r="10" ht="16.5" spans="1:11">
      <c r="A10" s="2705" t="s">
        <v>910</v>
      </c>
      <c r="B10" s="2710">
        <f>Sheet1!J32</f>
        <v>0.74</v>
      </c>
      <c r="C10" s="2706"/>
      <c r="D10" s="2706"/>
      <c r="E10" s="2706"/>
      <c r="F10" s="2707"/>
      <c r="G10" s="2707"/>
      <c r="H10" s="2708"/>
      <c r="I10" s="2708"/>
      <c r="J10" s="2708"/>
      <c r="K10" s="2708"/>
    </row>
    <row r="11" ht="16.5" spans="1:11">
      <c r="A11" s="2705" t="s">
        <v>911</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721</v>
      </c>
      <c r="B13" s="2712" t="s">
        <v>899</v>
      </c>
      <c r="C13" s="2712" t="s">
        <v>900</v>
      </c>
      <c r="D13" s="2712" t="s">
        <v>912</v>
      </c>
      <c r="E13" s="2705" t="s">
        <v>904</v>
      </c>
      <c r="F13" s="2705" t="s">
        <v>905</v>
      </c>
      <c r="G13" s="2712" t="s">
        <v>913</v>
      </c>
      <c r="H13" s="2712" t="s">
        <v>914</v>
      </c>
      <c r="I13" s="2712" t="s">
        <v>915</v>
      </c>
      <c r="J13" s="2707"/>
      <c r="K13" s="2708"/>
    </row>
    <row r="14" ht="16.5" spans="1:11">
      <c r="A14" s="2713" t="s">
        <v>459</v>
      </c>
      <c r="B14" s="2714">
        <f>'结果表--商业'!B118</f>
        <v>24827.5</v>
      </c>
      <c r="C14" s="2714">
        <f>'结果表--商业'!C118</f>
        <v>0</v>
      </c>
      <c r="D14" s="2714">
        <f ca="1">'结果表--商业'!H118</f>
        <v>88617</v>
      </c>
      <c r="E14" s="2714">
        <f ca="1">ROUND(D14*10000/B14,0)</f>
        <v>35693</v>
      </c>
      <c r="F14" s="2714" t="e">
        <f ca="1">ROUND(D14*10000/C14,0)</f>
        <v>#DIV/0!</v>
      </c>
      <c r="G14" s="2714">
        <f ca="1">'结果表--商业'!D122</f>
        <v>88617</v>
      </c>
      <c r="H14" s="2714" t="str">
        <f ca="1">'结果表--商业'!D124</f>
        <v>——</v>
      </c>
      <c r="I14" s="2714" t="str">
        <f ca="1">'结果表--商业'!D126</f>
        <v>——</v>
      </c>
      <c r="J14" s="2707"/>
      <c r="K14" s="2708"/>
    </row>
    <row r="15" ht="16.5" spans="1:11">
      <c r="A15" s="2713" t="s">
        <v>554</v>
      </c>
      <c r="B15" s="2715">
        <f>'结果表--酒店'!M18</f>
        <v>7767.62</v>
      </c>
      <c r="C15" s="2715"/>
      <c r="D15" s="2715">
        <f ca="1">'结果表--酒店'!H118</f>
        <v>12017</v>
      </c>
      <c r="E15" s="2714">
        <f ca="1" t="shared" ref="E15:E23" si="0">ROUND(D15*10000/B15,0)</f>
        <v>15471</v>
      </c>
      <c r="F15" s="2714" t="e">
        <f ca="1" t="shared" ref="F15:F23" si="1">ROUND(D15*10000/C15,0)</f>
        <v>#DIV/0!</v>
      </c>
      <c r="G15" s="2716">
        <f ca="1">D15</f>
        <v>12017</v>
      </c>
      <c r="H15" s="2716"/>
      <c r="I15" s="2715"/>
      <c r="J15" s="2707"/>
      <c r="K15" s="2708"/>
    </row>
    <row r="16" ht="16.5" spans="1:11">
      <c r="A16" s="2713" t="s">
        <v>460</v>
      </c>
      <c r="B16" s="2715">
        <f>'结果表--仓储'!M18</f>
        <v>1140.25</v>
      </c>
      <c r="C16" s="2715"/>
      <c r="D16" s="2715">
        <f ca="1">'结果表--仓储'!H118</f>
        <v>727</v>
      </c>
      <c r="E16" s="2714">
        <f ca="1" t="shared" si="0"/>
        <v>6376</v>
      </c>
      <c r="F16" s="2714" t="e">
        <f ca="1" t="shared" si="1"/>
        <v>#DIV/0!</v>
      </c>
      <c r="G16" s="2716">
        <f ca="1">D16</f>
        <v>727</v>
      </c>
      <c r="H16" s="2716"/>
      <c r="I16" s="2715"/>
      <c r="J16" s="2708"/>
      <c r="K16" s="2708"/>
    </row>
    <row r="17" ht="16.5" spans="1:11">
      <c r="A17" s="2713" t="s">
        <v>916</v>
      </c>
      <c r="B17" s="2715"/>
      <c r="C17" s="2715"/>
      <c r="D17" s="2715"/>
      <c r="E17" s="2714" t="e">
        <f t="shared" si="0"/>
        <v>#DIV/0!</v>
      </c>
      <c r="F17" s="2714" t="e">
        <f t="shared" si="1"/>
        <v>#DIV/0!</v>
      </c>
      <c r="G17" s="2716"/>
      <c r="H17" s="2716"/>
      <c r="I17" s="2715"/>
      <c r="J17" s="2708"/>
      <c r="K17" s="2708"/>
    </row>
    <row r="18" ht="16.5" spans="1:11">
      <c r="A18" s="2713" t="s">
        <v>917</v>
      </c>
      <c r="B18" s="2715"/>
      <c r="C18" s="2715"/>
      <c r="D18" s="2715"/>
      <c r="E18" s="2714" t="e">
        <f t="shared" si="0"/>
        <v>#DIV/0!</v>
      </c>
      <c r="F18" s="2714" t="e">
        <f t="shared" si="1"/>
        <v>#DIV/0!</v>
      </c>
      <c r="G18" s="2715"/>
      <c r="H18" s="2715"/>
      <c r="I18" s="2715"/>
      <c r="J18" s="2708"/>
      <c r="K18" s="2708"/>
    </row>
    <row r="19" ht="16.5" spans="1:11">
      <c r="A19" s="2713" t="s">
        <v>918</v>
      </c>
      <c r="B19" s="2715"/>
      <c r="C19" s="2715"/>
      <c r="D19" s="2715"/>
      <c r="E19" s="2714" t="e">
        <f t="shared" si="0"/>
        <v>#DIV/0!</v>
      </c>
      <c r="F19" s="2714" t="e">
        <f t="shared" si="1"/>
        <v>#DIV/0!</v>
      </c>
      <c r="G19" s="2715"/>
      <c r="H19" s="2715"/>
      <c r="I19" s="2715"/>
      <c r="J19" s="2708"/>
      <c r="K19" s="2708"/>
    </row>
    <row r="20" ht="16.5" spans="1:11">
      <c r="A20" s="2713" t="s">
        <v>919</v>
      </c>
      <c r="B20" s="2715"/>
      <c r="C20" s="2715"/>
      <c r="D20" s="2715"/>
      <c r="E20" s="2714" t="e">
        <f t="shared" si="0"/>
        <v>#DIV/0!</v>
      </c>
      <c r="F20" s="2714" t="e">
        <f t="shared" si="1"/>
        <v>#DIV/0!</v>
      </c>
      <c r="G20" s="2715"/>
      <c r="H20" s="2715"/>
      <c r="I20" s="2715"/>
      <c r="J20" s="2708"/>
      <c r="K20" s="2708"/>
    </row>
    <row r="21" ht="16.5" spans="1:11">
      <c r="A21" s="2713" t="s">
        <v>920</v>
      </c>
      <c r="B21" s="2715"/>
      <c r="C21" s="2715"/>
      <c r="D21" s="2715"/>
      <c r="E21" s="2714" t="e">
        <f t="shared" si="0"/>
        <v>#DIV/0!</v>
      </c>
      <c r="F21" s="2714" t="e">
        <f t="shared" si="1"/>
        <v>#DIV/0!</v>
      </c>
      <c r="G21" s="2715"/>
      <c r="H21" s="2715"/>
      <c r="I21" s="2715"/>
      <c r="J21" s="2708"/>
      <c r="K21" s="2708"/>
    </row>
    <row r="22" ht="16.5" spans="1:11">
      <c r="A22" s="2713" t="s">
        <v>921</v>
      </c>
      <c r="B22" s="2715"/>
      <c r="C22" s="2715"/>
      <c r="D22" s="2715"/>
      <c r="E22" s="2714" t="e">
        <f t="shared" si="0"/>
        <v>#DIV/0!</v>
      </c>
      <c r="F22" s="2714" t="e">
        <f t="shared" si="1"/>
        <v>#DIV/0!</v>
      </c>
      <c r="G22" s="2715"/>
      <c r="H22" s="2715"/>
      <c r="I22" s="2715"/>
      <c r="J22" s="2708"/>
      <c r="K22" s="2708"/>
    </row>
    <row r="23" ht="16.5" spans="1:11">
      <c r="A23" s="2713" t="s">
        <v>922</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0" sqref="D20"/>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923</v>
      </c>
      <c r="B1" s="1927"/>
      <c r="C1" s="1928" t="s">
        <v>459</v>
      </c>
      <c r="D1" s="1927"/>
      <c r="E1" s="1927"/>
      <c r="F1" s="1929" t="s">
        <v>924</v>
      </c>
      <c r="G1" s="1930" t="s">
        <v>925</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926</v>
      </c>
      <c r="B3" s="1614"/>
      <c r="C3" s="1614"/>
      <c r="D3" s="1614"/>
      <c r="E3" s="1614"/>
      <c r="F3" s="1614"/>
      <c r="G3" s="1614"/>
      <c r="H3" s="1614"/>
      <c r="I3" s="1614"/>
    </row>
    <row r="4" ht="14.25" spans="1:12">
      <c r="A4" s="1935" t="s">
        <v>927</v>
      </c>
      <c r="B4" s="1936" t="s">
        <v>928</v>
      </c>
      <c r="C4" s="1937" t="s">
        <v>929</v>
      </c>
      <c r="D4" s="1937" t="s">
        <v>930</v>
      </c>
      <c r="E4" s="1938" t="s">
        <v>931</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比较法</v>
      </c>
    </row>
    <row r="5" ht="13.5" spans="1:9">
      <c r="A5" s="1940" t="s">
        <v>932</v>
      </c>
      <c r="B5" s="1051">
        <v>25</v>
      </c>
      <c r="C5" s="1941"/>
      <c r="D5" s="1942"/>
      <c r="E5" s="1602" t="s">
        <v>933</v>
      </c>
      <c r="F5" s="1943"/>
      <c r="G5" s="1943"/>
      <c r="H5" s="1943"/>
      <c r="I5" s="1819"/>
    </row>
    <row r="6" ht="13.5" spans="1:9">
      <c r="A6" s="1940"/>
      <c r="B6" s="1051"/>
      <c r="C6" s="1944"/>
      <c r="D6" s="1942"/>
      <c r="E6" s="1602" t="s">
        <v>934</v>
      </c>
      <c r="F6" s="1943"/>
      <c r="G6" s="1943"/>
      <c r="H6" s="1943"/>
      <c r="I6" s="1819"/>
    </row>
    <row r="7" ht="13.5" spans="1:9">
      <c r="A7" s="1940"/>
      <c r="B7" s="1051"/>
      <c r="C7" s="1945"/>
      <c r="D7" s="1942"/>
      <c r="E7" s="1602" t="s">
        <v>935</v>
      </c>
      <c r="F7" s="1943"/>
      <c r="G7" s="1943"/>
      <c r="H7" s="1943"/>
      <c r="I7" s="1819"/>
    </row>
    <row r="8" ht="13.5" spans="1:9">
      <c r="A8" s="1940" t="s">
        <v>936</v>
      </c>
      <c r="B8" s="1051">
        <v>15</v>
      </c>
      <c r="C8" s="1941"/>
      <c r="D8" s="1942"/>
      <c r="E8" s="1602" t="s">
        <v>937</v>
      </c>
      <c r="F8" s="1943"/>
      <c r="G8" s="1943"/>
      <c r="H8" s="1943"/>
      <c r="I8" s="1819"/>
    </row>
    <row r="9" ht="13.5" spans="1:9">
      <c r="A9" s="1940"/>
      <c r="B9" s="1051"/>
      <c r="C9" s="1945"/>
      <c r="D9" s="1942"/>
      <c r="E9" s="1602" t="s">
        <v>938</v>
      </c>
      <c r="F9" s="1943"/>
      <c r="G9" s="1943"/>
      <c r="H9" s="1943"/>
      <c r="I9" s="1819"/>
    </row>
    <row r="10" ht="13.5" spans="1:9">
      <c r="A10" s="1940" t="s">
        <v>939</v>
      </c>
      <c r="B10" s="1051">
        <v>15</v>
      </c>
      <c r="C10" s="1941"/>
      <c r="D10" s="1942"/>
      <c r="E10" s="1602" t="s">
        <v>940</v>
      </c>
      <c r="F10" s="1943"/>
      <c r="G10" s="1943"/>
      <c r="H10" s="1943"/>
      <c r="I10" s="1819"/>
    </row>
    <row r="11" ht="13.5" spans="1:9">
      <c r="A11" s="1940"/>
      <c r="B11" s="1051"/>
      <c r="C11" s="1945"/>
      <c r="D11" s="1942"/>
      <c r="E11" s="1602" t="s">
        <v>941</v>
      </c>
      <c r="F11" s="1943"/>
      <c r="G11" s="1943"/>
      <c r="H11" s="1943"/>
      <c r="I11" s="1819"/>
    </row>
    <row r="12" ht="13.5" spans="1:9">
      <c r="A12" s="1940" t="s">
        <v>942</v>
      </c>
      <c r="B12" s="1051">
        <v>15</v>
      </c>
      <c r="C12" s="1941"/>
      <c r="D12" s="1942"/>
      <c r="E12" s="1602" t="s">
        <v>943</v>
      </c>
      <c r="F12" s="1943"/>
      <c r="G12" s="1943"/>
      <c r="H12" s="1943"/>
      <c r="I12" s="1819"/>
    </row>
    <row r="13" ht="13.5" spans="1:9">
      <c r="A13" s="1940"/>
      <c r="B13" s="1051"/>
      <c r="C13" s="1945"/>
      <c r="D13" s="1942"/>
      <c r="E13" s="1602" t="s">
        <v>944</v>
      </c>
      <c r="F13" s="1943"/>
      <c r="G13" s="1943"/>
      <c r="H13" s="1943"/>
      <c r="I13" s="1819"/>
    </row>
    <row r="14" ht="13.5" spans="1:9">
      <c r="A14" s="1940" t="s">
        <v>945</v>
      </c>
      <c r="B14" s="1051">
        <v>30</v>
      </c>
      <c r="C14" s="1941">
        <v>4</v>
      </c>
      <c r="D14" s="1942">
        <v>6</v>
      </c>
      <c r="E14" s="1602" t="s">
        <v>946</v>
      </c>
      <c r="F14" s="1943"/>
      <c r="G14" s="1943"/>
      <c r="H14" s="1943"/>
      <c r="I14" s="1819"/>
    </row>
    <row r="15" ht="13.5" spans="1:9">
      <c r="A15" s="1940"/>
      <c r="B15" s="1051"/>
      <c r="C15" s="1944"/>
      <c r="D15" s="1942"/>
      <c r="E15" s="1602" t="s">
        <v>947</v>
      </c>
      <c r="F15" s="1943"/>
      <c r="G15" s="1943"/>
      <c r="H15" s="1943"/>
      <c r="I15" s="1819"/>
    </row>
    <row r="16" ht="13.5" spans="1:9">
      <c r="A16" s="1940"/>
      <c r="B16" s="1051"/>
      <c r="C16" s="1945"/>
      <c r="D16" s="1942"/>
      <c r="E16" s="1602" t="s">
        <v>948</v>
      </c>
      <c r="F16" s="1943"/>
      <c r="G16" s="1943"/>
      <c r="H16" s="1943"/>
      <c r="I16" s="1819"/>
    </row>
    <row r="17" ht="14.25" spans="1:13">
      <c r="A17" s="1946" t="s">
        <v>949</v>
      </c>
      <c r="B17" s="1947"/>
      <c r="C17" s="1948">
        <f>SUM(C5:C16)</f>
        <v>4</v>
      </c>
      <c r="D17" s="1948">
        <f>SUM(D5:D16)</f>
        <v>6</v>
      </c>
      <c r="E17" s="1949"/>
      <c r="F17" s="1949"/>
      <c r="G17" s="1949"/>
      <c r="H17" s="1949"/>
      <c r="I17" s="1949"/>
      <c r="K17" s="1558"/>
      <c r="L17" s="1558" t="s">
        <v>950</v>
      </c>
      <c r="M17" s="1558" t="s">
        <v>951</v>
      </c>
    </row>
    <row r="18" ht="31.95" customHeight="1" spans="1:13">
      <c r="A18" s="1950" t="s">
        <v>952</v>
      </c>
      <c r="B18" s="1951"/>
      <c r="C18" s="1952">
        <f>ROUND(C17/SUM(C17:D17),2)</f>
        <v>0.4</v>
      </c>
      <c r="D18" s="1952">
        <f>1-C18</f>
        <v>0.6</v>
      </c>
      <c r="E18" s="1953" t="s">
        <v>953</v>
      </c>
      <c r="F18" s="1954"/>
      <c r="G18" s="1954"/>
      <c r="H18" s="1954"/>
      <c r="I18" s="1954"/>
      <c r="K18" s="1558" t="s">
        <v>367</v>
      </c>
      <c r="L18" s="1558">
        <f>IF(C1="",'数据-汇总表'!E3,SUMIF(项目类型,C1,'数据-汇总表'!E17:E26)+SUMIF(项目类型,C1,'数据-汇总表'!I17:I26))</f>
        <v>24827.5</v>
      </c>
      <c r="M18" s="1558">
        <f>IF(C1="",'数据-汇总表'!E3,SUMIF(项目类型,C1,'数据-汇总表'!E17:E26))</f>
        <v>24827.5</v>
      </c>
    </row>
    <row r="19" ht="14.25" spans="1:13">
      <c r="A19" s="1955" t="s">
        <v>954</v>
      </c>
      <c r="B19" s="1956" t="s">
        <v>955</v>
      </c>
      <c r="C19" s="1957">
        <f ca="1">SUMIF(INDIRECT("'"&amp;C4&amp;"'"&amp;"!A:A"),'结果表--商业'!B19,INDIRECT("'"&amp;C4&amp;"'"&amp;"!B:B"))</f>
        <v>42165</v>
      </c>
      <c r="D19" s="1208">
        <f ca="1">SUMIF(INDIRECT("'"&amp;D4&amp;"'"&amp;"!A:A"),'结果表--商业'!B19,INDIRECT("'"&amp;D4&amp;"'"&amp;"!B:B"))</f>
        <v>119584</v>
      </c>
      <c r="E19" s="1955" t="s">
        <v>956</v>
      </c>
      <c r="F19" s="1956" t="s">
        <v>955</v>
      </c>
      <c r="G19" s="1958">
        <f ca="1">ROUND(C19*$C$18+D19*$D$18,0)</f>
        <v>88616</v>
      </c>
      <c r="H19" s="1959" t="s">
        <v>957</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958</v>
      </c>
      <c r="C20" s="1962">
        <f ca="1">SUMIF(INDIRECT("'"&amp;C4&amp;"'"&amp;"!A:A"),'结果表--商业'!B20,INDIRECT("'"&amp;C4&amp;"'"&amp;"!B:B"))</f>
        <v>16983</v>
      </c>
      <c r="D20" s="1963">
        <f ca="1">SUMIF(INDIRECT("'"&amp;D4&amp;"'"&amp;"!A:A"),'结果表--商业'!B20,INDIRECT("'"&amp;D4&amp;"'"&amp;"!B:B"))</f>
        <v>48166</v>
      </c>
      <c r="E20" s="1960"/>
      <c r="F20" s="1961" t="s">
        <v>958</v>
      </c>
      <c r="G20" s="1964">
        <f ca="1">ROUND(C20*$C$18+D20*$D$18,0)</f>
        <v>35693</v>
      </c>
      <c r="H20" s="1720" t="s">
        <v>959</v>
      </c>
      <c r="I20" s="1949"/>
    </row>
    <row r="21" ht="15" customHeight="1" spans="1:9">
      <c r="A21" s="1902"/>
      <c r="B21" s="1965" t="s">
        <v>960</v>
      </c>
      <c r="C21" s="1966" t="e">
        <f ca="1">ROUND(C19*10000/L19,0)</f>
        <v>#DIV/0!</v>
      </c>
      <c r="D21" s="1967" t="e">
        <f ca="1">ROUND(D19*10000/L19,0)</f>
        <v>#DIV/0!</v>
      </c>
      <c r="E21" s="1902"/>
      <c r="F21" s="1965" t="s">
        <v>960</v>
      </c>
      <c r="G21" s="1968" t="e">
        <f ca="1">ROUND(G19*10000/L19,0)</f>
        <v>#DIV/0!</v>
      </c>
      <c r="H21" s="1969" t="s">
        <v>959</v>
      </c>
      <c r="I21" s="1949"/>
    </row>
    <row r="22" ht="15" spans="1:9">
      <c r="A22" s="1970" t="s">
        <v>961</v>
      </c>
      <c r="B22" s="1971"/>
      <c r="C22" s="1972"/>
      <c r="D22" s="1973">
        <f ca="1">IF(C19&lt;D19,D19/C19-1,C19/D19-1)</f>
        <v>1.83609628839085</v>
      </c>
      <c r="E22" s="1949"/>
      <c r="F22" s="1949"/>
      <c r="G22" s="1949"/>
      <c r="H22" s="1949"/>
      <c r="I22" s="1949"/>
    </row>
    <row r="23" ht="14.25" spans="1:9">
      <c r="A23" s="1927"/>
      <c r="B23" s="1927"/>
      <c r="C23" s="1927"/>
      <c r="D23" s="1927"/>
      <c r="E23" s="1949"/>
      <c r="F23" s="1949"/>
      <c r="G23" s="1949"/>
      <c r="H23" s="1949"/>
      <c r="I23" s="1949"/>
    </row>
    <row r="24" ht="14.25" spans="1:9">
      <c r="A24" s="1974" t="s">
        <v>962</v>
      </c>
      <c r="B24" s="1956" t="s">
        <v>955</v>
      </c>
      <c r="C24" s="1958">
        <f>IF(B30=0,0,D30)</f>
        <v>0</v>
      </c>
      <c r="D24" s="1975"/>
      <c r="E24" s="1949"/>
      <c r="F24" s="1949"/>
      <c r="G24" s="1949"/>
      <c r="H24" s="1949"/>
      <c r="I24" s="1949"/>
    </row>
    <row r="25" ht="14.25" spans="1:9">
      <c r="A25" s="1976"/>
      <c r="B25" s="1961" t="s">
        <v>958</v>
      </c>
      <c r="C25" s="1977">
        <f>IF(B30=0,0,C30)</f>
        <v>0</v>
      </c>
      <c r="D25" s="1978"/>
      <c r="E25" s="1949"/>
      <c r="F25" s="1949"/>
      <c r="G25" s="1949"/>
      <c r="H25" s="1949"/>
      <c r="I25" s="1949"/>
    </row>
    <row r="26" ht="13.5" customHeight="1" spans="1:9">
      <c r="A26" s="1979" t="s">
        <v>963</v>
      </c>
      <c r="B26" s="1980" t="s">
        <v>964</v>
      </c>
      <c r="C26" s="1980" t="s">
        <v>965</v>
      </c>
      <c r="D26" s="1981" t="s">
        <v>966</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967</v>
      </c>
      <c r="B30" s="1980"/>
      <c r="C30" s="1980"/>
      <c r="D30" s="1980"/>
      <c r="E30" s="1982" t="s">
        <v>968</v>
      </c>
      <c r="F30" s="1949"/>
      <c r="G30" s="1949"/>
      <c r="H30" s="1949"/>
      <c r="I30" s="1949"/>
    </row>
    <row r="31" s="1919" customFormat="1" ht="26.4" customHeight="1" spans="1:36">
      <c r="A31" s="1983"/>
      <c r="B31" s="1984"/>
      <c r="C31" s="1984"/>
      <c r="D31" s="1984"/>
      <c r="E31" s="1984"/>
      <c r="F31" s="1984"/>
      <c r="G31" s="1984"/>
      <c r="H31" s="1984"/>
      <c r="I31" s="2099" t="s">
        <v>969</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970</v>
      </c>
      <c r="B32" s="1986"/>
      <c r="C32" s="1987">
        <f ca="1">IF(D32="总价",G19-C24,G20-C25)</f>
        <v>35693</v>
      </c>
      <c r="D32" s="1988" t="s">
        <v>971</v>
      </c>
      <c r="E32" s="1949"/>
      <c r="F32" s="1949"/>
      <c r="G32" s="1949"/>
      <c r="H32" s="1949"/>
      <c r="I32" s="1949"/>
    </row>
    <row r="33" ht="15" spans="1:9">
      <c r="A33" s="1842" t="s">
        <v>972</v>
      </c>
      <c r="B33" s="1989"/>
      <c r="C33" s="1990"/>
      <c r="D33" s="1991"/>
      <c r="E33" s="1992" t="s">
        <v>973</v>
      </c>
      <c r="F33" s="1993" t="str">
        <f>IF(D32="楼面单价","取值（单价）","取值（总价）")</f>
        <v>取值（单价）</v>
      </c>
      <c r="G33" s="1949"/>
      <c r="H33" s="1949"/>
      <c r="I33" s="1949"/>
    </row>
    <row r="34" ht="15" spans="1:9">
      <c r="A34" s="1994"/>
      <c r="B34" s="1995" t="s">
        <v>974</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975</v>
      </c>
      <c r="F34" s="1999"/>
      <c r="G34" s="1949"/>
      <c r="H34" s="1949"/>
      <c r="I34" s="1949"/>
    </row>
    <row r="35" ht="15.75" spans="1:9">
      <c r="A35" s="2000"/>
      <c r="B35" s="2001" t="s">
        <v>976</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977</v>
      </c>
      <c r="F35" s="2005"/>
      <c r="G35" s="1949"/>
      <c r="H35" s="1949"/>
      <c r="I35" s="1949"/>
    </row>
    <row r="36" ht="15.75" spans="1:9">
      <c r="A36" s="2006" t="s">
        <v>978</v>
      </c>
      <c r="B36" s="2007" t="s">
        <v>979</v>
      </c>
      <c r="C36" s="2008"/>
      <c r="D36" s="2009"/>
      <c r="E36" s="2010"/>
      <c r="F36" s="2011"/>
      <c r="G36" s="1949"/>
      <c r="H36" s="1949"/>
      <c r="I36" s="1949"/>
    </row>
    <row r="37" ht="15.75" spans="1:9">
      <c r="A37" s="2012"/>
      <c r="B37" s="2013" t="s">
        <v>980</v>
      </c>
      <c r="C37" s="2014"/>
      <c r="D37" s="2015"/>
      <c r="E37" s="2015"/>
      <c r="F37" s="2011"/>
      <c r="G37" s="1949"/>
      <c r="H37" s="1949"/>
      <c r="I37" s="1949"/>
    </row>
    <row r="38" ht="15.75" spans="1:9">
      <c r="A38" s="2016"/>
      <c r="B38" s="2017" t="s">
        <v>981</v>
      </c>
      <c r="C38" s="2018"/>
      <c r="D38" s="2019" t="s">
        <v>982</v>
      </c>
      <c r="E38" s="2015"/>
      <c r="F38" s="2011"/>
      <c r="G38" s="1949"/>
      <c r="H38" s="1949"/>
      <c r="I38" s="1949"/>
    </row>
    <row r="39" ht="14.25" spans="1:9">
      <c r="A39" s="1960" t="s">
        <v>983</v>
      </c>
      <c r="B39" s="2020" t="s">
        <v>964</v>
      </c>
      <c r="C39" s="2021" t="s">
        <v>965</v>
      </c>
      <c r="D39" s="2021" t="s">
        <v>984</v>
      </c>
      <c r="E39" s="2022" t="s">
        <v>966</v>
      </c>
      <c r="F39" s="2011"/>
      <c r="G39" s="1949"/>
      <c r="H39" s="1949"/>
      <c r="I39" s="1949"/>
    </row>
    <row r="40" ht="14.25" spans="1:9">
      <c r="A40" s="2023" t="s">
        <v>985</v>
      </c>
      <c r="B40" s="2024"/>
      <c r="C40" s="2025"/>
      <c r="D40" s="2025"/>
      <c r="E40" s="2026"/>
      <c r="F40" s="2011"/>
      <c r="G40" s="1949"/>
      <c r="H40" s="1949"/>
      <c r="I40" s="1949"/>
    </row>
    <row r="41" ht="14.25" spans="1:9">
      <c r="A41" s="2023" t="s">
        <v>986</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987</v>
      </c>
      <c r="B44" s="2033"/>
      <c r="C44" s="2033"/>
      <c r="D44" s="2034"/>
      <c r="E44" s="2034"/>
      <c r="F44" s="2035"/>
      <c r="G44" s="2035"/>
      <c r="H44" s="2035"/>
      <c r="I44" s="2035"/>
      <c r="J44" s="2103" t="s">
        <v>988</v>
      </c>
      <c r="K44" s="2104"/>
      <c r="L44" s="2104"/>
      <c r="M44" s="2104"/>
      <c r="N44" s="2104"/>
      <c r="O44" s="2104"/>
    </row>
    <row r="45" ht="14.25" customHeight="1" spans="1:15">
      <c r="A45" s="2036" t="s">
        <v>989</v>
      </c>
      <c r="B45" s="2037"/>
      <c r="C45" s="2038"/>
      <c r="D45" s="1557">
        <f ca="1">ROUND(H101*F45,0)</f>
        <v>88617</v>
      </c>
      <c r="E45" s="2039" t="s">
        <v>990</v>
      </c>
      <c r="F45" s="2040">
        <v>1</v>
      </c>
      <c r="G45" s="2041" t="s">
        <v>991</v>
      </c>
      <c r="H45" s="1949"/>
      <c r="I45" s="1949"/>
      <c r="J45" s="2105" t="s">
        <v>992</v>
      </c>
      <c r="K45" s="2105"/>
      <c r="L45" s="2105"/>
      <c r="M45" s="2105"/>
      <c r="N45" s="2105"/>
      <c r="O45" s="2105"/>
    </row>
    <row r="46" ht="14.25" customHeight="1" spans="1:15">
      <c r="A46" s="2042" t="s">
        <v>993</v>
      </c>
      <c r="B46" s="2043"/>
      <c r="C46" s="2043"/>
      <c r="D46" s="2043"/>
      <c r="E46" s="2043"/>
      <c r="F46" s="2043"/>
      <c r="G46" s="2044"/>
      <c r="H46" s="2045"/>
      <c r="I46" s="2106"/>
      <c r="J46" s="2107">
        <v>1</v>
      </c>
      <c r="K46" s="2108" t="s">
        <v>994</v>
      </c>
      <c r="L46" s="2108"/>
      <c r="M46" s="2109"/>
      <c r="N46" s="2109"/>
      <c r="O46" s="2109"/>
    </row>
    <row r="47" ht="12" customHeight="1" spans="1:15">
      <c r="A47" s="2046" t="s">
        <v>995</v>
      </c>
      <c r="B47" s="2047"/>
      <c r="C47" s="2048"/>
      <c r="D47" s="1613" t="s">
        <v>996</v>
      </c>
      <c r="E47" s="1558" t="s">
        <v>997</v>
      </c>
      <c r="F47" s="2049" t="s">
        <v>998</v>
      </c>
      <c r="G47" s="2050" t="s">
        <v>999</v>
      </c>
      <c r="H47" s="2051"/>
      <c r="I47" s="2106"/>
      <c r="J47" s="2107">
        <v>2</v>
      </c>
      <c r="K47" s="2108" t="s">
        <v>1000</v>
      </c>
      <c r="L47" s="2108"/>
      <c r="M47" s="2110">
        <f>'数据-取费表'!B2</f>
        <v>44461</v>
      </c>
      <c r="N47" s="2110"/>
      <c r="O47" s="2110"/>
    </row>
    <row r="48" ht="24.75" spans="1:15">
      <c r="A48" s="2052" t="s">
        <v>1001</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1002</v>
      </c>
      <c r="H48" s="2055"/>
      <c r="I48" s="2045"/>
      <c r="J48" s="2107">
        <v>3</v>
      </c>
      <c r="K48" s="2108" t="s">
        <v>1003</v>
      </c>
      <c r="L48" s="2108"/>
      <c r="M48" s="2111">
        <f ca="1">H101</f>
        <v>88617</v>
      </c>
      <c r="N48" s="2111"/>
      <c r="O48" s="2111"/>
    </row>
    <row r="49" ht="25.5" customHeight="1" spans="1:15">
      <c r="A49" s="2052" t="s">
        <v>1004</v>
      </c>
      <c r="B49" s="1593" t="s">
        <v>1005</v>
      </c>
      <c r="C49" s="1593"/>
      <c r="D49" s="2056">
        <v>0</v>
      </c>
      <c r="E49" s="1623" t="s">
        <v>1006</v>
      </c>
      <c r="F49" s="2057" t="s">
        <v>124</v>
      </c>
      <c r="G49" s="2058"/>
      <c r="H49" s="2059" t="s">
        <v>1007</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1008</v>
      </c>
      <c r="C50" s="1593"/>
      <c r="D50" s="2061"/>
      <c r="E50" s="1638"/>
      <c r="F50" s="2057"/>
      <c r="G50" s="2062"/>
      <c r="H50" s="2063" t="s">
        <v>1009</v>
      </c>
      <c r="I50" s="2112"/>
      <c r="J50" s="2105" t="s">
        <v>1010</v>
      </c>
      <c r="K50" s="2105"/>
      <c r="L50" s="2105"/>
      <c r="M50" s="2105"/>
      <c r="N50" s="2105"/>
      <c r="O50" s="2105"/>
    </row>
    <row r="51" ht="20.4" customHeight="1" spans="1:15">
      <c r="A51" s="2064"/>
      <c r="B51" s="1593" t="s">
        <v>1011</v>
      </c>
      <c r="C51" s="1593"/>
      <c r="D51" s="1613"/>
      <c r="E51" s="1627"/>
      <c r="F51" s="2057"/>
      <c r="G51" s="2065"/>
      <c r="H51" s="2063" t="s">
        <v>1012</v>
      </c>
      <c r="I51" s="2112"/>
      <c r="J51" s="2108" t="s">
        <v>1013</v>
      </c>
      <c r="K51" s="2108" t="s">
        <v>1014</v>
      </c>
      <c r="L51" s="2108"/>
      <c r="M51" s="2108" t="s">
        <v>1015</v>
      </c>
      <c r="N51" s="2108" t="s">
        <v>1016</v>
      </c>
      <c r="O51" s="2108" t="s">
        <v>1017</v>
      </c>
    </row>
    <row r="52" ht="24" customHeight="1" spans="1:15">
      <c r="A52" s="2066" t="s">
        <v>1018</v>
      </c>
      <c r="B52" s="1593" t="s">
        <v>1019</v>
      </c>
      <c r="C52" s="1593"/>
      <c r="D52" s="1613">
        <f ca="1">ROUND(D45*'数据-取费表'!B41/(1+'数据-取费表'!C42),0)</f>
        <v>4726</v>
      </c>
      <c r="E52" s="1617" t="s">
        <v>1020</v>
      </c>
      <c r="F52" s="2067">
        <f>'数据-取费表'!B41</f>
        <v>0.056</v>
      </c>
      <c r="G52" s="2068"/>
      <c r="H52" s="1733"/>
      <c r="I52" s="2113"/>
      <c r="J52" s="2107">
        <v>1</v>
      </c>
      <c r="K52" s="2107" t="s">
        <v>1021</v>
      </c>
      <c r="L52" s="2107"/>
      <c r="M52" s="2114" t="b">
        <f ca="1">D48</f>
        <v>0</v>
      </c>
      <c r="N52" s="2107" t="str">
        <f>E48</f>
        <v>销售额×税（费）率</v>
      </c>
      <c r="O52" s="2115">
        <f>F48</f>
        <v>0.056</v>
      </c>
    </row>
    <row r="53" ht="12" customHeight="1" spans="1:15">
      <c r="A53" s="2066" t="s">
        <v>1022</v>
      </c>
      <c r="B53" s="1592" t="s">
        <v>1023</v>
      </c>
      <c r="C53" s="2069"/>
      <c r="D53" s="1613">
        <f ca="1">ROUND(D45*'数据-取费表'!B41/(1+'数据-取费表'!C42),0)</f>
        <v>4726</v>
      </c>
      <c r="E53" s="1617" t="s">
        <v>1020</v>
      </c>
      <c r="F53" s="2067">
        <f>'数据-取费表'!B41</f>
        <v>0.056</v>
      </c>
      <c r="G53" s="2068"/>
      <c r="H53" s="1733"/>
      <c r="I53" s="2113"/>
      <c r="J53" s="2107">
        <v>2</v>
      </c>
      <c r="K53" s="2107" t="s">
        <v>1024</v>
      </c>
      <c r="L53" s="2107"/>
      <c r="M53" s="2114">
        <f ca="1" t="shared" ref="M53:O54" si="0">D55</f>
        <v>44</v>
      </c>
      <c r="N53" s="2107" t="str">
        <f t="shared" si="0"/>
        <v>销售额×税（费）率</v>
      </c>
      <c r="O53" s="2115" t="str">
        <f t="shared" si="0"/>
        <v>免征</v>
      </c>
    </row>
    <row r="54" ht="12" customHeight="1" spans="1:15">
      <c r="A54" s="2066" t="s">
        <v>1025</v>
      </c>
      <c r="B54" s="1592" t="s">
        <v>1026</v>
      </c>
      <c r="C54" s="2069"/>
      <c r="D54" s="1613">
        <f ca="1">C68</f>
        <v>4726</v>
      </c>
      <c r="E54" s="1627" t="s">
        <v>1027</v>
      </c>
      <c r="F54" s="2067">
        <f>'数据-取费表'!B41</f>
        <v>0.056</v>
      </c>
      <c r="G54" s="2068"/>
      <c r="H54" s="2070"/>
      <c r="I54" s="2113"/>
      <c r="J54" s="2107">
        <v>3</v>
      </c>
      <c r="K54" s="2107" t="s">
        <v>1028</v>
      </c>
      <c r="L54" s="2107"/>
      <c r="M54" s="2114">
        <f ca="1" t="shared" si="0"/>
        <v>50158</v>
      </c>
      <c r="N54" s="2107" t="str">
        <f t="shared" si="0"/>
        <v>增值额×税（费）率</v>
      </c>
      <c r="O54" s="2116" t="str">
        <f t="shared" si="0"/>
        <v>免征</v>
      </c>
    </row>
    <row r="55" ht="24" customHeight="1" spans="1:15">
      <c r="A55" s="2066" t="s">
        <v>1029</v>
      </c>
      <c r="B55" s="1617"/>
      <c r="C55" s="1617"/>
      <c r="D55" s="1718">
        <f ca="1">IF(H55="个人住宅",0,ROUND(D45*I55,0))</f>
        <v>44</v>
      </c>
      <c r="E55" s="1617" t="s">
        <v>1030</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844</v>
      </c>
      <c r="N55" s="505" t="str">
        <f>E59</f>
        <v>差额计税</v>
      </c>
      <c r="O55" s="2119">
        <f>F59</f>
        <v>0.01</v>
      </c>
    </row>
    <row r="56" ht="24.75" spans="1:15">
      <c r="A56" s="2066" t="s">
        <v>1031</v>
      </c>
      <c r="B56" s="1617"/>
      <c r="C56" s="1617"/>
      <c r="D56" s="1718">
        <f ca="1">IF(H56="个人住宅",D57,D58)</f>
        <v>50158</v>
      </c>
      <c r="E56" s="1617" t="s">
        <v>1032</v>
      </c>
      <c r="F56" s="2067" t="str">
        <f>IF(H56="正常",F58,"免征")</f>
        <v>免征</v>
      </c>
      <c r="G56" s="2071" t="s">
        <v>1033</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1004</v>
      </c>
      <c r="B57" s="1592" t="s">
        <v>1034</v>
      </c>
      <c r="C57" s="2069"/>
      <c r="D57" s="2056">
        <v>0</v>
      </c>
      <c r="E57" s="1623" t="s">
        <v>1006</v>
      </c>
      <c r="F57" s="1558"/>
      <c r="G57" s="2068"/>
      <c r="H57" s="2073"/>
      <c r="I57" s="2083"/>
      <c r="J57" s="2107">
        <f>IF(AND(J55="",J56=""),4,IF(项目基本情况!K6="上海银行",'结果表--商业'!J56+1,'结果表--商业'!J55+1))</f>
        <v>5</v>
      </c>
      <c r="K57" s="2107" t="s">
        <v>1035</v>
      </c>
      <c r="L57" s="2120" t="s">
        <v>1036</v>
      </c>
      <c r="M57" s="2121"/>
      <c r="N57" s="2122">
        <f ca="1">SUMIF(M52:M56,"&lt;9e307")</f>
        <v>51046</v>
      </c>
      <c r="O57" s="2123"/>
      <c r="P57" s="2124" t="e">
        <f ca="1">N57/M49</f>
        <v>#VALUE!</v>
      </c>
    </row>
    <row r="58" ht="24.75" spans="1:15">
      <c r="A58" s="2066" t="s">
        <v>1018</v>
      </c>
      <c r="B58" s="1592" t="s">
        <v>1037</v>
      </c>
      <c r="C58" s="1593"/>
      <c r="D58" s="1718">
        <f ca="1">IF(H58="转让取得",C81,C97)</f>
        <v>50158</v>
      </c>
      <c r="E58" s="1617" t="s">
        <v>1032</v>
      </c>
      <c r="F58" s="1558" t="s">
        <v>124</v>
      </c>
      <c r="G58" s="2068"/>
      <c r="H58" s="2072"/>
      <c r="I58" s="2083"/>
      <c r="J58" s="2107"/>
      <c r="K58" s="2107"/>
      <c r="L58" s="2120" t="s">
        <v>1038</v>
      </c>
      <c r="M58" s="2125"/>
      <c r="N58" s="2126" t="str">
        <f ca="1">NUMBERSTRING(INT(N57*10000),2)&amp;"元整"</f>
        <v>伍亿壹仟零肆拾陆万元整</v>
      </c>
      <c r="O58" s="2127"/>
    </row>
    <row r="59" ht="24.75" spans="1:15">
      <c r="A59" s="2074" t="s">
        <v>1039</v>
      </c>
      <c r="B59" s="2075"/>
      <c r="C59" s="2075"/>
      <c r="D59" s="2076">
        <f ca="1">IF(H59="非个人房产","——",IF(H59="个人住宅（满五唯一有凭证）",0,IF(H59="个人其他（无凭证）",ROUND(D45*F59,0),ROUND(C67*F59,0))))</f>
        <v>844</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1033</v>
      </c>
      <c r="H59" s="2080"/>
      <c r="I59" s="2128" t="s">
        <v>1040</v>
      </c>
      <c r="J59" s="505">
        <f>J57+1</f>
        <v>6</v>
      </c>
      <c r="K59" s="2107" t="s">
        <v>1041</v>
      </c>
      <c r="L59" s="2107" t="s">
        <v>1036</v>
      </c>
      <c r="M59" s="2129"/>
      <c r="N59" s="2130" t="e">
        <f ca="1">M49-N57</f>
        <v>#VALUE!</v>
      </c>
      <c r="O59" s="2131"/>
    </row>
    <row r="60" ht="12" customHeight="1" spans="1:15">
      <c r="A60" s="2081"/>
      <c r="B60" s="1927"/>
      <c r="C60" s="1927"/>
      <c r="D60" s="1927"/>
      <c r="E60" s="2082"/>
      <c r="F60" s="2083"/>
      <c r="G60" s="2083"/>
      <c r="H60" s="2084"/>
      <c r="I60" s="1949"/>
      <c r="J60" s="510"/>
      <c r="K60" s="2107"/>
      <c r="L60" s="2120" t="s">
        <v>1038</v>
      </c>
      <c r="M60" s="2125"/>
      <c r="N60" s="2126" t="e">
        <f ca="1">NUMBERSTRING(INT(N59*10000),2)&amp;"元整"</f>
        <v>#VALUE!</v>
      </c>
      <c r="O60" s="2127"/>
    </row>
    <row r="61" ht="14.25" spans="1:15">
      <c r="A61" s="2085" t="s">
        <v>1042</v>
      </c>
      <c r="B61" s="2085"/>
      <c r="C61" s="2085"/>
      <c r="D61" s="2085"/>
      <c r="E61" s="2085"/>
      <c r="F61" s="2083"/>
      <c r="G61" s="2083"/>
      <c r="H61" s="2084"/>
      <c r="I61" s="1949"/>
      <c r="J61" s="2107">
        <f>J59+1</f>
        <v>7</v>
      </c>
      <c r="K61" s="2107" t="s">
        <v>1043</v>
      </c>
      <c r="L61" s="2107"/>
      <c r="M61" s="2132"/>
      <c r="N61" s="2133" t="e">
        <f ca="1">ROUND(N59*10000/'数据-汇总表'!E3,0)</f>
        <v>#VALUE!</v>
      </c>
      <c r="O61" s="2134"/>
    </row>
    <row r="62" ht="13.5" spans="1:9">
      <c r="A62" s="2086" t="s">
        <v>1044</v>
      </c>
      <c r="B62" s="482"/>
      <c r="C62" s="482"/>
      <c r="D62" s="482" t="s">
        <v>1045</v>
      </c>
      <c r="E62" s="2087" t="s">
        <v>999</v>
      </c>
      <c r="F62" s="2083"/>
      <c r="G62" s="2083"/>
      <c r="H62" s="2084"/>
      <c r="I62" s="1949"/>
    </row>
    <row r="63" ht="13.5" spans="1:35">
      <c r="A63" s="2088" t="s">
        <v>1046</v>
      </c>
      <c r="B63" s="2089" t="s">
        <v>1047</v>
      </c>
      <c r="C63" s="2090">
        <f ca="1">ROUND((C64+C65)/(1+'数据-取费表'!C42),0)</f>
        <v>84397</v>
      </c>
      <c r="D63" s="2089"/>
      <c r="E63" s="2091"/>
      <c r="F63" s="2083"/>
      <c r="G63" s="2083"/>
      <c r="H63" s="2084"/>
      <c r="I63" s="1949"/>
      <c r="J63" s="2135" t="s">
        <v>1048</v>
      </c>
      <c r="K63" s="2135" t="s">
        <v>1049</v>
      </c>
      <c r="L63" s="2135" t="e">
        <f ca="1">IF(M49&gt;10000,M49*0.5%,IF(AND(M49&gt;1000,M49&lt;=10000),M49*1%,IF(AND(M49&gt;100,M49&lt;=1000),M49*3%,IF(AND(M49&gt;10,M49&lt;=100),M49*5%,M49*8%))))</f>
        <v>#VALUE!</v>
      </c>
      <c r="M63" s="1558" t="e">
        <f ca="1">ROUND(L63,1)</f>
        <v>#VALUE!</v>
      </c>
      <c r="N63" s="2136"/>
      <c r="Z63" s="1924"/>
      <c r="AI63" s="1925"/>
    </row>
    <row r="64" ht="14.25" customHeight="1" spans="1:35">
      <c r="A64" s="2092" t="s">
        <v>1050</v>
      </c>
      <c r="B64" s="465" t="s">
        <v>1051</v>
      </c>
      <c r="C64" s="2093">
        <f ca="1">D45</f>
        <v>88617</v>
      </c>
      <c r="D64" s="465" t="s">
        <v>124</v>
      </c>
      <c r="E64" s="2094"/>
      <c r="F64" s="2083"/>
      <c r="G64" s="2083"/>
      <c r="H64" s="2084"/>
      <c r="I64" s="1949"/>
      <c r="J64" s="2135"/>
      <c r="K64" s="2135" t="s">
        <v>1052</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1053</v>
      </c>
      <c r="Z64" s="1924"/>
      <c r="AI64" s="1925"/>
    </row>
    <row r="65" ht="14.25" customHeight="1" spans="1:35">
      <c r="A65" s="2092" t="s">
        <v>1054</v>
      </c>
      <c r="B65" s="465" t="s">
        <v>1055</v>
      </c>
      <c r="C65" s="2138"/>
      <c r="D65" s="465"/>
      <c r="E65" s="2094"/>
      <c r="F65" s="2083"/>
      <c r="G65" s="2083"/>
      <c r="H65" s="2084"/>
      <c r="I65" s="1949"/>
      <c r="J65" s="2135"/>
      <c r="K65" s="2135" t="s">
        <v>1056</v>
      </c>
      <c r="L65" s="2135" t="e">
        <f ca="1">IF(M49&gt;1000,M49*0.1%,IF(AND(M49&gt;500,M49&lt;=1000),M49*0.5%,IF(AND(M49&gt;50,M49&lt;=500),M49*1%,IF(AND(M49&gt;1,M49&lt;=50),M49*1.5%))))</f>
        <v>#VALUE!</v>
      </c>
      <c r="M65" s="1558" t="e">
        <f ca="1" t="shared" si="1"/>
        <v>#VALUE!</v>
      </c>
      <c r="N65" s="1733" t="s">
        <v>1053</v>
      </c>
      <c r="Z65" s="1924"/>
      <c r="AI65" s="1925"/>
    </row>
    <row r="66" ht="14.25" customHeight="1" spans="1:35">
      <c r="A66" s="2088" t="s">
        <v>1057</v>
      </c>
      <c r="B66" s="2139" t="s">
        <v>1058</v>
      </c>
      <c r="C66" s="2140"/>
      <c r="D66" s="2139" t="s">
        <v>124</v>
      </c>
      <c r="E66" s="2141" t="s">
        <v>1059</v>
      </c>
      <c r="F66" s="2083"/>
      <c r="G66" s="2083"/>
      <c r="H66" s="2084"/>
      <c r="I66" s="1949"/>
      <c r="J66" s="2135"/>
      <c r="K66" s="2135" t="s">
        <v>1060</v>
      </c>
      <c r="L66" s="2135" t="e">
        <f ca="1">M49*0.5%</f>
        <v>#VALUE!</v>
      </c>
      <c r="M66" s="1558" t="e">
        <f ca="1">IF(L66&gt;0.5,0.5,ROUND(L66,0))</f>
        <v>#VALUE!</v>
      </c>
      <c r="N66" s="1733" t="s">
        <v>1061</v>
      </c>
      <c r="Z66" s="1924"/>
      <c r="AI66" s="1925"/>
    </row>
    <row r="67" ht="14.25" customHeight="1" spans="1:35">
      <c r="A67" s="2088" t="s">
        <v>1062</v>
      </c>
      <c r="B67" s="2139" t="s">
        <v>1063</v>
      </c>
      <c r="C67" s="2142">
        <f ca="1">C63-C66</f>
        <v>84397</v>
      </c>
      <c r="D67" s="465" t="s">
        <v>124</v>
      </c>
      <c r="E67" s="2094"/>
      <c r="F67" s="2083"/>
      <c r="G67" s="2083"/>
      <c r="H67" s="2084"/>
      <c r="I67" s="1949"/>
      <c r="J67" s="2135"/>
      <c r="K67" s="2135" t="s">
        <v>1064</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1065</v>
      </c>
      <c r="B68" s="2144" t="s">
        <v>1066</v>
      </c>
      <c r="C68" s="2145">
        <f ca="1">IF(C67&lt;=0,0,ROUND(C67*D68,0))</f>
        <v>4726</v>
      </c>
      <c r="D68" s="2146">
        <f>'数据-取费表'!B41</f>
        <v>0.056</v>
      </c>
      <c r="E68" s="2147"/>
      <c r="F68" s="2083"/>
      <c r="G68" s="2083"/>
      <c r="H68" s="2084"/>
      <c r="I68" s="1949"/>
      <c r="J68" s="2135"/>
      <c r="K68" s="2135" t="s">
        <v>1067</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1068</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1069</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1044</v>
      </c>
      <c r="B71" s="482"/>
      <c r="C71" s="482"/>
      <c r="D71" s="482" t="s">
        <v>1045</v>
      </c>
      <c r="E71" s="2154" t="s">
        <v>999</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1046</v>
      </c>
      <c r="B72" s="2139" t="s">
        <v>1070</v>
      </c>
      <c r="C72" s="2142">
        <f ca="1">ROUND(D45/(1+'数据-取费表'!C42),0)</f>
        <v>84397</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1057</v>
      </c>
      <c r="B73" s="2049" t="s">
        <v>1071</v>
      </c>
      <c r="C73" s="2142">
        <f ca="1">C74+C78</f>
        <v>506</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1050</v>
      </c>
      <c r="B74" s="465" t="s">
        <v>1072</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1073</v>
      </c>
      <c r="B75" s="465" t="s">
        <v>1074</v>
      </c>
      <c r="C75" s="2158"/>
      <c r="D75" s="465" t="s">
        <v>124</v>
      </c>
      <c r="E75" s="2159" t="s">
        <v>1075</v>
      </c>
      <c r="F75" s="2160"/>
      <c r="G75" s="2159" t="s">
        <v>1076</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1077</v>
      </c>
      <c r="B76" s="2162" t="s">
        <v>1078</v>
      </c>
      <c r="C76" s="465">
        <f>IF(F75="购房发票",ROUND(C75*H75*D76,0),0)</f>
        <v>0</v>
      </c>
      <c r="D76" s="2163">
        <v>0.05</v>
      </c>
      <c r="E76" s="1592" t="s">
        <v>1079</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1080</v>
      </c>
      <c r="B77" s="465" t="s">
        <v>1081</v>
      </c>
      <c r="C77" s="465">
        <f>ROUND(IF(G77="个人住宅",0,IF(G77="2016年5月1日前购买",C75*D77,C75*D77/(1+'数据-取费表'!C42))),0)</f>
        <v>0</v>
      </c>
      <c r="D77" s="2165">
        <f>'数据-取费表'!B48+'数据-取费表'!B49</f>
        <v>0.0305</v>
      </c>
      <c r="E77" s="1718" t="s">
        <v>1082</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1054</v>
      </c>
      <c r="B78" s="465" t="s">
        <v>1083</v>
      </c>
      <c r="C78" s="2168">
        <f ca="1">ROUND(D45*D78/(1+'数据-取费表'!C42),0)</f>
        <v>506</v>
      </c>
      <c r="D78" s="2169">
        <f>'数据-取费表'!B43</f>
        <v>0.006</v>
      </c>
      <c r="E78" s="2170" t="s">
        <v>1084</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1062</v>
      </c>
      <c r="B79" s="2139" t="s">
        <v>1085</v>
      </c>
      <c r="C79" s="2142">
        <f ca="1">C72-C73</f>
        <v>83891</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1065</v>
      </c>
      <c r="B80" s="2139" t="s">
        <v>1086</v>
      </c>
      <c r="C80" s="2173">
        <f ca="1">IF(C79&lt;=0,0,C79/C73)</f>
        <v>165.792490118577</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1087</v>
      </c>
      <c r="B81" s="2144" t="s">
        <v>1088</v>
      </c>
      <c r="C81" s="2174">
        <f ca="1">ROUND(IF(C79&lt;=0,0,IF(C80&gt;=200%,C79*60%-C73*35%,IF(C80&gt;=100%,C79*50%-C73*15%,IF(C80&gt;=50%,C79*40%-C73*5%,IF(C80&lt;50%,C79*30%,0))))),0)</f>
        <v>50158</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1089</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1044</v>
      </c>
      <c r="B84" s="482"/>
      <c r="C84" s="482"/>
      <c r="D84" s="482" t="s">
        <v>1045</v>
      </c>
      <c r="E84" s="2154" t="s">
        <v>999</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1046</v>
      </c>
      <c r="B85" s="2139" t="s">
        <v>1070</v>
      </c>
      <c r="C85" s="2142">
        <f ca="1">ROUND(D45/(1+'数据-取费表'!C42),0)</f>
        <v>84397</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1057</v>
      </c>
      <c r="B86" s="2049" t="s">
        <v>1071</v>
      </c>
      <c r="C86" s="2142">
        <f ca="1">IF(H88="仅含出让金",C87+C90+C91+C92+C93+C94,C87+C91+C92+C93+C94)</f>
        <v>506</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1050</v>
      </c>
      <c r="B87" s="465" t="s">
        <v>1090</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1073</v>
      </c>
      <c r="B88" s="465" t="s">
        <v>1091</v>
      </c>
      <c r="C88" s="2185"/>
      <c r="D88" s="2169"/>
      <c r="E88" s="2186" t="s">
        <v>1092</v>
      </c>
      <c r="F88" s="2171"/>
      <c r="G88" s="2187" t="s">
        <v>1093</v>
      </c>
      <c r="H88" s="2188"/>
      <c r="I88" s="718"/>
      <c r="J88" s="2258" t="s">
        <v>1094</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1077</v>
      </c>
      <c r="B89" s="465" t="s">
        <v>1081</v>
      </c>
      <c r="C89" s="2168">
        <f>ROUND(C88*D89,0)</f>
        <v>0</v>
      </c>
      <c r="D89" s="2169">
        <f>'数据-取费表'!B48+'数据-取费表'!B49</f>
        <v>0.0305</v>
      </c>
      <c r="E89" s="2186" t="s">
        <v>1095</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1054</v>
      </c>
      <c r="B90" s="465" t="s">
        <v>1096</v>
      </c>
      <c r="C90" s="2185"/>
      <c r="D90" s="2169"/>
      <c r="E90" s="2186" t="str">
        <f>IF(H88="-","土地取得成本中已包含该笔费用"," ")</f>
        <v> </v>
      </c>
      <c r="F90" s="2171"/>
      <c r="G90" s="2189" t="s">
        <v>1097</v>
      </c>
      <c r="H90" s="2190"/>
      <c r="I90" s="718"/>
      <c r="J90" s="2258" t="s">
        <v>1098</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1099</v>
      </c>
      <c r="B91" s="465" t="s">
        <v>1100</v>
      </c>
      <c r="C91" s="2168">
        <f ca="1">IF(H91="——",成本法!C33,I91)</f>
        <v>0</v>
      </c>
      <c r="D91" s="2169"/>
      <c r="E91" s="2170" t="s">
        <v>1101</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1102</v>
      </c>
      <c r="B92" s="465" t="s">
        <v>1103</v>
      </c>
      <c r="C92" s="2168">
        <f ca="1">ROUND((C87+C90+C91)*D92,0)</f>
        <v>0</v>
      </c>
      <c r="D92" s="2192"/>
      <c r="E92" s="2170" t="s">
        <v>1104</v>
      </c>
      <c r="F92" s="2171"/>
      <c r="G92" s="2171"/>
      <c r="H92" s="2172"/>
      <c r="I92" s="718"/>
      <c r="J92" s="2260" t="s">
        <v>1105</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1106</v>
      </c>
      <c r="B93" s="465" t="s">
        <v>1083</v>
      </c>
      <c r="C93" s="2168">
        <f ca="1">ROUND(D45*D93/(1+'数据-取费表'!C42),0)</f>
        <v>506</v>
      </c>
      <c r="D93" s="2169">
        <f>'数据-取费表'!B43</f>
        <v>0.006</v>
      </c>
      <c r="E93" s="2170" t="s">
        <v>1084</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1107</v>
      </c>
      <c r="B94" s="465" t="s">
        <v>1108</v>
      </c>
      <c r="C94" s="2185">
        <f ca="1">ROUND((C87+C90+C91)*D94,0)</f>
        <v>0</v>
      </c>
      <c r="D94" s="2169">
        <v>0.2</v>
      </c>
      <c r="E94" s="2193" t="s">
        <v>1109</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1062</v>
      </c>
      <c r="B95" s="2139" t="s">
        <v>1085</v>
      </c>
      <c r="C95" s="2142">
        <f ca="1">ROUND(C85-C86,0)</f>
        <v>83891</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1065</v>
      </c>
      <c r="B96" s="2139" t="s">
        <v>1086</v>
      </c>
      <c r="C96" s="2173">
        <f ca="1">IF(C95&lt;=0,0,C95/C86)</f>
        <v>165.792490118577</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1087</v>
      </c>
      <c r="B97" s="2144" t="s">
        <v>1088</v>
      </c>
      <c r="C97" s="2174">
        <f ca="1">ROUND(IF(C95&lt;=0,0,IF(C96&gt;=200%,C95*60%-C86*35%,IF(C96&gt;=100%,C95*50%-C86*15%,IF(C96&gt;=50%,C95*40%-C86*5%,IF(C96&lt;50%,C95*30%,0))))),0)</f>
        <v>50158</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1110</v>
      </c>
      <c r="B99" s="1927"/>
      <c r="C99" s="1927"/>
      <c r="D99" s="1927"/>
      <c r="E99" s="2082"/>
      <c r="F99" s="2082"/>
      <c r="G99" s="2082"/>
      <c r="H99" s="2030"/>
      <c r="I99" s="1949"/>
    </row>
    <row r="100" ht="18.75" customHeight="1" spans="1:9">
      <c r="A100" s="2197" t="s">
        <v>1111</v>
      </c>
      <c r="B100" s="2198"/>
      <c r="C100" s="2198"/>
      <c r="D100" s="2199"/>
      <c r="E100" s="2198" t="s">
        <v>1112</v>
      </c>
      <c r="F100" s="2198"/>
      <c r="G100" s="2198"/>
      <c r="H100" s="2199"/>
      <c r="I100" s="1949"/>
    </row>
    <row r="101" ht="18.75" customHeight="1" spans="1:9">
      <c r="A101" s="2200" t="s">
        <v>1113</v>
      </c>
      <c r="B101" s="2201"/>
      <c r="C101" s="2202" t="str">
        <f>C4</f>
        <v>成本法</v>
      </c>
      <c r="D101" s="2203" t="str">
        <f>D4</f>
        <v>比较法-商业</v>
      </c>
      <c r="E101" s="2204" t="s">
        <v>1114</v>
      </c>
      <c r="F101" s="2205"/>
      <c r="G101" s="2206" t="s">
        <v>1115</v>
      </c>
      <c r="H101" s="2207">
        <f ca="1">H118</f>
        <v>88617</v>
      </c>
      <c r="I101" s="1949"/>
    </row>
    <row r="102" ht="18.75" customHeight="1" spans="1:9">
      <c r="A102" s="2208" t="s">
        <v>1116</v>
      </c>
      <c r="B102" s="2209" t="s">
        <v>1115</v>
      </c>
      <c r="C102" s="2202">
        <f ca="1">C19</f>
        <v>42165</v>
      </c>
      <c r="D102" s="2203">
        <f ca="1">D19</f>
        <v>119584</v>
      </c>
      <c r="E102" s="2204"/>
      <c r="F102" s="2205"/>
      <c r="G102" s="2206" t="s">
        <v>99</v>
      </c>
      <c r="H102" s="2068">
        <f ca="1">I118</f>
        <v>35693</v>
      </c>
      <c r="I102" s="1949"/>
    </row>
    <row r="103" ht="42.75" customHeight="1" spans="1:9">
      <c r="A103" s="2208"/>
      <c r="B103" s="2209" t="s">
        <v>99</v>
      </c>
      <c r="C103" s="2210">
        <f ca="1">C20</f>
        <v>16983</v>
      </c>
      <c r="D103" s="2211">
        <f ca="1">D20</f>
        <v>48166</v>
      </c>
      <c r="E103" s="2212" t="s">
        <v>1117</v>
      </c>
      <c r="F103" s="2213"/>
      <c r="G103" s="2214" t="s">
        <v>102</v>
      </c>
      <c r="H103" s="2207">
        <f>IF(D36="正常操作",H104+H105+H106,H105+H106)</f>
        <v>0</v>
      </c>
      <c r="I103" s="1949"/>
    </row>
    <row r="104" ht="18.75" customHeight="1" spans="1:9">
      <c r="A104" s="2208" t="s">
        <v>1118</v>
      </c>
      <c r="B104" s="2215" t="s">
        <v>1115</v>
      </c>
      <c r="C104" s="2216">
        <f ca="1">H118</f>
        <v>88617</v>
      </c>
      <c r="D104" s="2217"/>
      <c r="E104" s="2013" t="s">
        <v>1119</v>
      </c>
      <c r="F104" s="2218"/>
      <c r="G104" s="2214" t="s">
        <v>102</v>
      </c>
      <c r="H104" s="2219">
        <f>IF(D36="同一抵押权人同一抵押物续贷",C36&amp;"（续贷，未扣减，详见特别提示）",C36)</f>
        <v>0</v>
      </c>
      <c r="I104" s="1949"/>
    </row>
    <row r="105" ht="18.75" customHeight="1" spans="1:9">
      <c r="A105" s="2220"/>
      <c r="B105" s="2221" t="s">
        <v>99</v>
      </c>
      <c r="C105" s="2222">
        <f ca="1">I118</f>
        <v>35693</v>
      </c>
      <c r="D105" s="2223"/>
      <c r="E105" s="2013" t="s">
        <v>1120</v>
      </c>
      <c r="F105" s="2218"/>
      <c r="G105" s="2214" t="s">
        <v>102</v>
      </c>
      <c r="H105" s="2224">
        <f>C37</f>
        <v>0</v>
      </c>
      <c r="I105" s="1949"/>
    </row>
    <row r="106" ht="18.75" customHeight="1" spans="1:9">
      <c r="A106" s="1927" t="s">
        <v>1121</v>
      </c>
      <c r="B106" s="1927"/>
      <c r="C106" s="1927"/>
      <c r="D106" s="1927"/>
      <c r="E106" s="2225" t="s">
        <v>1122</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1115</v>
      </c>
      <c r="H107" s="2207">
        <f ca="1">IF(E107="——","——",H101-H103)</f>
        <v>88617</v>
      </c>
      <c r="I107" s="1949"/>
    </row>
    <row r="108" ht="18.75" customHeight="1" spans="1:9">
      <c r="A108" s="1949"/>
      <c r="B108" s="1949"/>
      <c r="C108" s="1949"/>
      <c r="D108" s="1949"/>
      <c r="E108" s="2226"/>
      <c r="F108" s="2205"/>
      <c r="G108" s="2206" t="s">
        <v>99</v>
      </c>
      <c r="H108" s="2068">
        <f ca="1">ROUND(H107*10000/'数据-汇总表'!E3,0)</f>
        <v>26268</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1115</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1115</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1121</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1123</v>
      </c>
      <c r="B115" s="2236"/>
      <c r="C115" s="2236"/>
      <c r="D115" s="2236"/>
      <c r="E115" s="2236"/>
      <c r="F115" s="2236"/>
      <c r="G115" s="2236"/>
      <c r="H115" s="2236"/>
      <c r="I115" s="2261"/>
    </row>
    <row r="116" ht="27" customHeight="1" spans="1:9">
      <c r="A116" s="1940" t="s">
        <v>1124</v>
      </c>
      <c r="B116" s="2237" t="s">
        <v>1125</v>
      </c>
      <c r="C116" s="2237" t="s">
        <v>1126</v>
      </c>
      <c r="D116" s="2238" t="s">
        <v>1127</v>
      </c>
      <c r="E116" s="2239"/>
      <c r="F116" s="2240" t="s">
        <v>1128</v>
      </c>
      <c r="G116" s="2240"/>
      <c r="H116" s="1940" t="s">
        <v>1129</v>
      </c>
      <c r="I116" s="1940"/>
    </row>
    <row r="117" ht="18.75" customHeight="1" spans="1:9">
      <c r="A117" s="1940"/>
      <c r="B117" s="2241"/>
      <c r="C117" s="2241"/>
      <c r="D117" s="1940" t="s">
        <v>1130</v>
      </c>
      <c r="E117" s="1940" t="s">
        <v>958</v>
      </c>
      <c r="F117" s="1940" t="s">
        <v>1130</v>
      </c>
      <c r="G117" s="1940" t="s">
        <v>958</v>
      </c>
      <c r="H117" s="1940" t="s">
        <v>1130</v>
      </c>
      <c r="I117" s="1940" t="s">
        <v>958</v>
      </c>
    </row>
    <row r="118" ht="24.75" customHeight="1" spans="1:9">
      <c r="A118" s="2242" t="str">
        <f>项目基本情况!S2</f>
        <v>北京市房地产</v>
      </c>
      <c r="B118" s="1940">
        <f>M18</f>
        <v>24827.5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88617</v>
      </c>
      <c r="I118" s="1940">
        <f ca="1">ROUND(IF(D32="楼面单价",C32,H118*10000/B118),0)</f>
        <v>35693</v>
      </c>
    </row>
    <row r="119" ht="18.75" customHeight="1" spans="1:9">
      <c r="A119" s="1940" t="s">
        <v>1131</v>
      </c>
      <c r="B119" s="1940"/>
      <c r="C119" s="1940"/>
      <c r="D119" s="2243" t="e">
        <f ca="1">NUMBERSTRING(INT(D118*10000),2)&amp;"元整"</f>
        <v>#REF!</v>
      </c>
      <c r="E119" s="2244"/>
      <c r="F119" s="2243" t="e">
        <f ca="1">NUMBERSTRING(INT(F118*10000),2)&amp;"元整"</f>
        <v>#REF!</v>
      </c>
      <c r="G119" s="2244"/>
      <c r="H119" s="2243" t="str">
        <f ca="1">NUMBERSTRING(INT(H118*10000),2)&amp;"元整"</f>
        <v>捌亿捌仟陆佰壹拾柒万元整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1131</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88617</v>
      </c>
      <c r="E122" s="2246"/>
      <c r="F122" s="2246"/>
      <c r="G122" s="2246"/>
      <c r="H122" s="2246"/>
      <c r="I122" s="2247"/>
      <c r="AA122" s="1923"/>
    </row>
    <row r="123" ht="18.75" customHeight="1" spans="1:27">
      <c r="A123" s="1940" t="s">
        <v>1131</v>
      </c>
      <c r="B123" s="1940"/>
      <c r="C123" s="1940"/>
      <c r="D123" s="2243" t="str">
        <f ca="1">NUMBERSTRING(INT(D122*10000),2)&amp;"元整"</f>
        <v>捌亿捌仟陆佰壹拾柒万元整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1131</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1131</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1132</v>
      </c>
      <c r="B129" s="2264"/>
      <c r="C129" s="2265" t="s">
        <v>1133</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1134</v>
      </c>
      <c r="G135" s="2277"/>
      <c r="H135" s="2277"/>
      <c r="I135" s="2285" t="s">
        <v>1135</v>
      </c>
    </row>
    <row r="136" customHeight="1" spans="1:9">
      <c r="A136" s="1923"/>
      <c r="B136" s="2278" t="s">
        <v>1136</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1137</v>
      </c>
    </row>
    <row r="139" customHeight="1" spans="1:9">
      <c r="A139" s="1923"/>
      <c r="B139" s="2278" t="s">
        <v>1138</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1137</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1139</v>
      </c>
      <c r="B1" s="2599" t="s">
        <v>1140</v>
      </c>
      <c r="C1" s="1288" t="s">
        <v>1141</v>
      </c>
      <c r="D1" s="1227"/>
      <c r="E1" s="2627"/>
      <c r="F1" s="1229" t="s">
        <v>1142</v>
      </c>
      <c r="G1" s="1230" t="s">
        <v>1143</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1144</v>
      </c>
      <c r="B2" s="1232" t="e">
        <f ca="1">IF(C2="——",ROUND(C49*D3/10000,0),ROUND(C49*D3/10000,0)-D2)</f>
        <v>#DIV/0!</v>
      </c>
      <c r="C2" s="1233"/>
      <c r="D2" s="1412" t="e">
        <f ca="1">SUMIF(INDIRECT("'"&amp;F2&amp;"'"&amp;"!A:A"),"承租人权益价值",INDIRECT("'"&amp;F2&amp;"'"&amp;"!c:c"))</f>
        <v>#REF!</v>
      </c>
      <c r="E2" s="1234" t="s">
        <v>1145</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1146</v>
      </c>
      <c r="B3" s="1237" t="e">
        <f ca="1">IF(C2="——",C49,ROUND(B2*10000/D3,0))</f>
        <v>#DIV/0!</v>
      </c>
      <c r="C3" s="1236" t="s">
        <v>1147</v>
      </c>
      <c r="D3" s="1237">
        <f>IF(D1="",'数据-汇总表'!E3,SUMIF('数据-汇总表'!$C19:$C33,D1,'数据-汇总表'!$E19:$E33))</f>
        <v>33735.37</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1148</v>
      </c>
      <c r="B4" s="828"/>
      <c r="C4" s="829" t="s">
        <v>1149</v>
      </c>
      <c r="D4" s="830"/>
      <c r="E4" s="831" t="s">
        <v>1150</v>
      </c>
      <c r="F4" s="832"/>
      <c r="G4" s="829" t="s">
        <v>1151</v>
      </c>
      <c r="H4" s="830"/>
      <c r="I4" s="829" t="s">
        <v>1152</v>
      </c>
      <c r="J4" s="830"/>
      <c r="K4" s="2641" t="s">
        <v>1153</v>
      </c>
      <c r="L4" s="985"/>
      <c r="M4" s="986"/>
      <c r="N4" s="986"/>
      <c r="O4" s="986"/>
      <c r="P4" s="987" t="s">
        <v>1154</v>
      </c>
      <c r="Q4" s="1036"/>
      <c r="R4" s="1037" t="s">
        <v>1150</v>
      </c>
      <c r="S4" s="1038"/>
      <c r="T4" s="1037" t="s">
        <v>1151</v>
      </c>
      <c r="U4" s="1038"/>
      <c r="V4" s="1026" t="s">
        <v>1152</v>
      </c>
      <c r="W4" s="1026"/>
      <c r="X4" s="1039"/>
      <c r="Y4" s="1037" t="s">
        <v>1154</v>
      </c>
      <c r="Z4" s="1038"/>
      <c r="AA4" s="1064" t="s">
        <v>1150</v>
      </c>
      <c r="AB4" s="1064" t="s">
        <v>1151</v>
      </c>
      <c r="AC4" s="1064" t="s">
        <v>1152</v>
      </c>
    </row>
    <row r="5" ht="15" spans="1:29">
      <c r="A5" s="833"/>
      <c r="B5" s="834"/>
      <c r="C5" s="835" t="s">
        <v>1155</v>
      </c>
      <c r="D5" s="836"/>
      <c r="E5" s="837" t="s">
        <v>1156</v>
      </c>
      <c r="F5" s="838"/>
      <c r="G5" s="835" t="s">
        <v>1157</v>
      </c>
      <c r="H5" s="836"/>
      <c r="I5" s="835" t="s">
        <v>1158</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1159</v>
      </c>
      <c r="D6" s="1188"/>
      <c r="E6" s="1189" t="s">
        <v>1159</v>
      </c>
      <c r="F6" s="1190"/>
      <c r="G6" s="1187" t="s">
        <v>1159</v>
      </c>
      <c r="H6" s="1188"/>
      <c r="I6" s="1187" t="s">
        <v>1159</v>
      </c>
      <c r="J6" s="1188"/>
      <c r="K6" s="2642" t="s">
        <v>1160</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1161</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1162</v>
      </c>
      <c r="Q7" s="1046"/>
      <c r="R7" s="1047" t="s">
        <v>1163</v>
      </c>
      <c r="S7" s="1048">
        <f t="shared" ref="S7:S15" si="0">F7</f>
        <v>0</v>
      </c>
      <c r="T7" s="1047" t="s">
        <v>1163</v>
      </c>
      <c r="U7" s="1048">
        <f t="shared" ref="U7:U15" si="1">H7</f>
        <v>0</v>
      </c>
      <c r="V7" s="1047" t="s">
        <v>1163</v>
      </c>
      <c r="W7" s="1048">
        <f t="shared" ref="W7:W15" si="2">J7</f>
        <v>0</v>
      </c>
      <c r="X7" s="1049"/>
      <c r="Y7" s="993" t="s">
        <v>1162</v>
      </c>
      <c r="Z7" s="1050"/>
      <c r="AA7" s="1066" t="e">
        <f>D7/F7</f>
        <v>#DIV/0!</v>
      </c>
      <c r="AB7" s="1066" t="e">
        <f>D7/H7</f>
        <v>#DIV/0!</v>
      </c>
      <c r="AC7" s="1066" t="e">
        <f>D7/J7</f>
        <v>#DIV/0!</v>
      </c>
    </row>
    <row r="8" s="808" customFormat="1" ht="15.75" spans="1:29">
      <c r="A8" s="845" t="s">
        <v>1164</v>
      </c>
      <c r="B8" s="846"/>
      <c r="C8" s="852" t="s">
        <v>1165</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1166</v>
      </c>
      <c r="Q8" s="1050"/>
      <c r="R8" s="1047" t="s">
        <v>1163</v>
      </c>
      <c r="S8" s="1048">
        <f t="shared" si="0"/>
        <v>0</v>
      </c>
      <c r="T8" s="1047" t="s">
        <v>1163</v>
      </c>
      <c r="U8" s="1048">
        <f t="shared" si="1"/>
        <v>0</v>
      </c>
      <c r="V8" s="1047" t="s">
        <v>1163</v>
      </c>
      <c r="W8" s="1048">
        <f t="shared" si="2"/>
        <v>0</v>
      </c>
      <c r="X8" s="1049"/>
      <c r="Y8" s="993" t="s">
        <v>1166</v>
      </c>
      <c r="Z8" s="1050"/>
      <c r="AA8" s="1066" t="e">
        <f t="shared" ref="AA8:AA19" si="3">D8/F8</f>
        <v>#DIV/0!</v>
      </c>
      <c r="AB8" s="1066" t="e">
        <f t="shared" ref="AB8:AB19" si="4">D8/H8</f>
        <v>#DIV/0!</v>
      </c>
      <c r="AC8" s="1066" t="e">
        <f t="shared" ref="AC8:AC19" si="5">D8/J8</f>
        <v>#DIV/0!</v>
      </c>
    </row>
    <row r="9" s="808" customFormat="1" spans="1:29">
      <c r="A9" s="853" t="s">
        <v>1167</v>
      </c>
      <c r="B9" s="854" t="s">
        <v>1168</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1169</v>
      </c>
      <c r="Q9" s="1051" t="str">
        <f t="shared" ref="Q9:Q15" si="6">B9</f>
        <v>用途</v>
      </c>
      <c r="R9" s="1047" t="s">
        <v>1163</v>
      </c>
      <c r="S9" s="1048">
        <f t="shared" si="0"/>
        <v>100</v>
      </c>
      <c r="T9" s="1047" t="s">
        <v>1163</v>
      </c>
      <c r="U9" s="1048">
        <f t="shared" si="1"/>
        <v>100</v>
      </c>
      <c r="V9" s="1047" t="s">
        <v>1163</v>
      </c>
      <c r="W9" s="1048">
        <f t="shared" si="2"/>
        <v>100</v>
      </c>
      <c r="X9" s="1049"/>
      <c r="Y9" s="1051" t="s">
        <v>1170</v>
      </c>
      <c r="Z9" s="1067" t="str">
        <f t="shared" ref="Z9:Z15" si="7">Q9</f>
        <v>用途</v>
      </c>
      <c r="AA9" s="1066">
        <f t="shared" si="3"/>
        <v>1</v>
      </c>
      <c r="AB9" s="1066">
        <f t="shared" si="4"/>
        <v>1</v>
      </c>
      <c r="AC9" s="1066">
        <f t="shared" si="5"/>
        <v>1</v>
      </c>
    </row>
    <row r="10" s="809" customFormat="1" ht="27" spans="1:29">
      <c r="A10" s="857"/>
      <c r="B10" s="858" t="s">
        <v>1171</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1163</v>
      </c>
      <c r="S10" s="1048">
        <f t="shared" si="0"/>
        <v>100</v>
      </c>
      <c r="T10" s="1047" t="s">
        <v>1163</v>
      </c>
      <c r="U10" s="1048">
        <f t="shared" si="1"/>
        <v>100</v>
      </c>
      <c r="V10" s="1047" t="s">
        <v>1163</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1172</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1163</v>
      </c>
      <c r="S11" s="1048" t="e">
        <f t="shared" si="0"/>
        <v>#N/A</v>
      </c>
      <c r="T11" s="1047" t="s">
        <v>1163</v>
      </c>
      <c r="U11" s="1048" t="e">
        <f t="shared" si="1"/>
        <v>#N/A</v>
      </c>
      <c r="V11" s="1047" t="s">
        <v>1163</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1163</v>
      </c>
      <c r="S12" s="1048">
        <f t="shared" si="0"/>
        <v>100</v>
      </c>
      <c r="T12" s="1047" t="s">
        <v>1163</v>
      </c>
      <c r="U12" s="1048">
        <f t="shared" si="1"/>
        <v>100</v>
      </c>
      <c r="V12" s="1047" t="s">
        <v>1163</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1163</v>
      </c>
      <c r="S13" s="1048">
        <f t="shared" si="0"/>
        <v>100</v>
      </c>
      <c r="T13" s="1047" t="s">
        <v>1163</v>
      </c>
      <c r="U13" s="1048">
        <f t="shared" si="1"/>
        <v>100</v>
      </c>
      <c r="V13" s="1047" t="s">
        <v>1163</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1163</v>
      </c>
      <c r="S14" s="1048">
        <f t="shared" si="0"/>
        <v>100</v>
      </c>
      <c r="T14" s="1047" t="s">
        <v>1163</v>
      </c>
      <c r="U14" s="1048">
        <f t="shared" si="1"/>
        <v>100</v>
      </c>
      <c r="V14" s="1047" t="s">
        <v>1163</v>
      </c>
      <c r="W14" s="1048">
        <f t="shared" si="2"/>
        <v>100</v>
      </c>
      <c r="X14" s="1049"/>
      <c r="Y14" s="1051"/>
      <c r="Z14" s="1067">
        <f t="shared" si="7"/>
        <v>111</v>
      </c>
      <c r="AA14" s="1066">
        <f t="shared" si="3"/>
        <v>1</v>
      </c>
      <c r="AB14" s="1066">
        <f t="shared" si="4"/>
        <v>1</v>
      </c>
      <c r="AC14" s="1066">
        <f t="shared" si="5"/>
        <v>1</v>
      </c>
    </row>
    <row r="15" ht="94.5" spans="1:29">
      <c r="A15" s="875" t="s">
        <v>1173</v>
      </c>
      <c r="B15" s="1193" t="s">
        <v>1174</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1175</v>
      </c>
      <c r="Q15" s="554" t="str">
        <f t="shared" si="6"/>
        <v>居住社区成熟度</v>
      </c>
      <c r="R15" s="1052" t="s">
        <v>1163</v>
      </c>
      <c r="S15" s="1053">
        <f t="shared" si="0"/>
        <v>100</v>
      </c>
      <c r="T15" s="1052" t="s">
        <v>1163</v>
      </c>
      <c r="U15" s="1053">
        <f t="shared" si="1"/>
        <v>100</v>
      </c>
      <c r="V15" s="1052" t="s">
        <v>1163</v>
      </c>
      <c r="W15" s="1053">
        <f t="shared" si="2"/>
        <v>100</v>
      </c>
      <c r="X15" s="1039"/>
      <c r="Y15" s="1004" t="s">
        <v>1175</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1176</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1163</v>
      </c>
      <c r="S17" s="1053">
        <f>F17</f>
        <v>100</v>
      </c>
      <c r="T17" s="1052" t="s">
        <v>1163</v>
      </c>
      <c r="U17" s="1053">
        <f>H17</f>
        <v>100</v>
      </c>
      <c r="V17" s="1052" t="s">
        <v>1163</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1177</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1163</v>
      </c>
      <c r="S19" s="1053">
        <f>F19</f>
        <v>100</v>
      </c>
      <c r="T19" s="1052" t="s">
        <v>1163</v>
      </c>
      <c r="U19" s="1053">
        <f>H19</f>
        <v>100</v>
      </c>
      <c r="V19" s="1052" t="s">
        <v>1163</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1178</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1163</v>
      </c>
      <c r="S21" s="1053">
        <f>F21</f>
        <v>100</v>
      </c>
      <c r="T21" s="1052" t="s">
        <v>1163</v>
      </c>
      <c r="U21" s="1053">
        <f>H21</f>
        <v>100</v>
      </c>
      <c r="V21" s="1052" t="s">
        <v>1163</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1179</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1163</v>
      </c>
      <c r="S23" s="1053">
        <f>F23</f>
        <v>100</v>
      </c>
      <c r="T23" s="1052" t="s">
        <v>1163</v>
      </c>
      <c r="U23" s="1053">
        <f>H23</f>
        <v>100</v>
      </c>
      <c r="V23" s="1052" t="s">
        <v>1163</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1180</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1163</v>
      </c>
      <c r="S25" s="1053">
        <f t="shared" ref="S25:S46" si="12">F25</f>
        <v>100</v>
      </c>
      <c r="T25" s="1052" t="s">
        <v>1163</v>
      </c>
      <c r="U25" s="1053">
        <f t="shared" ref="U25:U46" si="13">H25</f>
        <v>100</v>
      </c>
      <c r="V25" s="1052" t="s">
        <v>1163</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1181</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1163</v>
      </c>
      <c r="S26" s="1053">
        <f t="shared" si="12"/>
        <v>100</v>
      </c>
      <c r="T26" s="1052" t="s">
        <v>1163</v>
      </c>
      <c r="U26" s="1053">
        <f t="shared" si="13"/>
        <v>100</v>
      </c>
      <c r="V26" s="1052" t="s">
        <v>1163</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1163</v>
      </c>
      <c r="S27" s="1048">
        <f t="shared" si="12"/>
        <v>100</v>
      </c>
      <c r="T27" s="1047" t="s">
        <v>1163</v>
      </c>
      <c r="U27" s="1048">
        <f t="shared" si="13"/>
        <v>100</v>
      </c>
      <c r="V27" s="1047" t="s">
        <v>1163</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1163</v>
      </c>
      <c r="S28" s="1053">
        <f t="shared" si="12"/>
        <v>100</v>
      </c>
      <c r="T28" s="1052" t="s">
        <v>1163</v>
      </c>
      <c r="U28" s="1053">
        <f t="shared" si="13"/>
        <v>100</v>
      </c>
      <c r="V28" s="1052" t="s">
        <v>1163</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1163</v>
      </c>
      <c r="S29" s="1053">
        <f t="shared" si="12"/>
        <v>100</v>
      </c>
      <c r="T29" s="1052" t="s">
        <v>1163</v>
      </c>
      <c r="U29" s="1053">
        <f t="shared" si="13"/>
        <v>100</v>
      </c>
      <c r="V29" s="1052" t="s">
        <v>1163</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1163</v>
      </c>
      <c r="S30" s="1053">
        <f t="shared" si="12"/>
        <v>100</v>
      </c>
      <c r="T30" s="1052" t="s">
        <v>1163</v>
      </c>
      <c r="U30" s="1053">
        <f t="shared" si="13"/>
        <v>100</v>
      </c>
      <c r="V30" s="1052" t="s">
        <v>1163</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1163</v>
      </c>
      <c r="S31" s="1053">
        <f t="shared" si="12"/>
        <v>100</v>
      </c>
      <c r="T31" s="1052" t="s">
        <v>1163</v>
      </c>
      <c r="U31" s="1053">
        <f t="shared" si="13"/>
        <v>100</v>
      </c>
      <c r="V31" s="1052" t="s">
        <v>1163</v>
      </c>
      <c r="W31" s="1053">
        <f t="shared" si="14"/>
        <v>100</v>
      </c>
      <c r="X31" s="1039"/>
      <c r="Y31" s="1005"/>
      <c r="Z31" s="1026">
        <f t="shared" si="18"/>
        <v>111</v>
      </c>
      <c r="AA31" s="1068">
        <f t="shared" si="15"/>
        <v>1</v>
      </c>
      <c r="AB31" s="1068">
        <f t="shared" si="16"/>
        <v>1</v>
      </c>
      <c r="AC31" s="1068">
        <f t="shared" si="17"/>
        <v>1</v>
      </c>
    </row>
    <row r="32" ht="15" spans="1:29">
      <c r="A32" s="875" t="s">
        <v>1182</v>
      </c>
      <c r="B32" s="854" t="s">
        <v>1183</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1184</v>
      </c>
      <c r="Q32" s="554" t="str">
        <f t="shared" si="11"/>
        <v>建筑类型</v>
      </c>
      <c r="R32" s="1052" t="s">
        <v>1163</v>
      </c>
      <c r="S32" s="1053">
        <f t="shared" si="12"/>
        <v>100</v>
      </c>
      <c r="T32" s="1052" t="s">
        <v>1163</v>
      </c>
      <c r="U32" s="1053">
        <f t="shared" si="13"/>
        <v>100</v>
      </c>
      <c r="V32" s="1052" t="s">
        <v>1163</v>
      </c>
      <c r="W32" s="1053">
        <f t="shared" si="14"/>
        <v>100</v>
      </c>
      <c r="X32" s="1039"/>
      <c r="Y32" s="1014" t="s">
        <v>1184</v>
      </c>
      <c r="Z32" s="1026" t="str">
        <f t="shared" si="18"/>
        <v>建筑类型</v>
      </c>
      <c r="AA32" s="1068">
        <f t="shared" si="15"/>
        <v>1</v>
      </c>
      <c r="AB32" s="1068">
        <f t="shared" si="16"/>
        <v>1</v>
      </c>
      <c r="AC32" s="1068">
        <f t="shared" si="17"/>
        <v>1</v>
      </c>
    </row>
    <row r="33" s="810" customFormat="1" ht="15" spans="1:29">
      <c r="A33" s="917"/>
      <c r="B33" s="858" t="s">
        <v>1185</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1163</v>
      </c>
      <c r="S33" s="1055" t="e">
        <f t="shared" si="12"/>
        <v>#N/A</v>
      </c>
      <c r="T33" s="1054" t="s">
        <v>1163</v>
      </c>
      <c r="U33" s="1055" t="e">
        <f t="shared" si="13"/>
        <v>#N/A</v>
      </c>
      <c r="V33" s="1054" t="s">
        <v>1163</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1186</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1163</v>
      </c>
      <c r="S34" s="1053">
        <f t="shared" si="12"/>
        <v>100</v>
      </c>
      <c r="T34" s="1052" t="s">
        <v>1163</v>
      </c>
      <c r="U34" s="1053">
        <f t="shared" si="13"/>
        <v>100</v>
      </c>
      <c r="V34" s="1052" t="s">
        <v>1163</v>
      </c>
      <c r="W34" s="1053">
        <f t="shared" si="14"/>
        <v>100</v>
      </c>
      <c r="X34" s="1039"/>
      <c r="Y34" s="1014"/>
      <c r="Z34" s="1026" t="str">
        <f t="shared" si="18"/>
        <v>建筑结构</v>
      </c>
      <c r="AA34" s="1068">
        <f t="shared" si="15"/>
        <v>1</v>
      </c>
      <c r="AB34" s="1068">
        <f t="shared" si="16"/>
        <v>1</v>
      </c>
      <c r="AC34" s="1068">
        <f t="shared" si="17"/>
        <v>1</v>
      </c>
    </row>
    <row r="35" ht="15" spans="1:29">
      <c r="A35" s="912"/>
      <c r="B35" s="858" t="s">
        <v>1187</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1163</v>
      </c>
      <c r="S35" s="1053">
        <f t="shared" si="12"/>
        <v>100</v>
      </c>
      <c r="T35" s="1052" t="s">
        <v>1163</v>
      </c>
      <c r="U35" s="1053">
        <f t="shared" si="13"/>
        <v>100</v>
      </c>
      <c r="V35" s="1052" t="s">
        <v>1163</v>
      </c>
      <c r="W35" s="1053">
        <f t="shared" si="14"/>
        <v>100</v>
      </c>
      <c r="X35" s="1039"/>
      <c r="Y35" s="1014"/>
      <c r="Z35" s="1026" t="str">
        <f t="shared" si="18"/>
        <v>建筑品质</v>
      </c>
      <c r="AA35" s="1068">
        <f t="shared" si="15"/>
        <v>1</v>
      </c>
      <c r="AB35" s="1068">
        <f t="shared" si="16"/>
        <v>1</v>
      </c>
      <c r="AC35" s="1068">
        <f t="shared" si="17"/>
        <v>1</v>
      </c>
    </row>
    <row r="36" ht="15" spans="1:29">
      <c r="A36" s="912"/>
      <c r="B36" s="858" t="s">
        <v>1188</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1163</v>
      </c>
      <c r="S36" s="1053">
        <f t="shared" si="12"/>
        <v>100</v>
      </c>
      <c r="T36" s="1052" t="s">
        <v>1163</v>
      </c>
      <c r="U36" s="1053">
        <f t="shared" si="13"/>
        <v>100</v>
      </c>
      <c r="V36" s="1052" t="s">
        <v>1163</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589</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1163</v>
      </c>
      <c r="S37" s="1048" t="e">
        <f t="shared" si="12"/>
        <v>#N/A</v>
      </c>
      <c r="T37" s="1047" t="s">
        <v>1163</v>
      </c>
      <c r="U37" s="1048" t="e">
        <f t="shared" si="13"/>
        <v>#N/A</v>
      </c>
      <c r="V37" s="1047" t="s">
        <v>1163</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1189</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1184</v>
      </c>
      <c r="Q38" s="554" t="str">
        <f t="shared" si="11"/>
        <v>物业管理</v>
      </c>
      <c r="R38" s="1052" t="s">
        <v>1163</v>
      </c>
      <c r="S38" s="1053">
        <f t="shared" si="12"/>
        <v>100</v>
      </c>
      <c r="T38" s="1052" t="s">
        <v>1163</v>
      </c>
      <c r="U38" s="1053">
        <f t="shared" si="13"/>
        <v>100</v>
      </c>
      <c r="V38" s="1052" t="s">
        <v>1163</v>
      </c>
      <c r="W38" s="1053">
        <f t="shared" si="14"/>
        <v>100</v>
      </c>
      <c r="X38" s="1039"/>
      <c r="Y38" s="1014" t="s">
        <v>1184</v>
      </c>
      <c r="Z38" s="1026" t="str">
        <f t="shared" si="18"/>
        <v>物业管理</v>
      </c>
      <c r="AA38" s="1068">
        <f t="shared" si="15"/>
        <v>1</v>
      </c>
      <c r="AB38" s="1068">
        <f t="shared" si="16"/>
        <v>1</v>
      </c>
      <c r="AC38" s="1068">
        <f t="shared" si="17"/>
        <v>1</v>
      </c>
    </row>
    <row r="39" ht="15" spans="1:29">
      <c r="A39" s="912"/>
      <c r="B39" s="858" t="s">
        <v>1190</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1163</v>
      </c>
      <c r="S39" s="1053">
        <f t="shared" si="12"/>
        <v>100</v>
      </c>
      <c r="T39" s="1052" t="s">
        <v>1163</v>
      </c>
      <c r="U39" s="1053">
        <f t="shared" si="13"/>
        <v>100</v>
      </c>
      <c r="V39" s="1052" t="s">
        <v>1163</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1191</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1163</v>
      </c>
      <c r="S40" s="1053">
        <f t="shared" si="12"/>
        <v>100</v>
      </c>
      <c r="T40" s="1052" t="s">
        <v>1163</v>
      </c>
      <c r="U40" s="1053">
        <f t="shared" si="13"/>
        <v>100</v>
      </c>
      <c r="V40" s="1052" t="s">
        <v>1163</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1192</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1163</v>
      </c>
      <c r="S41" s="1055">
        <f t="shared" si="12"/>
        <v>100</v>
      </c>
      <c r="T41" s="1054" t="s">
        <v>1163</v>
      </c>
      <c r="U41" s="1055">
        <f t="shared" si="13"/>
        <v>100</v>
      </c>
      <c r="V41" s="1054" t="s">
        <v>1163</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1193</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1163</v>
      </c>
      <c r="S42" s="1053">
        <f t="shared" si="12"/>
        <v>100</v>
      </c>
      <c r="T42" s="1052" t="s">
        <v>1163</v>
      </c>
      <c r="U42" s="1053">
        <f t="shared" si="13"/>
        <v>100</v>
      </c>
      <c r="V42" s="1052" t="s">
        <v>1163</v>
      </c>
      <c r="W42" s="1053">
        <f t="shared" si="14"/>
        <v>100</v>
      </c>
      <c r="X42" s="1039"/>
      <c r="Y42" s="1014"/>
      <c r="Z42" s="1026" t="str">
        <f t="shared" si="18"/>
        <v>内部装修</v>
      </c>
      <c r="AA42" s="1068">
        <f t="shared" si="15"/>
        <v>1</v>
      </c>
      <c r="AB42" s="1068">
        <f t="shared" si="16"/>
        <v>1</v>
      </c>
      <c r="AC42" s="1068">
        <f t="shared" si="17"/>
        <v>1</v>
      </c>
    </row>
    <row r="43" ht="15" spans="1:29">
      <c r="A43" s="912"/>
      <c r="B43" s="858" t="s">
        <v>1194</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1163</v>
      </c>
      <c r="S43" s="1053">
        <f t="shared" si="12"/>
        <v>100</v>
      </c>
      <c r="T43" s="1052" t="s">
        <v>1163</v>
      </c>
      <c r="U43" s="1053">
        <f t="shared" si="13"/>
        <v>100</v>
      </c>
      <c r="V43" s="1052" t="s">
        <v>1163</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1163</v>
      </c>
      <c r="S44" s="1048">
        <f t="shared" si="12"/>
        <v>100</v>
      </c>
      <c r="T44" s="1047" t="s">
        <v>1163</v>
      </c>
      <c r="U44" s="1048">
        <f t="shared" si="13"/>
        <v>100</v>
      </c>
      <c r="V44" s="1047" t="s">
        <v>1163</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1163</v>
      </c>
      <c r="S45" s="1053">
        <f t="shared" si="12"/>
        <v>100</v>
      </c>
      <c r="T45" s="1052" t="s">
        <v>1163</v>
      </c>
      <c r="U45" s="1053">
        <f t="shared" si="13"/>
        <v>100</v>
      </c>
      <c r="V45" s="1052" t="s">
        <v>1163</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1163</v>
      </c>
      <c r="S46" s="1053">
        <f t="shared" si="12"/>
        <v>100</v>
      </c>
      <c r="T46" s="1052" t="s">
        <v>1163</v>
      </c>
      <c r="U46" s="1053">
        <f t="shared" si="13"/>
        <v>100</v>
      </c>
      <c r="V46" s="1052" t="s">
        <v>1163</v>
      </c>
      <c r="W46" s="1053">
        <f t="shared" si="14"/>
        <v>100</v>
      </c>
      <c r="X46" s="1039"/>
      <c r="Y46" s="1387"/>
      <c r="Z46" s="1026">
        <f t="shared" si="18"/>
        <v>111</v>
      </c>
      <c r="AA46" s="1068">
        <f t="shared" si="15"/>
        <v>1</v>
      </c>
      <c r="AB46" s="1068">
        <f t="shared" si="16"/>
        <v>1</v>
      </c>
      <c r="AC46" s="1068">
        <f t="shared" si="17"/>
        <v>1</v>
      </c>
    </row>
    <row r="47" ht="15" spans="1:29">
      <c r="A47" s="919" t="s">
        <v>1195</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1196</v>
      </c>
      <c r="B48" s="1275"/>
      <c r="C48" s="1276" t="e">
        <f>R49</f>
        <v>#DIV/0!</v>
      </c>
      <c r="D48" s="930" t="s">
        <v>1197</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1198</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1199</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1200</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1201</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1202</v>
      </c>
      <c r="B57" s="974"/>
      <c r="C57" s="975"/>
      <c r="D57" s="975"/>
      <c r="E57" s="975"/>
      <c r="F57" s="976"/>
      <c r="G57" s="976"/>
      <c r="H57" s="975"/>
      <c r="I57" s="975"/>
      <c r="J57" s="975"/>
      <c r="K57" s="1219"/>
      <c r="L57" s="1220"/>
      <c r="M57" s="1034"/>
      <c r="N57" s="1034"/>
      <c r="O57" s="1034"/>
      <c r="P57" s="2653"/>
      <c r="Q57" s="1393"/>
    </row>
    <row r="58" s="813" customFormat="1" ht="15" spans="1:16">
      <c r="A58" s="1280" t="s">
        <v>1161</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1203</v>
      </c>
      <c r="B60" s="1078"/>
      <c r="C60" s="1079"/>
      <c r="D60" s="1080"/>
      <c r="E60" s="1080"/>
      <c r="F60" s="1080"/>
      <c r="G60" s="1080"/>
      <c r="H60" s="1080"/>
      <c r="I60" s="1080"/>
      <c r="J60" s="1080"/>
      <c r="K60" s="1080"/>
      <c r="L60" s="1080"/>
      <c r="M60" s="1128"/>
      <c r="N60" s="1080"/>
      <c r="O60" s="1128"/>
      <c r="P60" s="2655"/>
      <c r="Q60" s="1393"/>
    </row>
    <row r="61" s="808" customFormat="1" ht="15" spans="1:17">
      <c r="A61" s="1081" t="s">
        <v>1164</v>
      </c>
      <c r="B61" s="1082"/>
      <c r="C61" s="1083" t="s">
        <v>1165</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1204</v>
      </c>
      <c r="B63" s="1088" t="s">
        <v>1168</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1171</v>
      </c>
      <c r="C65" s="1093" t="s">
        <v>1205</v>
      </c>
      <c r="D65" s="1093" t="s">
        <v>1206</v>
      </c>
      <c r="E65" s="1093" t="s">
        <v>1207</v>
      </c>
      <c r="F65" s="1093" t="s">
        <v>1208</v>
      </c>
      <c r="G65" s="1093" t="s">
        <v>1209</v>
      </c>
      <c r="H65" s="1093" t="s">
        <v>1210</v>
      </c>
      <c r="I65" s="1093" t="s">
        <v>1211</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1172</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1173</v>
      </c>
      <c r="B76" s="1088" t="s">
        <v>1174</v>
      </c>
      <c r="C76" s="1109" t="s">
        <v>1212</v>
      </c>
      <c r="D76" s="1109" t="s">
        <v>1213</v>
      </c>
      <c r="E76" s="1109" t="s">
        <v>1214</v>
      </c>
      <c r="F76" s="1109" t="s">
        <v>1215</v>
      </c>
      <c r="G76" s="1109" t="s">
        <v>1216</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1176</v>
      </c>
      <c r="C78" s="1111" t="s">
        <v>1212</v>
      </c>
      <c r="D78" s="1111" t="s">
        <v>1213</v>
      </c>
      <c r="E78" s="1111" t="s">
        <v>1214</v>
      </c>
      <c r="F78" s="1111" t="s">
        <v>1215</v>
      </c>
      <c r="G78" s="1111" t="s">
        <v>1216</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1177</v>
      </c>
      <c r="C80" s="1111" t="s">
        <v>1212</v>
      </c>
      <c r="D80" s="1111" t="s">
        <v>1213</v>
      </c>
      <c r="E80" s="1111" t="s">
        <v>1214</v>
      </c>
      <c r="F80" s="1111" t="s">
        <v>1215</v>
      </c>
      <c r="G80" s="1111" t="s">
        <v>1216</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1178</v>
      </c>
      <c r="C82" s="1093" t="s">
        <v>1217</v>
      </c>
      <c r="D82" s="1093" t="s">
        <v>1218</v>
      </c>
      <c r="E82" s="1093" t="s">
        <v>1219</v>
      </c>
      <c r="F82" s="1093" t="s">
        <v>1220</v>
      </c>
      <c r="G82" s="1093" t="s">
        <v>1221</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1179</v>
      </c>
      <c r="C84" s="1111" t="s">
        <v>1212</v>
      </c>
      <c r="D84" s="1111" t="s">
        <v>1213</v>
      </c>
      <c r="E84" s="1111" t="s">
        <v>1214</v>
      </c>
      <c r="F84" s="1111" t="s">
        <v>1215</v>
      </c>
      <c r="G84" s="1111" t="s">
        <v>1216</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1180</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1181</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1182</v>
      </c>
      <c r="B100" s="1088" t="s">
        <v>1183</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1185</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1186</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1187</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1188</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589</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1189</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1190</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1191</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1192</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1193</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1194</v>
      </c>
      <c r="C124" s="1111" t="s">
        <v>1212</v>
      </c>
      <c r="D124" s="1111" t="s">
        <v>1213</v>
      </c>
      <c r="E124" s="1111" t="s">
        <v>1214</v>
      </c>
      <c r="F124" s="1111" t="s">
        <v>1215</v>
      </c>
      <c r="G124" s="1111" t="s">
        <v>1216</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1222</v>
      </c>
    </row>
    <row r="137" ht="15" spans="2:11">
      <c r="B137" s="2668" t="s">
        <v>1223</v>
      </c>
      <c r="C137" s="2669"/>
      <c r="D137" s="2669"/>
      <c r="E137" s="2669"/>
      <c r="F137" s="2669"/>
      <c r="G137" s="2670"/>
      <c r="H137" s="2671"/>
      <c r="I137" s="2692" t="s">
        <v>1224</v>
      </c>
      <c r="J137" s="2669"/>
      <c r="K137" s="2693"/>
    </row>
    <row r="138" ht="15" spans="2:11">
      <c r="B138" s="2672"/>
      <c r="C138" s="1962" t="s">
        <v>1225</v>
      </c>
      <c r="D138" s="1962" t="s">
        <v>1226</v>
      </c>
      <c r="E138" s="2673" t="s">
        <v>1227</v>
      </c>
      <c r="F138" s="2674" t="s">
        <v>1228</v>
      </c>
      <c r="G138" s="1962" t="s">
        <v>1226</v>
      </c>
      <c r="H138" s="1963" t="s">
        <v>1227</v>
      </c>
      <c r="I138" s="2694"/>
      <c r="J138" s="1962" t="s">
        <v>1229</v>
      </c>
      <c r="K138" s="1963" t="s">
        <v>1230</v>
      </c>
    </row>
    <row r="139" ht="15" spans="2:11">
      <c r="B139" s="2675">
        <v>6</v>
      </c>
      <c r="C139" s="2676">
        <v>96</v>
      </c>
      <c r="D139" s="2677" t="s">
        <v>1231</v>
      </c>
      <c r="E139" s="2678">
        <v>100</v>
      </c>
      <c r="F139" s="2679">
        <v>102.5</v>
      </c>
      <c r="G139" s="2677" t="s">
        <v>1231</v>
      </c>
      <c r="H139" s="2680">
        <v>105</v>
      </c>
      <c r="I139" s="2695" t="s">
        <v>1232</v>
      </c>
      <c r="J139" s="2676">
        <v>20</v>
      </c>
      <c r="K139" s="2696">
        <f>C145/(J139-2)</f>
        <v>0.00405555555555556</v>
      </c>
    </row>
    <row r="140" ht="15" spans="2:11">
      <c r="B140" s="2681">
        <v>5</v>
      </c>
      <c r="C140" s="2682">
        <v>100</v>
      </c>
      <c r="D140" s="2682"/>
      <c r="E140" s="2683"/>
      <c r="F140" s="2684">
        <v>102</v>
      </c>
      <c r="G140" s="2682"/>
      <c r="H140" s="2685"/>
      <c r="I140" s="2697" t="s">
        <v>1233</v>
      </c>
      <c r="J140" s="233">
        <f>ROUNDUP((J139-1)/2,0)</f>
        <v>10</v>
      </c>
      <c r="K140" s="2698">
        <v>100</v>
      </c>
    </row>
    <row r="141" ht="15" spans="2:11">
      <c r="B141" s="2681">
        <v>4</v>
      </c>
      <c r="C141" s="2682">
        <v>102</v>
      </c>
      <c r="D141" s="2682"/>
      <c r="E141" s="2683"/>
      <c r="F141" s="2684">
        <v>101.5</v>
      </c>
      <c r="G141" s="2682"/>
      <c r="H141" s="2685"/>
      <c r="I141" s="2697" t="s">
        <v>1234</v>
      </c>
      <c r="J141" s="233">
        <v>1</v>
      </c>
      <c r="K141" s="2699">
        <f>ROUND(100+(J141-J140)*K139*100,1)</f>
        <v>96.4</v>
      </c>
    </row>
    <row r="142" ht="15" spans="2:11">
      <c r="B142" s="2681">
        <v>3</v>
      </c>
      <c r="C142" s="2682">
        <v>103</v>
      </c>
      <c r="D142" s="2682"/>
      <c r="E142" s="2683"/>
      <c r="F142" s="2684">
        <v>101</v>
      </c>
      <c r="G142" s="2682"/>
      <c r="H142" s="2685"/>
      <c r="I142" s="2697" t="s">
        <v>1235</v>
      </c>
      <c r="J142" s="233">
        <f>J139</f>
        <v>20</v>
      </c>
      <c r="K142" s="2700">
        <v>95</v>
      </c>
    </row>
    <row r="143" ht="15" spans="2:11">
      <c r="B143" s="2681">
        <v>2</v>
      </c>
      <c r="C143" s="2682">
        <v>100</v>
      </c>
      <c r="D143" s="2682"/>
      <c r="E143" s="2683"/>
      <c r="F143" s="2684">
        <v>100.5</v>
      </c>
      <c r="G143" s="2682"/>
      <c r="H143" s="2685"/>
      <c r="I143" s="2697" t="s">
        <v>1236</v>
      </c>
      <c r="J143" s="2682">
        <v>15</v>
      </c>
      <c r="K143" s="2699">
        <f>ROUND(100+(J143-J140)*K139*100,1)</f>
        <v>102</v>
      </c>
    </row>
    <row r="144" ht="15" spans="2:11">
      <c r="B144" s="2681">
        <v>1</v>
      </c>
      <c r="C144" s="2682">
        <v>98</v>
      </c>
      <c r="D144" s="2686" t="s">
        <v>1237</v>
      </c>
      <c r="E144" s="2683">
        <v>102</v>
      </c>
      <c r="F144" s="2687">
        <v>100</v>
      </c>
      <c r="G144" s="2686" t="s">
        <v>1237</v>
      </c>
      <c r="H144" s="2685">
        <v>105</v>
      </c>
      <c r="I144" s="2697" t="s">
        <v>1236</v>
      </c>
      <c r="J144" s="2682">
        <v>18</v>
      </c>
      <c r="K144" s="2699">
        <f>ROUND(100+(J144-J140)*K139*100,1)</f>
        <v>103.2</v>
      </c>
    </row>
    <row r="145" ht="15.75" spans="2:11">
      <c r="B145" s="2688" t="s">
        <v>1238</v>
      </c>
      <c r="C145" s="2689">
        <f>ROUND(MAX(C139:C144)/MIN(C139:C144)-1,3)</f>
        <v>0.073</v>
      </c>
      <c r="D145" s="2690"/>
      <c r="E145" s="2690"/>
      <c r="F145" s="2691" t="s">
        <v>1239</v>
      </c>
      <c r="G145" s="1439"/>
      <c r="H145" s="1444"/>
      <c r="I145" s="2701" t="s">
        <v>1236</v>
      </c>
      <c r="J145" s="2702">
        <v>8</v>
      </c>
      <c r="K145" s="2703">
        <f>ROUND(100+(J145-J140)*K139*100,1)</f>
        <v>99.2</v>
      </c>
    </row>
    <row r="147" spans="2:2">
      <c r="B147" s="2667" t="s">
        <v>1240</v>
      </c>
    </row>
    <row r="148" spans="2:2">
      <c r="B148" s="2667" t="s">
        <v>1241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0" workbookViewId="0">
      <selection activeCell="C33" sqref="C33"/>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1139</v>
      </c>
      <c r="B1" s="2599" t="s">
        <v>1242</v>
      </c>
      <c r="C1" s="1288" t="s">
        <v>1141</v>
      </c>
      <c r="D1" s="1227" t="s">
        <v>459</v>
      </c>
      <c r="E1" s="2600"/>
      <c r="F1" s="1229" t="s">
        <v>1243</v>
      </c>
      <c r="G1" s="1230" t="s">
        <v>1143</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1144</v>
      </c>
      <c r="B2" s="1232">
        <f ca="1">IF(C2="——",ROUND(C49*D3/10000,0),ROUND(C49*D3/10000,0)-D2)</f>
        <v>119584</v>
      </c>
      <c r="C2" s="1233" t="s">
        <v>124</v>
      </c>
      <c r="D2" s="1412" t="e">
        <f ca="1">SUMIF(INDIRECT("'"&amp;F2&amp;"'"&amp;"!A:A"),"承租人权益价值",INDIRECT("'"&amp;F2&amp;"'"&amp;"!c:c"))</f>
        <v>#REF!</v>
      </c>
      <c r="E2" s="1234" t="s">
        <v>1145</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1146</v>
      </c>
      <c r="B3" s="825">
        <f ca="1">IF(C2="——",C49,ROUND(B2*10000/D3,0))</f>
        <v>48166</v>
      </c>
      <c r="C3" s="1236" t="s">
        <v>1147</v>
      </c>
      <c r="D3" s="1237">
        <f>IF(D1="",'数据-汇总表'!E3,SUMIF('数据-汇总表'!$C19:$C33,D1,'数据-汇总表'!$E19:$E33))</f>
        <v>24827.5</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1148</v>
      </c>
      <c r="B4" s="828"/>
      <c r="C4" s="829" t="s">
        <v>1149</v>
      </c>
      <c r="D4" s="830"/>
      <c r="E4" s="831" t="s">
        <v>1150</v>
      </c>
      <c r="F4" s="832"/>
      <c r="G4" s="829" t="s">
        <v>1151</v>
      </c>
      <c r="H4" s="830"/>
      <c r="I4" s="829" t="s">
        <v>1152</v>
      </c>
      <c r="J4" s="830"/>
      <c r="K4" s="984" t="s">
        <v>1153</v>
      </c>
      <c r="L4" s="985"/>
      <c r="M4" s="986"/>
      <c r="N4" s="986"/>
      <c r="O4" s="986"/>
      <c r="P4" s="987" t="s">
        <v>1154</v>
      </c>
      <c r="Q4" s="1036"/>
      <c r="R4" s="1037" t="s">
        <v>1150</v>
      </c>
      <c r="S4" s="1038"/>
      <c r="T4" s="1037" t="s">
        <v>1151</v>
      </c>
      <c r="U4" s="1038"/>
      <c r="V4" s="1026" t="s">
        <v>1152</v>
      </c>
      <c r="W4" s="1026"/>
      <c r="X4" s="1039"/>
      <c r="Y4" s="1037" t="s">
        <v>1154</v>
      </c>
      <c r="Z4" s="1038"/>
      <c r="AA4" s="1064" t="s">
        <v>1150</v>
      </c>
      <c r="AB4" s="1026" t="s">
        <v>1151</v>
      </c>
      <c r="AC4" s="1064" t="s">
        <v>1152</v>
      </c>
    </row>
    <row r="5" ht="15" spans="1:29">
      <c r="A5" s="833"/>
      <c r="B5" s="834"/>
      <c r="C5" s="835" t="str">
        <f>'数据-基础表'!B43</f>
        <v>25号楼</v>
      </c>
      <c r="D5" s="836"/>
      <c r="E5" s="1238" t="s">
        <v>1244</v>
      </c>
      <c r="F5" s="838"/>
      <c r="G5" s="1239" t="s">
        <v>1245</v>
      </c>
      <c r="H5" s="836"/>
      <c r="I5" s="1239" t="s">
        <v>1246</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1159</v>
      </c>
      <c r="F6" s="1190"/>
      <c r="G6" s="1187" t="s">
        <v>1159</v>
      </c>
      <c r="H6" s="1188"/>
      <c r="I6" s="1187" t="s">
        <v>1159</v>
      </c>
      <c r="J6" s="1188"/>
      <c r="K6" s="984" t="s">
        <v>1160</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1161</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1162</v>
      </c>
      <c r="Q7" s="1046"/>
      <c r="R7" s="1047" t="s">
        <v>1163</v>
      </c>
      <c r="S7" s="1048">
        <f t="shared" ref="S7:S15" si="0">F7</f>
        <v>100</v>
      </c>
      <c r="T7" s="1047" t="s">
        <v>1163</v>
      </c>
      <c r="U7" s="1048">
        <f t="shared" ref="U7:U15" si="1">H7</f>
        <v>100</v>
      </c>
      <c r="V7" s="1047" t="s">
        <v>1163</v>
      </c>
      <c r="W7" s="1048">
        <f t="shared" ref="W7:W15" si="2">J7</f>
        <v>100</v>
      </c>
      <c r="X7" s="1049"/>
      <c r="Y7" s="993" t="s">
        <v>1162</v>
      </c>
      <c r="Z7" s="1050"/>
      <c r="AA7" s="1066">
        <f>D7/F7</f>
        <v>1</v>
      </c>
      <c r="AB7" s="1066">
        <f>D7/H7</f>
        <v>1</v>
      </c>
      <c r="AC7" s="1066">
        <f>D7/J7</f>
        <v>1</v>
      </c>
    </row>
    <row r="8" s="808" customFormat="1" ht="15.75" spans="1:29">
      <c r="A8" s="845" t="s">
        <v>1164</v>
      </c>
      <c r="B8" s="846"/>
      <c r="C8" s="852" t="s">
        <v>1165</v>
      </c>
      <c r="D8" s="848">
        <v>100</v>
      </c>
      <c r="E8" s="852" t="s">
        <v>1247</v>
      </c>
      <c r="F8" s="850">
        <f>SUMIF(61:61,E8,62:62)-SUMIF(61:61,C8,62:62)+100</f>
        <v>100</v>
      </c>
      <c r="G8" s="852" t="s">
        <v>1247</v>
      </c>
      <c r="H8" s="848">
        <f>SUMIF(61:61,G8,62:62)-SUMIF(61:61,C8,62:62)+100</f>
        <v>100</v>
      </c>
      <c r="I8" s="852" t="s">
        <v>1247</v>
      </c>
      <c r="J8" s="848">
        <f>SUMIF(61:61,I8,62:62)-SUMIF(61:61,C8,62:62)+100</f>
        <v>100</v>
      </c>
      <c r="K8" s="990"/>
      <c r="L8" s="991"/>
      <c r="M8" s="992"/>
      <c r="N8" s="992"/>
      <c r="O8" s="992"/>
      <c r="P8" s="993" t="s">
        <v>1166</v>
      </c>
      <c r="Q8" s="1050"/>
      <c r="R8" s="1047" t="s">
        <v>1163</v>
      </c>
      <c r="S8" s="1048">
        <f t="shared" si="0"/>
        <v>100</v>
      </c>
      <c r="T8" s="1047" t="s">
        <v>1163</v>
      </c>
      <c r="U8" s="1048">
        <f t="shared" si="1"/>
        <v>100</v>
      </c>
      <c r="V8" s="1047" t="s">
        <v>1163</v>
      </c>
      <c r="W8" s="1048">
        <f t="shared" si="2"/>
        <v>100</v>
      </c>
      <c r="X8" s="1049"/>
      <c r="Y8" s="993" t="s">
        <v>1166</v>
      </c>
      <c r="Z8" s="1050"/>
      <c r="AA8" s="1066">
        <f t="shared" ref="AA8:AA46" si="3">D8/F8</f>
        <v>1</v>
      </c>
      <c r="AB8" s="1066">
        <f t="shared" ref="AB8:AB46" si="4">D8/H8</f>
        <v>1</v>
      </c>
      <c r="AC8" s="1066">
        <f t="shared" ref="AC8:AC46" si="5">D8/J8</f>
        <v>1</v>
      </c>
    </row>
    <row r="9" s="808" customFormat="1" spans="1:29">
      <c r="A9" s="853" t="s">
        <v>1167</v>
      </c>
      <c r="B9" s="854" t="s">
        <v>1168</v>
      </c>
      <c r="C9" s="1240" t="s">
        <v>459</v>
      </c>
      <c r="D9" s="856">
        <v>100</v>
      </c>
      <c r="E9" s="1316" t="s">
        <v>459</v>
      </c>
      <c r="F9" s="1242">
        <f>SUMIF(63:63,E9,64:64)-SUMIF(63:63,C9,64:64)+100</f>
        <v>100</v>
      </c>
      <c r="G9" s="1316" t="s">
        <v>459</v>
      </c>
      <c r="H9" s="856">
        <f>SUMIF(63:63,G9,64:64)-SUMIF(63:63,C9,64:64)+100</f>
        <v>100</v>
      </c>
      <c r="I9" s="1316" t="s">
        <v>459</v>
      </c>
      <c r="J9" s="856">
        <f>SUMIF(63:63,I9,64:64)-SUMIF(63:63,C9,64:64)+100</f>
        <v>100</v>
      </c>
      <c r="K9" s="990"/>
      <c r="L9" s="991"/>
      <c r="M9" s="992"/>
      <c r="N9" s="992"/>
      <c r="O9" s="992"/>
      <c r="P9" s="956" t="s">
        <v>1169</v>
      </c>
      <c r="Q9" s="1051" t="str">
        <f t="shared" ref="Q9:Q15" si="6">B9</f>
        <v>用途</v>
      </c>
      <c r="R9" s="1047" t="s">
        <v>1163</v>
      </c>
      <c r="S9" s="1048">
        <f t="shared" si="0"/>
        <v>100</v>
      </c>
      <c r="T9" s="1047" t="s">
        <v>1163</v>
      </c>
      <c r="U9" s="1048">
        <f t="shared" si="1"/>
        <v>100</v>
      </c>
      <c r="V9" s="1047" t="s">
        <v>1163</v>
      </c>
      <c r="W9" s="1048">
        <f t="shared" si="2"/>
        <v>100</v>
      </c>
      <c r="X9" s="1049"/>
      <c r="Y9" s="1051" t="s">
        <v>1170</v>
      </c>
      <c r="Z9" s="1067" t="str">
        <f t="shared" ref="Z9:Z15" si="7">Q9</f>
        <v>用途</v>
      </c>
      <c r="AA9" s="1066">
        <f t="shared" si="3"/>
        <v>1</v>
      </c>
      <c r="AB9" s="1066">
        <f t="shared" si="4"/>
        <v>1</v>
      </c>
      <c r="AC9" s="1066">
        <f t="shared" si="5"/>
        <v>1</v>
      </c>
    </row>
    <row r="10" s="809" customFormat="1" ht="27" spans="1:29">
      <c r="A10" s="857"/>
      <c r="B10" s="858" t="s">
        <v>1171</v>
      </c>
      <c r="C10" s="1243" t="s">
        <v>1248</v>
      </c>
      <c r="D10" s="860">
        <v>100</v>
      </c>
      <c r="E10" s="1319" t="s">
        <v>1248</v>
      </c>
      <c r="F10" s="1244">
        <f>SUMIF(65:65,E10,66:66)-SUMIF(65:65,C10,66:66)+100</f>
        <v>100</v>
      </c>
      <c r="G10" s="1243" t="s">
        <v>1248</v>
      </c>
      <c r="H10" s="860">
        <f>SUMIF(65:65,G10,66:66)-SUMIF(65:65,C10,66:66)+100</f>
        <v>100</v>
      </c>
      <c r="I10" s="1243" t="s">
        <v>1248</v>
      </c>
      <c r="J10" s="860">
        <f>SUMIF(65:65,I10,66:66)-SUMIF(65:65,C10,66:66)+100</f>
        <v>100</v>
      </c>
      <c r="K10" s="1010"/>
      <c r="L10" s="996"/>
      <c r="M10" s="997"/>
      <c r="N10" s="997"/>
      <c r="O10" s="997"/>
      <c r="P10" s="956"/>
      <c r="Q10" s="1051" t="str">
        <f t="shared" si="6"/>
        <v>土地使用年限（年）</v>
      </c>
      <c r="R10" s="1047" t="s">
        <v>1163</v>
      </c>
      <c r="S10" s="1048">
        <f t="shared" si="0"/>
        <v>100</v>
      </c>
      <c r="T10" s="1047" t="s">
        <v>1163</v>
      </c>
      <c r="U10" s="1048">
        <f t="shared" si="1"/>
        <v>100</v>
      </c>
      <c r="V10" s="1047" t="s">
        <v>1163</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1172</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1163</v>
      </c>
      <c r="S11" s="1048">
        <f t="shared" si="0"/>
        <v>100</v>
      </c>
      <c r="T11" s="1047" t="s">
        <v>1163</v>
      </c>
      <c r="U11" s="1048">
        <f t="shared" si="1"/>
        <v>100</v>
      </c>
      <c r="V11" s="1047" t="s">
        <v>1163</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1163</v>
      </c>
      <c r="S12" s="1048">
        <f t="shared" si="0"/>
        <v>100</v>
      </c>
      <c r="T12" s="1047" t="s">
        <v>1163</v>
      </c>
      <c r="U12" s="1048">
        <f t="shared" si="1"/>
        <v>100</v>
      </c>
      <c r="V12" s="1047" t="s">
        <v>1163</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1163</v>
      </c>
      <c r="S13" s="1048">
        <f t="shared" si="0"/>
        <v>100</v>
      </c>
      <c r="T13" s="1047" t="s">
        <v>1163</v>
      </c>
      <c r="U13" s="1048">
        <f t="shared" si="1"/>
        <v>100</v>
      </c>
      <c r="V13" s="1047" t="s">
        <v>1163</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1163</v>
      </c>
      <c r="S14" s="1048">
        <f t="shared" si="0"/>
        <v>100</v>
      </c>
      <c r="T14" s="1047" t="s">
        <v>1163</v>
      </c>
      <c r="U14" s="1048">
        <f t="shared" si="1"/>
        <v>100</v>
      </c>
      <c r="V14" s="1047" t="s">
        <v>1163</v>
      </c>
      <c r="W14" s="1048">
        <f t="shared" si="2"/>
        <v>100</v>
      </c>
      <c r="X14" s="1049"/>
      <c r="Y14" s="1051"/>
      <c r="Z14" s="1067">
        <f t="shared" si="7"/>
        <v>111</v>
      </c>
      <c r="AA14" s="1066">
        <f t="shared" si="3"/>
        <v>1</v>
      </c>
      <c r="AB14" s="1066">
        <f t="shared" si="4"/>
        <v>1</v>
      </c>
      <c r="AC14" s="1066">
        <f t="shared" si="5"/>
        <v>1</v>
      </c>
    </row>
    <row r="15" ht="68.25" spans="1:29">
      <c r="A15" s="875" t="s">
        <v>1173</v>
      </c>
      <c r="B15" s="1193" t="s">
        <v>1249</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102</v>
      </c>
      <c r="I15" s="879"/>
      <c r="J15" s="878">
        <f>SUMIF(76:76,I16,77:77)-SUMIF(76:76,C16,77:77)+100</f>
        <v>100</v>
      </c>
      <c r="K15" s="1289">
        <v>2</v>
      </c>
      <c r="L15" s="1002"/>
      <c r="M15" s="986"/>
      <c r="N15" s="986"/>
      <c r="O15" s="986"/>
      <c r="P15" s="1427" t="s">
        <v>1175</v>
      </c>
      <c r="Q15" s="554" t="str">
        <f t="shared" si="6"/>
        <v>商业繁华度</v>
      </c>
      <c r="R15" s="1052" t="s">
        <v>1163</v>
      </c>
      <c r="S15" s="1053">
        <f t="shared" si="0"/>
        <v>100</v>
      </c>
      <c r="T15" s="1052" t="s">
        <v>1163</v>
      </c>
      <c r="U15" s="1053">
        <f t="shared" si="1"/>
        <v>102</v>
      </c>
      <c r="V15" s="1052" t="s">
        <v>1163</v>
      </c>
      <c r="W15" s="1053">
        <f t="shared" si="2"/>
        <v>100</v>
      </c>
      <c r="X15" s="1039"/>
      <c r="Y15" s="1004" t="s">
        <v>1175</v>
      </c>
      <c r="Z15" s="1026" t="str">
        <f t="shared" si="7"/>
        <v>商业繁华度</v>
      </c>
      <c r="AA15" s="1068">
        <f t="shared" si="3"/>
        <v>1</v>
      </c>
      <c r="AB15" s="1068">
        <f t="shared" si="4"/>
        <v>0.980392156862745</v>
      </c>
      <c r="AC15" s="1068">
        <f t="shared" si="5"/>
        <v>1</v>
      </c>
    </row>
    <row r="16" ht="15" spans="1:29">
      <c r="A16" s="861"/>
      <c r="B16" s="1195"/>
      <c r="C16" s="881" t="s">
        <v>1250</v>
      </c>
      <c r="D16" s="882"/>
      <c r="E16" s="881" t="s">
        <v>1250</v>
      </c>
      <c r="F16" s="1248"/>
      <c r="G16" s="881" t="s">
        <v>1251</v>
      </c>
      <c r="H16" s="884"/>
      <c r="I16" s="881" t="s">
        <v>1250</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1176</v>
      </c>
      <c r="C17" s="886" t="str">
        <f>估价对象房地状况!C6</f>
        <v>估价对象周边道路状况、公共交通通达情况、停车便捷程度，综合评价交通便捷度较好</v>
      </c>
      <c r="D17" s="884">
        <v>100</v>
      </c>
      <c r="E17" s="887"/>
      <c r="F17" s="1250">
        <f>SUMIF(78:78,E18,79:79)-SUMIF(78:78,C18,79:79)+100</f>
        <v>102</v>
      </c>
      <c r="G17" s="1006"/>
      <c r="H17" s="888">
        <f>SUMIF(78:78,G18,79:79)-SUMIF(78:78,C18,79:79)+100</f>
        <v>102</v>
      </c>
      <c r="I17" s="887"/>
      <c r="J17" s="888">
        <f>SUMIF(78:78,I18,79:79)-SUMIF(78:78,C18,79:79)+100</f>
        <v>102</v>
      </c>
      <c r="K17" s="1289">
        <v>2</v>
      </c>
      <c r="L17" s="1002"/>
      <c r="M17" s="986"/>
      <c r="N17" s="986"/>
      <c r="O17" s="986"/>
      <c r="P17" s="1428"/>
      <c r="Q17" s="554" t="str">
        <f>B17</f>
        <v>交通便捷度</v>
      </c>
      <c r="R17" s="1052" t="s">
        <v>1163</v>
      </c>
      <c r="S17" s="1053">
        <f>F17</f>
        <v>102</v>
      </c>
      <c r="T17" s="1052" t="s">
        <v>1163</v>
      </c>
      <c r="U17" s="1053">
        <f>H17</f>
        <v>102</v>
      </c>
      <c r="V17" s="1052" t="s">
        <v>1163</v>
      </c>
      <c r="W17" s="1053">
        <f>J17</f>
        <v>102</v>
      </c>
      <c r="X17" s="1039"/>
      <c r="Y17" s="1005"/>
      <c r="Z17" s="1026" t="str">
        <f>Q17</f>
        <v>交通便捷度</v>
      </c>
      <c r="AA17" s="1068">
        <f t="shared" si="3"/>
        <v>0.980392156862745</v>
      </c>
      <c r="AB17" s="1068">
        <f t="shared" si="4"/>
        <v>0.980392156862745</v>
      </c>
      <c r="AC17" s="1068">
        <f t="shared" si="5"/>
        <v>0.980392156862745</v>
      </c>
    </row>
    <row r="18" ht="15" spans="1:29">
      <c r="A18" s="861"/>
      <c r="B18" s="909"/>
      <c r="C18" s="1197" t="s">
        <v>1250</v>
      </c>
      <c r="D18" s="884"/>
      <c r="E18" s="1198" t="s">
        <v>1251</v>
      </c>
      <c r="F18" s="1250"/>
      <c r="G18" s="1206" t="s">
        <v>1251</v>
      </c>
      <c r="H18" s="882"/>
      <c r="I18" s="1198" t="s">
        <v>1251</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1177</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1163</v>
      </c>
      <c r="S19" s="1053">
        <f>F19</f>
        <v>102</v>
      </c>
      <c r="T19" s="1052" t="s">
        <v>1163</v>
      </c>
      <c r="U19" s="1053">
        <f>H19</f>
        <v>102</v>
      </c>
      <c r="V19" s="1052" t="s">
        <v>1163</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1250</v>
      </c>
      <c r="D20" s="882"/>
      <c r="E20" s="890" t="s">
        <v>1251</v>
      </c>
      <c r="F20" s="1248"/>
      <c r="G20" s="1007" t="s">
        <v>1251</v>
      </c>
      <c r="H20" s="882"/>
      <c r="I20" s="890" t="s">
        <v>1251</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1178</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1163</v>
      </c>
      <c r="S21" s="1053">
        <f>F21</f>
        <v>100</v>
      </c>
      <c r="T21" s="1052" t="s">
        <v>1163</v>
      </c>
      <c r="U21" s="1053">
        <f>H21</f>
        <v>100</v>
      </c>
      <c r="V21" s="1052" t="s">
        <v>1163</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1179</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1163</v>
      </c>
      <c r="S23" s="1053">
        <f>F23</f>
        <v>100</v>
      </c>
      <c r="T23" s="1052" t="s">
        <v>1163</v>
      </c>
      <c r="U23" s="1053">
        <f>H23</f>
        <v>100</v>
      </c>
      <c r="V23" s="1052" t="s">
        <v>1163</v>
      </c>
      <c r="W23" s="1053">
        <f>J23</f>
        <v>100</v>
      </c>
      <c r="X23" s="1039"/>
      <c r="Y23" s="1005"/>
      <c r="Z23" s="1026" t="str">
        <f>Q23</f>
        <v>自然及人文环境</v>
      </c>
      <c r="AA23" s="1068">
        <f t="shared" si="3"/>
        <v>1</v>
      </c>
      <c r="AB23" s="1068">
        <f t="shared" si="4"/>
        <v>1</v>
      </c>
      <c r="AC23" s="1068">
        <f t="shared" si="5"/>
        <v>1</v>
      </c>
    </row>
    <row r="24" ht="15" spans="1:29">
      <c r="A24" s="861"/>
      <c r="B24" s="909"/>
      <c r="C24" s="881" t="s">
        <v>1251</v>
      </c>
      <c r="D24" s="882"/>
      <c r="E24" s="890" t="s">
        <v>1251</v>
      </c>
      <c r="F24" s="1248"/>
      <c r="G24" s="1007" t="s">
        <v>1251</v>
      </c>
      <c r="H24" s="882"/>
      <c r="I24" s="890" t="s">
        <v>1251</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1252</v>
      </c>
      <c r="C25" s="895" t="s">
        <v>1253</v>
      </c>
      <c r="D25" s="870">
        <v>100</v>
      </c>
      <c r="E25" s="895" t="s">
        <v>1253</v>
      </c>
      <c r="F25" s="1251">
        <f>SUMIF(86:86,E25,87:87)-SUMIF(86:86,C25,87:87)+100</f>
        <v>100</v>
      </c>
      <c r="G25" s="895" t="s">
        <v>1253</v>
      </c>
      <c r="H25" s="870">
        <f>SUMIF(86:86,G25,87:87)-SUMIF(86:86,C25,87:87)+100</f>
        <v>100</v>
      </c>
      <c r="I25" s="895" t="s">
        <v>1253</v>
      </c>
      <c r="J25" s="870">
        <f>SUMIF(86:86,I25,87:87)-SUMIF(86:86,C25,87:87)+100</f>
        <v>100</v>
      </c>
      <c r="K25" s="1010">
        <v>1</v>
      </c>
      <c r="L25" s="1002"/>
      <c r="M25" s="986"/>
      <c r="N25" s="986"/>
      <c r="O25" s="986"/>
      <c r="P25" s="1428"/>
      <c r="Q25" s="554" t="str">
        <f t="shared" ref="Q25:Q46" si="11">B25</f>
        <v>临街状况</v>
      </c>
      <c r="R25" s="1052" t="s">
        <v>1163</v>
      </c>
      <c r="S25" s="1053">
        <f>F25</f>
        <v>100</v>
      </c>
      <c r="T25" s="1052" t="s">
        <v>1163</v>
      </c>
      <c r="U25" s="1053">
        <f>H25</f>
        <v>100</v>
      </c>
      <c r="V25" s="1052" t="s">
        <v>1163</v>
      </c>
      <c r="W25" s="1053">
        <f>J25</f>
        <v>100</v>
      </c>
      <c r="X25" s="1039"/>
      <c r="Y25" s="1005"/>
      <c r="Z25" s="1026" t="str">
        <f>Q25</f>
        <v>临街状况</v>
      </c>
      <c r="AA25" s="1068">
        <f t="shared" si="3"/>
        <v>1</v>
      </c>
      <c r="AB25" s="1068">
        <f t="shared" si="4"/>
        <v>1</v>
      </c>
      <c r="AC25" s="1068">
        <f t="shared" si="5"/>
        <v>1</v>
      </c>
    </row>
    <row r="26" ht="15" spans="1:29">
      <c r="A26" s="861"/>
      <c r="B26" s="1201" t="s">
        <v>1254</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1163</v>
      </c>
      <c r="S26" s="1053">
        <f>F26</f>
        <v>100</v>
      </c>
      <c r="T26" s="1052" t="s">
        <v>1163</v>
      </c>
      <c r="U26" s="1053">
        <f>H26</f>
        <v>100</v>
      </c>
      <c r="V26" s="1052" t="s">
        <v>1163</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1255</v>
      </c>
      <c r="C27" s="1420" t="s">
        <v>1250</v>
      </c>
      <c r="D27" s="1370">
        <v>100</v>
      </c>
      <c r="E27" s="1420" t="s">
        <v>1251</v>
      </c>
      <c r="F27" s="1371">
        <f>SUMIF(90:90,E27,91:91)-SUMIF(90:90,C27,91:91)+100</f>
        <v>102</v>
      </c>
      <c r="G27" s="1420" t="s">
        <v>1251</v>
      </c>
      <c r="H27" s="1370">
        <f>SUMIF(90:90,G27,91:91)-SUMIF(90:90,C27,91:91)+100</f>
        <v>102</v>
      </c>
      <c r="I27" s="1420" t="s">
        <v>1251</v>
      </c>
      <c r="J27" s="1370">
        <f>SUMIF(90:90,I27,91:91)-SUMIF(90:90,C27,91:91)+100</f>
        <v>102</v>
      </c>
      <c r="K27" s="1010">
        <v>2</v>
      </c>
      <c r="L27" s="991"/>
      <c r="M27" s="992"/>
      <c r="N27" s="992"/>
      <c r="O27" s="992"/>
      <c r="P27" s="1428"/>
      <c r="Q27" s="1051" t="str">
        <f t="shared" si="11"/>
        <v>人流量</v>
      </c>
      <c r="R27" s="1047" t="s">
        <v>1163</v>
      </c>
      <c r="S27" s="1048">
        <f>F27</f>
        <v>102</v>
      </c>
      <c r="T27" s="1047" t="s">
        <v>1163</v>
      </c>
      <c r="U27" s="1048">
        <f>H27</f>
        <v>102</v>
      </c>
      <c r="V27" s="1047" t="s">
        <v>1163</v>
      </c>
      <c r="W27" s="1048">
        <f>J27</f>
        <v>102</v>
      </c>
      <c r="X27" s="1049"/>
      <c r="Y27" s="1005"/>
      <c r="Z27" s="1067" t="str">
        <f>Q27</f>
        <v>人流量</v>
      </c>
      <c r="AA27" s="1068">
        <f t="shared" si="3"/>
        <v>0.980392156862745</v>
      </c>
      <c r="AB27" s="1068">
        <f t="shared" si="4"/>
        <v>0.980392156862745</v>
      </c>
      <c r="AC27" s="1068">
        <f t="shared" si="5"/>
        <v>0.980392156862745</v>
      </c>
    </row>
    <row r="28" ht="15" spans="1:29">
      <c r="A28" s="861"/>
      <c r="B28" s="858" t="s">
        <v>1256</v>
      </c>
      <c r="C28" s="895" t="s">
        <v>1257</v>
      </c>
      <c r="D28" s="870">
        <v>100</v>
      </c>
      <c r="E28" s="895" t="s">
        <v>1257</v>
      </c>
      <c r="F28" s="1251">
        <f>SUMIF(92:92,E28,93:93)-SUMIF(92:92,C28,93:93)+100</f>
        <v>100</v>
      </c>
      <c r="G28" s="895" t="s">
        <v>1257</v>
      </c>
      <c r="H28" s="870">
        <f>SUMIF(92:92,G28,93:93)-SUMIF(92:92,C28,93:93)+100</f>
        <v>100</v>
      </c>
      <c r="I28" s="895" t="s">
        <v>1257</v>
      </c>
      <c r="J28" s="870">
        <f>SUMIF(92:92,I28,93:93)-SUMIF(92:92,C28,93:93)+100</f>
        <v>100</v>
      </c>
      <c r="K28" s="1009"/>
      <c r="L28" s="1002"/>
      <c r="M28" s="986"/>
      <c r="N28" s="986"/>
      <c r="O28" s="986"/>
      <c r="P28" s="1428"/>
      <c r="Q28" s="554" t="str">
        <f t="shared" si="11"/>
        <v>楼层</v>
      </c>
      <c r="R28" s="1052" t="s">
        <v>1163</v>
      </c>
      <c r="S28" s="1053">
        <f t="shared" ref="S28:S46" si="12">F28</f>
        <v>100</v>
      </c>
      <c r="T28" s="1052" t="s">
        <v>1163</v>
      </c>
      <c r="U28" s="1053">
        <f t="shared" ref="U28:U46" si="13">H28</f>
        <v>100</v>
      </c>
      <c r="V28" s="1052" t="s">
        <v>1163</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1163</v>
      </c>
      <c r="S29" s="1053">
        <f t="shared" si="12"/>
        <v>100</v>
      </c>
      <c r="T29" s="1052" t="s">
        <v>1163</v>
      </c>
      <c r="U29" s="1053">
        <f t="shared" si="13"/>
        <v>100</v>
      </c>
      <c r="V29" s="1052" t="s">
        <v>1163</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1163</v>
      </c>
      <c r="S30" s="1053">
        <f t="shared" si="12"/>
        <v>100</v>
      </c>
      <c r="T30" s="1052" t="s">
        <v>1163</v>
      </c>
      <c r="U30" s="1053">
        <f t="shared" si="13"/>
        <v>100</v>
      </c>
      <c r="V30" s="1052" t="s">
        <v>1163</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1163</v>
      </c>
      <c r="S31" s="1053">
        <f t="shared" si="12"/>
        <v>100</v>
      </c>
      <c r="T31" s="1052" t="s">
        <v>1163</v>
      </c>
      <c r="U31" s="1053">
        <f t="shared" si="13"/>
        <v>100</v>
      </c>
      <c r="V31" s="1052" t="s">
        <v>1163</v>
      </c>
      <c r="W31" s="1053">
        <f t="shared" si="14"/>
        <v>100</v>
      </c>
      <c r="X31" s="1039"/>
      <c r="Y31" s="1005"/>
      <c r="Z31" s="1026">
        <f t="shared" si="15"/>
        <v>111</v>
      </c>
      <c r="AA31" s="1068">
        <f t="shared" si="3"/>
        <v>1</v>
      </c>
      <c r="AB31" s="1068">
        <f t="shared" si="4"/>
        <v>1</v>
      </c>
      <c r="AC31" s="1068">
        <f t="shared" si="5"/>
        <v>1</v>
      </c>
    </row>
    <row r="32" ht="15" spans="1:29">
      <c r="A32" s="875" t="s">
        <v>1182</v>
      </c>
      <c r="B32" s="854" t="s">
        <v>1258</v>
      </c>
      <c r="C32" s="2601" t="s">
        <v>1259</v>
      </c>
      <c r="D32" s="911">
        <v>100</v>
      </c>
      <c r="E32" s="2601" t="s">
        <v>1259</v>
      </c>
      <c r="F32" s="1251">
        <f>SUMIF(100:100,E32,101:101)-SUMIF(100:100,C32,101:101)+100</f>
        <v>100</v>
      </c>
      <c r="G32" s="2601" t="s">
        <v>1259</v>
      </c>
      <c r="H32" s="870">
        <f>SUMIF(100:100,G32,101:101)-SUMIF(100:100,C32,101:101)+100</f>
        <v>100</v>
      </c>
      <c r="I32" s="2601" t="s">
        <v>1259</v>
      </c>
      <c r="J32" s="911">
        <f>SUMIF(100:100,I32,101:101)-SUMIF(100:100,C32,101:101)+100</f>
        <v>100</v>
      </c>
      <c r="K32" s="1010"/>
      <c r="L32" s="1002"/>
      <c r="M32" s="986"/>
      <c r="N32" s="986"/>
      <c r="O32" s="986"/>
      <c r="P32" s="1429" t="s">
        <v>1184</v>
      </c>
      <c r="Q32" s="554" t="str">
        <f t="shared" si="11"/>
        <v>商业类型</v>
      </c>
      <c r="R32" s="1052" t="s">
        <v>1163</v>
      </c>
      <c r="S32" s="1053">
        <f t="shared" si="12"/>
        <v>100</v>
      </c>
      <c r="T32" s="1052" t="s">
        <v>1163</v>
      </c>
      <c r="U32" s="1053">
        <f t="shared" si="13"/>
        <v>100</v>
      </c>
      <c r="V32" s="1052" t="s">
        <v>1163</v>
      </c>
      <c r="W32" s="1053">
        <f t="shared" si="14"/>
        <v>100</v>
      </c>
      <c r="X32" s="1039"/>
      <c r="Y32" s="1014" t="s">
        <v>1184</v>
      </c>
      <c r="Z32" s="1026" t="str">
        <f t="shared" si="15"/>
        <v>商业类型</v>
      </c>
      <c r="AA32" s="1068">
        <f t="shared" si="3"/>
        <v>1</v>
      </c>
      <c r="AB32" s="1068">
        <f t="shared" si="4"/>
        <v>1</v>
      </c>
      <c r="AC32" s="1068">
        <f t="shared" si="5"/>
        <v>1</v>
      </c>
    </row>
    <row r="33" s="810" customFormat="1" ht="15" spans="1:29">
      <c r="A33" s="917"/>
      <c r="B33" s="858" t="s">
        <v>1185</v>
      </c>
      <c r="C33" s="1245">
        <f>'数据-基础表'!I45</f>
        <v>156.24</v>
      </c>
      <c r="D33" s="860">
        <v>100</v>
      </c>
      <c r="E33" s="863">
        <v>27</v>
      </c>
      <c r="F33" s="1244">
        <f>LOOKUP(E33,103:103,104:104)-LOOKUP(C33,103:103,104:104)+100</f>
        <v>103</v>
      </c>
      <c r="G33" s="862">
        <v>147</v>
      </c>
      <c r="H33" s="860">
        <f>LOOKUP(G33,103:103,104:104)-LOOKUP(C33,103:103,104:104)+100</f>
        <v>101</v>
      </c>
      <c r="I33" s="862">
        <v>30</v>
      </c>
      <c r="J33" s="860">
        <f>LOOKUP(I33,103:103,104:104)-LOOKUP(C33,103:103,104:104)+100</f>
        <v>103</v>
      </c>
      <c r="K33" s="1009"/>
      <c r="L33" s="1000"/>
      <c r="M33" s="1012"/>
      <c r="N33" s="1012"/>
      <c r="O33" s="1012"/>
      <c r="P33" s="1430"/>
      <c r="Q33" s="1293" t="str">
        <f t="shared" si="11"/>
        <v>项目建筑规模</v>
      </c>
      <c r="R33" s="1054" t="s">
        <v>1163</v>
      </c>
      <c r="S33" s="1055">
        <f t="shared" si="12"/>
        <v>103</v>
      </c>
      <c r="T33" s="1054" t="s">
        <v>1163</v>
      </c>
      <c r="U33" s="1055">
        <f t="shared" si="13"/>
        <v>101</v>
      </c>
      <c r="V33" s="1054" t="s">
        <v>1163</v>
      </c>
      <c r="W33" s="1055">
        <f t="shared" si="14"/>
        <v>103</v>
      </c>
      <c r="X33" s="1056"/>
      <c r="Y33" s="1014"/>
      <c r="Z33" s="1069" t="str">
        <f t="shared" si="15"/>
        <v>项目建筑规模</v>
      </c>
      <c r="AA33" s="1068">
        <f t="shared" si="3"/>
        <v>0.970873786407767</v>
      </c>
      <c r="AB33" s="1068">
        <f t="shared" si="4"/>
        <v>0.99009900990099</v>
      </c>
      <c r="AC33" s="1068">
        <f t="shared" si="5"/>
        <v>0.970873786407767</v>
      </c>
    </row>
    <row r="34" ht="15" spans="1:29">
      <c r="A34" s="912"/>
      <c r="B34" s="858" t="s">
        <v>1186</v>
      </c>
      <c r="C34" s="2602" t="s">
        <v>1260</v>
      </c>
      <c r="D34" s="870">
        <v>100</v>
      </c>
      <c r="E34" s="2602" t="s">
        <v>1260</v>
      </c>
      <c r="F34" s="1251">
        <f>SUMIF(105:105,E34,106:106)-SUMIF(105:105,C34,106:106)+100</f>
        <v>100</v>
      </c>
      <c r="G34" s="2602" t="s">
        <v>1260</v>
      </c>
      <c r="H34" s="870">
        <f>SUMIF(105:105,G34,106:106)-SUMIF(105:105,C34,106:106)+100</f>
        <v>100</v>
      </c>
      <c r="I34" s="2602" t="s">
        <v>1260</v>
      </c>
      <c r="J34" s="870">
        <f>SUMIF(105:105,I34,106:106)-SUMIF(105:105,C34,106:106)+100</f>
        <v>100</v>
      </c>
      <c r="K34" s="1010"/>
      <c r="L34" s="1002"/>
      <c r="M34" s="986"/>
      <c r="N34" s="986"/>
      <c r="O34" s="986"/>
      <c r="P34" s="1430"/>
      <c r="Q34" s="554" t="str">
        <f t="shared" si="11"/>
        <v>建筑结构</v>
      </c>
      <c r="R34" s="1052" t="s">
        <v>1163</v>
      </c>
      <c r="S34" s="1053">
        <f t="shared" si="12"/>
        <v>100</v>
      </c>
      <c r="T34" s="1052" t="s">
        <v>1163</v>
      </c>
      <c r="U34" s="1053">
        <f t="shared" si="13"/>
        <v>100</v>
      </c>
      <c r="V34" s="1052" t="s">
        <v>1163</v>
      </c>
      <c r="W34" s="1053">
        <f t="shared" si="14"/>
        <v>100</v>
      </c>
      <c r="X34" s="1039"/>
      <c r="Y34" s="1014"/>
      <c r="Z34" s="1026" t="str">
        <f t="shared" si="15"/>
        <v>建筑结构</v>
      </c>
      <c r="AA34" s="1068">
        <f t="shared" si="3"/>
        <v>1</v>
      </c>
      <c r="AB34" s="1068">
        <f t="shared" si="4"/>
        <v>1</v>
      </c>
      <c r="AC34" s="1068">
        <f t="shared" si="5"/>
        <v>1</v>
      </c>
    </row>
    <row r="35" ht="15" spans="1:29">
      <c r="A35" s="912"/>
      <c r="B35" s="858" t="s">
        <v>1188</v>
      </c>
      <c r="C35" s="913" t="s">
        <v>854</v>
      </c>
      <c r="D35" s="870">
        <v>100</v>
      </c>
      <c r="E35" s="913" t="s">
        <v>854</v>
      </c>
      <c r="F35" s="1251">
        <f>SUMIF(107:107,E35,108:108)-SUMIF(107:107,C35,108:108)+100</f>
        <v>100</v>
      </c>
      <c r="G35" s="913" t="s">
        <v>854</v>
      </c>
      <c r="H35" s="870">
        <f>SUMIF(107:107,G35,108:108)-SUMIF(107:107,C35,108:108)+100</f>
        <v>100</v>
      </c>
      <c r="I35" s="913" t="s">
        <v>854</v>
      </c>
      <c r="J35" s="870">
        <f>SUMIF(107:107,I35,108:108)-SUMIF(107:107,C35,108:108)+100</f>
        <v>100</v>
      </c>
      <c r="K35" s="1010"/>
      <c r="L35" s="1002"/>
      <c r="M35" s="986"/>
      <c r="N35" s="986"/>
      <c r="O35" s="986"/>
      <c r="P35" s="1430"/>
      <c r="Q35" s="554" t="str">
        <f t="shared" si="11"/>
        <v>公共部分装修</v>
      </c>
      <c r="R35" s="1052" t="s">
        <v>1163</v>
      </c>
      <c r="S35" s="1053">
        <f t="shared" si="12"/>
        <v>100</v>
      </c>
      <c r="T35" s="1052" t="s">
        <v>1163</v>
      </c>
      <c r="U35" s="1053">
        <f t="shared" si="13"/>
        <v>100</v>
      </c>
      <c r="V35" s="1052" t="s">
        <v>1163</v>
      </c>
      <c r="W35" s="1053">
        <f t="shared" si="14"/>
        <v>100</v>
      </c>
      <c r="X35" s="1039"/>
      <c r="Y35" s="1014"/>
      <c r="Z35" s="1026" t="str">
        <f t="shared" si="15"/>
        <v>公共部分装修</v>
      </c>
      <c r="AA35" s="1068">
        <f t="shared" si="3"/>
        <v>1</v>
      </c>
      <c r="AB35" s="1068">
        <f t="shared" si="4"/>
        <v>1</v>
      </c>
      <c r="AC35" s="1068">
        <f t="shared" si="5"/>
        <v>1</v>
      </c>
    </row>
    <row r="36" ht="15" spans="1:29">
      <c r="A36" s="912"/>
      <c r="B36" s="858" t="s">
        <v>589</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1163</v>
      </c>
      <c r="S36" s="1053">
        <f t="shared" si="12"/>
        <v>100</v>
      </c>
      <c r="T36" s="1052" t="s">
        <v>1163</v>
      </c>
      <c r="U36" s="1053">
        <f t="shared" si="13"/>
        <v>100</v>
      </c>
      <c r="V36" s="1052" t="s">
        <v>1163</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1190</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1163</v>
      </c>
      <c r="S37" s="1048">
        <f t="shared" si="12"/>
        <v>100</v>
      </c>
      <c r="T37" s="1047" t="s">
        <v>1163</v>
      </c>
      <c r="U37" s="1048">
        <f t="shared" si="13"/>
        <v>100</v>
      </c>
      <c r="V37" s="1047" t="s">
        <v>1163</v>
      </c>
      <c r="W37" s="1048">
        <f t="shared" si="14"/>
        <v>100</v>
      </c>
      <c r="X37" s="1049"/>
      <c r="Y37" s="1014"/>
      <c r="Z37" s="1067" t="str">
        <f t="shared" si="15"/>
        <v>市政基础设施</v>
      </c>
      <c r="AA37" s="1066">
        <f t="shared" si="3"/>
        <v>1</v>
      </c>
      <c r="AB37" s="1066">
        <f t="shared" si="4"/>
        <v>1</v>
      </c>
      <c r="AC37" s="1066">
        <f t="shared" si="5"/>
        <v>1</v>
      </c>
    </row>
    <row r="38" ht="15" spans="1:29">
      <c r="A38" s="912"/>
      <c r="B38" s="858" t="s">
        <v>1261</v>
      </c>
      <c r="C38" s="913" t="s">
        <v>1262</v>
      </c>
      <c r="D38" s="870">
        <v>100</v>
      </c>
      <c r="E38" s="913" t="s">
        <v>1262</v>
      </c>
      <c r="F38" s="1251">
        <f>SUMIF(114:114,E38,115:115)-SUMIF(114:114,C38,115:115)+100</f>
        <v>100</v>
      </c>
      <c r="G38" s="913" t="s">
        <v>1262</v>
      </c>
      <c r="H38" s="870">
        <f>SUMIF(114:114,G38,115:115)-SUMIF(114:114,C38,115:115)+100</f>
        <v>100</v>
      </c>
      <c r="I38" s="913" t="s">
        <v>1262</v>
      </c>
      <c r="J38" s="870">
        <f>SUMIF(114:114,I38,115:115)-SUMIF(114:114,C38,115:115)+100</f>
        <v>100</v>
      </c>
      <c r="K38" s="1010">
        <v>5</v>
      </c>
      <c r="L38" s="1002"/>
      <c r="M38" s="986"/>
      <c r="N38" s="986"/>
      <c r="O38" s="986"/>
      <c r="P38" s="1430" t="s">
        <v>1184</v>
      </c>
      <c r="Q38" s="554" t="str">
        <f t="shared" si="11"/>
        <v>业态</v>
      </c>
      <c r="R38" s="1052" t="s">
        <v>1163</v>
      </c>
      <c r="S38" s="1053">
        <f t="shared" si="12"/>
        <v>100</v>
      </c>
      <c r="T38" s="1052" t="s">
        <v>1163</v>
      </c>
      <c r="U38" s="1053">
        <f t="shared" si="13"/>
        <v>100</v>
      </c>
      <c r="V38" s="1052" t="s">
        <v>1163</v>
      </c>
      <c r="W38" s="1053">
        <f t="shared" si="14"/>
        <v>100</v>
      </c>
      <c r="X38" s="1039"/>
      <c r="Y38" s="1014" t="s">
        <v>1184</v>
      </c>
      <c r="Z38" s="1026" t="str">
        <f t="shared" si="15"/>
        <v>业态</v>
      </c>
      <c r="AA38" s="1068">
        <f t="shared" si="3"/>
        <v>1</v>
      </c>
      <c r="AB38" s="1068">
        <f t="shared" si="4"/>
        <v>1</v>
      </c>
      <c r="AC38" s="1068">
        <f t="shared" si="5"/>
        <v>1</v>
      </c>
    </row>
    <row r="39" ht="15" spans="1:29">
      <c r="A39" s="912"/>
      <c r="B39" s="858" t="s">
        <v>1263</v>
      </c>
      <c r="C39" s="913" t="s">
        <v>1264</v>
      </c>
      <c r="D39" s="870">
        <v>100</v>
      </c>
      <c r="E39" s="913" t="s">
        <v>1264</v>
      </c>
      <c r="F39" s="1251">
        <f>SUMIF(116:116,E39,117:117)-SUMIF(116:116,C39,117:117)+100</f>
        <v>100</v>
      </c>
      <c r="G39" s="913" t="s">
        <v>1264</v>
      </c>
      <c r="H39" s="870">
        <f>SUMIF(116:116,G39,117:117)-SUMIF(116:116,C39,117:117)+100</f>
        <v>100</v>
      </c>
      <c r="I39" s="913" t="s">
        <v>1264</v>
      </c>
      <c r="J39" s="870">
        <f>SUMIF(116:116,I39,117:117)-SUMIF(116:116,C39,117:117)+100</f>
        <v>100</v>
      </c>
      <c r="K39" s="1010"/>
      <c r="L39" s="1002"/>
      <c r="M39" s="986"/>
      <c r="N39" s="986"/>
      <c r="O39" s="986"/>
      <c r="P39" s="1430"/>
      <c r="Q39" s="554" t="str">
        <f t="shared" si="11"/>
        <v>层高</v>
      </c>
      <c r="R39" s="1052" t="s">
        <v>1163</v>
      </c>
      <c r="S39" s="1053">
        <f t="shared" si="12"/>
        <v>100</v>
      </c>
      <c r="T39" s="1052" t="s">
        <v>1163</v>
      </c>
      <c r="U39" s="1053">
        <f t="shared" si="13"/>
        <v>100</v>
      </c>
      <c r="V39" s="1052" t="s">
        <v>1163</v>
      </c>
      <c r="W39" s="1053">
        <f t="shared" si="14"/>
        <v>100</v>
      </c>
      <c r="X39" s="1039"/>
      <c r="Y39" s="1014"/>
      <c r="Z39" s="1026" t="str">
        <f t="shared" si="15"/>
        <v>层高</v>
      </c>
      <c r="AA39" s="1068">
        <f t="shared" si="3"/>
        <v>1</v>
      </c>
      <c r="AB39" s="1068">
        <f t="shared" si="4"/>
        <v>1</v>
      </c>
      <c r="AC39" s="1068">
        <f t="shared" si="5"/>
        <v>1</v>
      </c>
    </row>
    <row r="40" ht="15" spans="1:29">
      <c r="A40" s="912"/>
      <c r="B40" s="858" t="s">
        <v>1265</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1163</v>
      </c>
      <c r="S40" s="1053">
        <f t="shared" si="12"/>
        <v>100</v>
      </c>
      <c r="T40" s="1052" t="s">
        <v>1163</v>
      </c>
      <c r="U40" s="1053">
        <f t="shared" si="13"/>
        <v>100</v>
      </c>
      <c r="V40" s="1052" t="s">
        <v>1163</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1266</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1163</v>
      </c>
      <c r="S41" s="1055">
        <f t="shared" si="12"/>
        <v>100</v>
      </c>
      <c r="T41" s="1054" t="s">
        <v>1163</v>
      </c>
      <c r="U41" s="1055">
        <f t="shared" si="13"/>
        <v>100</v>
      </c>
      <c r="V41" s="1054" t="s">
        <v>1163</v>
      </c>
      <c r="W41" s="1055">
        <f t="shared" si="14"/>
        <v>100</v>
      </c>
      <c r="X41" s="1056"/>
      <c r="Y41" s="1014"/>
      <c r="Z41" s="1069" t="str">
        <f t="shared" si="15"/>
        <v>进深比</v>
      </c>
      <c r="AA41" s="1068">
        <f t="shared" si="3"/>
        <v>1</v>
      </c>
      <c r="AB41" s="1068">
        <f t="shared" si="4"/>
        <v>1</v>
      </c>
      <c r="AC41" s="1068">
        <f t="shared" si="5"/>
        <v>1</v>
      </c>
    </row>
    <row r="42" ht="15" spans="1:29">
      <c r="A42" s="912"/>
      <c r="B42" s="858" t="s">
        <v>1193</v>
      </c>
      <c r="C42" s="913" t="s">
        <v>610</v>
      </c>
      <c r="D42" s="870">
        <v>100</v>
      </c>
      <c r="E42" s="913" t="s">
        <v>610</v>
      </c>
      <c r="F42" s="1251">
        <f>SUMIF(122:122,E42,123:123)-SUMIF(122:122,C42,123:123)+100</f>
        <v>100</v>
      </c>
      <c r="G42" s="913" t="s">
        <v>610</v>
      </c>
      <c r="H42" s="870">
        <f>SUMIF(122:122,G42,123:123)-SUMIF(122:122,C42,123:123)+100</f>
        <v>100</v>
      </c>
      <c r="I42" s="913" t="s">
        <v>610</v>
      </c>
      <c r="J42" s="870">
        <f>SUMIF(122:122,I42,123:123)-SUMIF(122:122,C42,123:123)+100</f>
        <v>100</v>
      </c>
      <c r="K42" s="1010"/>
      <c r="L42" s="1002"/>
      <c r="M42" s="986"/>
      <c r="N42" s="986"/>
      <c r="O42" s="986"/>
      <c r="P42" s="1430"/>
      <c r="Q42" s="554" t="str">
        <f t="shared" si="11"/>
        <v>内部装修</v>
      </c>
      <c r="R42" s="1052" t="s">
        <v>1163</v>
      </c>
      <c r="S42" s="1053">
        <f t="shared" si="12"/>
        <v>100</v>
      </c>
      <c r="T42" s="1052" t="s">
        <v>1163</v>
      </c>
      <c r="U42" s="1053">
        <f t="shared" si="13"/>
        <v>100</v>
      </c>
      <c r="V42" s="1052" t="s">
        <v>1163</v>
      </c>
      <c r="W42" s="1053">
        <f t="shared" si="14"/>
        <v>100</v>
      </c>
      <c r="X42" s="1039"/>
      <c r="Y42" s="1014"/>
      <c r="Z42" s="1026" t="str">
        <f t="shared" si="15"/>
        <v>内部装修</v>
      </c>
      <c r="AA42" s="1068">
        <f t="shared" si="3"/>
        <v>1</v>
      </c>
      <c r="AB42" s="1068">
        <f t="shared" si="4"/>
        <v>1</v>
      </c>
      <c r="AC42" s="1068">
        <f t="shared" si="5"/>
        <v>1</v>
      </c>
    </row>
    <row r="43" ht="15" spans="1:29">
      <c r="A43" s="912"/>
      <c r="B43" s="858" t="s">
        <v>1194</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1163</v>
      </c>
      <c r="S43" s="1053">
        <f t="shared" si="12"/>
        <v>100</v>
      </c>
      <c r="T43" s="1052" t="s">
        <v>1163</v>
      </c>
      <c r="U43" s="1053">
        <f t="shared" si="13"/>
        <v>100</v>
      </c>
      <c r="V43" s="1052" t="s">
        <v>1163</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1163</v>
      </c>
      <c r="S44" s="1048">
        <f t="shared" si="12"/>
        <v>100</v>
      </c>
      <c r="T44" s="1047" t="s">
        <v>1163</v>
      </c>
      <c r="U44" s="1048">
        <f t="shared" si="13"/>
        <v>100</v>
      </c>
      <c r="V44" s="1047" t="s">
        <v>1163</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1163</v>
      </c>
      <c r="S45" s="1053">
        <f t="shared" si="12"/>
        <v>100</v>
      </c>
      <c r="T45" s="1052" t="s">
        <v>1163</v>
      </c>
      <c r="U45" s="1053">
        <f t="shared" si="13"/>
        <v>100</v>
      </c>
      <c r="V45" s="1052" t="s">
        <v>1163</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1163</v>
      </c>
      <c r="S46" s="1053">
        <f t="shared" si="12"/>
        <v>100</v>
      </c>
      <c r="T46" s="1052" t="s">
        <v>1163</v>
      </c>
      <c r="U46" s="1053">
        <f t="shared" si="13"/>
        <v>100</v>
      </c>
      <c r="V46" s="1052" t="s">
        <v>1163</v>
      </c>
      <c r="W46" s="1053">
        <f t="shared" si="14"/>
        <v>100</v>
      </c>
      <c r="X46" s="1039"/>
      <c r="Y46" s="1387"/>
      <c r="Z46" s="1026">
        <f t="shared" si="15"/>
        <v>111</v>
      </c>
      <c r="AA46" s="1068">
        <f t="shared" si="3"/>
        <v>1</v>
      </c>
      <c r="AB46" s="1068">
        <f t="shared" si="4"/>
        <v>1</v>
      </c>
      <c r="AC46" s="1068">
        <f t="shared" si="5"/>
        <v>1</v>
      </c>
    </row>
    <row r="47" ht="15" spans="1:29">
      <c r="A47" s="919" t="s">
        <v>1195</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1196</v>
      </c>
      <c r="B48" s="1275"/>
      <c r="C48" s="1276">
        <f>R49</f>
        <v>48166</v>
      </c>
      <c r="D48" s="930" t="s">
        <v>1197</v>
      </c>
      <c r="E48" s="1277">
        <f>R48</f>
        <v>49148</v>
      </c>
      <c r="F48" s="931"/>
      <c r="G48" s="1276">
        <f>T48</f>
        <v>46557</v>
      </c>
      <c r="H48" s="931"/>
      <c r="I48" s="1277">
        <f>V48</f>
        <v>48793</v>
      </c>
      <c r="J48" s="931"/>
      <c r="K48" s="1019">
        <f>F48+H48+J48</f>
        <v>0</v>
      </c>
      <c r="L48" s="1018"/>
      <c r="M48" s="936"/>
      <c r="N48" s="986"/>
      <c r="O48" s="936"/>
      <c r="P48" s="554" t="str">
        <f>A48</f>
        <v>比较价值（元/平方米）</v>
      </c>
      <c r="Q48" s="554"/>
      <c r="R48" s="1068">
        <f>IF(F1="售价",ROUND(PRODUCT(R47,AA7:AA46),0),ROUND(PRODUCT(R47,AA7:AA46),1))</f>
        <v>49148</v>
      </c>
      <c r="S48" s="1068"/>
      <c r="T48" s="1068">
        <f>IF(F1="售价",ROUND(PRODUCT(T47,AB7:AB46),0),ROUND(PRODUCT(T47,AB7:AB46),1))</f>
        <v>46557</v>
      </c>
      <c r="U48" s="1068"/>
      <c r="V48" s="1068">
        <f>IF(F1="售价",ROUND(PRODUCT(V47,AC7:AC46),0),ROUND(PRODUCT(V47,AC7:AC46),1))</f>
        <v>48793</v>
      </c>
      <c r="W48" s="1068"/>
      <c r="X48" s="974"/>
      <c r="Y48" s="974"/>
      <c r="Z48" s="974"/>
      <c r="AA48" s="974"/>
      <c r="AB48" s="974"/>
      <c r="AC48" s="974"/>
    </row>
    <row r="49" ht="15.75" spans="1:29">
      <c r="A49" s="933" t="s">
        <v>1198</v>
      </c>
      <c r="B49" s="934"/>
      <c r="C49" s="1278">
        <f>R49</f>
        <v>48166</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48166</v>
      </c>
      <c r="S49" s="1403"/>
      <c r="T49" s="1403"/>
      <c r="U49" s="1403"/>
      <c r="V49" s="1403"/>
      <c r="W49" s="1403"/>
      <c r="X49" s="974"/>
      <c r="Y49" s="974"/>
      <c r="Z49" s="974"/>
      <c r="AA49" s="974"/>
      <c r="AB49" s="974"/>
      <c r="AC49" s="974"/>
    </row>
    <row r="50" spans="1:29">
      <c r="A50" s="936"/>
      <c r="B50" s="936"/>
      <c r="C50" s="936"/>
      <c r="D50" s="936"/>
      <c r="E50" s="936">
        <f>E47-E48</f>
        <v>4573</v>
      </c>
      <c r="F50" s="936"/>
      <c r="G50" s="2605">
        <f>G47-G48</f>
        <v>4342</v>
      </c>
      <c r="H50" s="936"/>
      <c r="I50" s="936">
        <f>I47-I48</f>
        <v>4540</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1267</v>
      </c>
      <c r="F51" s="936"/>
      <c r="G51" s="936" t="s">
        <v>1268</v>
      </c>
      <c r="H51" s="936"/>
      <c r="I51" s="936" t="s">
        <v>1269</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1199</v>
      </c>
      <c r="D52" s="596"/>
      <c r="E52" s="939">
        <f>IF(E47&lt;E48,E48/E47-1,E47/E48-1)</f>
        <v>0.0930454952388704</v>
      </c>
      <c r="F52" s="940" t="str">
        <f>IF(OR(E52&gt;=0.3,E52&lt;=-0.3),"超过30%","")</f>
        <v/>
      </c>
      <c r="G52" s="939">
        <f>IF(G47&lt;G48,G48/G47-1,G47/G48-1)</f>
        <v>0.0932620228966643</v>
      </c>
      <c r="H52" s="940" t="str">
        <f>IF(OR(G52&gt;=0.3,G52&lt;=-0.3),"超过30%","")</f>
        <v/>
      </c>
      <c r="I52" s="939">
        <f>IF(I47&lt;I48,I48/I47-1,I47/I48-1)</f>
        <v>0.0930461336667145</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1200</v>
      </c>
      <c r="D53" s="595"/>
      <c r="E53" s="939">
        <f>IF(E48&lt;G48,G48/E48-1,E48/G48-1)</f>
        <v>0.0556522112679081</v>
      </c>
      <c r="F53" s="940" t="str">
        <f>IF(OR(E53&gt;=0.2,E53&lt;=-0.2),"超过20%","")</f>
        <v/>
      </c>
      <c r="G53" s="939">
        <f>IF(G48&lt;I48,I48/G48-1,G48/I48-1)</f>
        <v>0.0480271495156475</v>
      </c>
      <c r="H53" s="940" t="str">
        <f>IF(OR(G53&gt;=0.2,G53&lt;=-0.2),"超过20%","")</f>
        <v/>
      </c>
      <c r="I53" s="939">
        <f>IF(I48&lt;E48,E48/I48-1,I48/E48-1)</f>
        <v>0.00727563379993024</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1201</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1202</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1161</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1203</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1164</v>
      </c>
      <c r="B61" s="1082"/>
      <c r="C61" s="1083" t="s">
        <v>1165</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1204</v>
      </c>
      <c r="B63" s="1088" t="s">
        <v>1168</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1171</v>
      </c>
      <c r="C65" s="1093" t="s">
        <v>1205</v>
      </c>
      <c r="D65" s="1093" t="s">
        <v>1206</v>
      </c>
      <c r="E65" s="1093" t="s">
        <v>1207</v>
      </c>
      <c r="F65" s="1093" t="s">
        <v>1208</v>
      </c>
      <c r="G65" s="1093" t="s">
        <v>1209</v>
      </c>
      <c r="H65" s="1093" t="s">
        <v>1210</v>
      </c>
      <c r="I65" s="1093" t="s">
        <v>1211</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1270</v>
      </c>
      <c r="D66" s="1095" t="s">
        <v>1270</v>
      </c>
      <c r="E66" s="1095" t="s">
        <v>1270</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1172</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1173</v>
      </c>
      <c r="B76" s="1088" t="s">
        <v>1174</v>
      </c>
      <c r="C76" s="1109" t="s">
        <v>1212</v>
      </c>
      <c r="D76" s="1109" t="s">
        <v>1213</v>
      </c>
      <c r="E76" s="1109" t="s">
        <v>1214</v>
      </c>
      <c r="F76" s="1109" t="s">
        <v>1215</v>
      </c>
      <c r="G76" s="1109" t="s">
        <v>1216</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98</v>
      </c>
      <c r="E77" s="1095">
        <f>D77-$K15</f>
        <v>96</v>
      </c>
      <c r="F77" s="1095">
        <f>E77-$K15</f>
        <v>94</v>
      </c>
      <c r="G77" s="1095">
        <f>F77-$K15</f>
        <v>92</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1176</v>
      </c>
      <c r="C78" s="1111" t="s">
        <v>1212</v>
      </c>
      <c r="D78" s="1111" t="s">
        <v>1213</v>
      </c>
      <c r="E78" s="1111" t="s">
        <v>1214</v>
      </c>
      <c r="F78" s="1111" t="s">
        <v>1215</v>
      </c>
      <c r="G78" s="1111" t="s">
        <v>1216</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98</v>
      </c>
      <c r="E79" s="1095">
        <f>D79-$K17</f>
        <v>96</v>
      </c>
      <c r="F79" s="1095">
        <f>E79-$K17</f>
        <v>94</v>
      </c>
      <c r="G79" s="1095">
        <f>F79-$K17</f>
        <v>92</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1177</v>
      </c>
      <c r="C80" s="1111" t="s">
        <v>1212</v>
      </c>
      <c r="D80" s="1111" t="s">
        <v>1213</v>
      </c>
      <c r="E80" s="1111" t="s">
        <v>1214</v>
      </c>
      <c r="F80" s="1111" t="s">
        <v>1215</v>
      </c>
      <c r="G80" s="1111" t="s">
        <v>1216</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1178</v>
      </c>
      <c r="C82" s="1116" t="s">
        <v>1217</v>
      </c>
      <c r="D82" s="1116" t="s">
        <v>1218</v>
      </c>
      <c r="E82" s="1116" t="s">
        <v>1219</v>
      </c>
      <c r="F82" s="1116" t="s">
        <v>1220</v>
      </c>
      <c r="G82" s="1116" t="s">
        <v>1221</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1179</v>
      </c>
      <c r="C84" s="1111" t="s">
        <v>1212</v>
      </c>
      <c r="D84" s="1111" t="s">
        <v>1213</v>
      </c>
      <c r="E84" s="1111" t="s">
        <v>1214</v>
      </c>
      <c r="F84" s="1111" t="s">
        <v>1215</v>
      </c>
      <c r="G84" s="1111" t="s">
        <v>1216</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1252</v>
      </c>
      <c r="C86" s="1296" t="s">
        <v>1271</v>
      </c>
      <c r="D86" s="1296" t="s">
        <v>1272</v>
      </c>
      <c r="E86" s="1296" t="s">
        <v>1253</v>
      </c>
      <c r="F86" s="1296" t="s">
        <v>1273</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1274</v>
      </c>
      <c r="D90" s="1296" t="s">
        <v>1251</v>
      </c>
      <c r="E90" s="1296" t="s">
        <v>1250</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98</v>
      </c>
      <c r="E91" s="1095">
        <f t="shared" ref="E91:M91" si="21">D91-$K27</f>
        <v>96</v>
      </c>
      <c r="F91" s="1095">
        <f t="shared" si="21"/>
        <v>94</v>
      </c>
      <c r="G91" s="1095">
        <f t="shared" si="21"/>
        <v>92</v>
      </c>
      <c r="H91" s="1095">
        <f t="shared" si="21"/>
        <v>90</v>
      </c>
      <c r="I91" s="1095">
        <f t="shared" si="21"/>
        <v>88</v>
      </c>
      <c r="J91" s="1095">
        <f t="shared" si="21"/>
        <v>86</v>
      </c>
      <c r="K91" s="1095">
        <f t="shared" si="21"/>
        <v>84</v>
      </c>
      <c r="L91" s="1095">
        <f t="shared" si="21"/>
        <v>82</v>
      </c>
      <c r="M91" s="1095">
        <f t="shared" si="21"/>
        <v>80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1275</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1182</v>
      </c>
      <c r="B100" s="1088" t="s">
        <v>1258</v>
      </c>
      <c r="C100" s="1015"/>
      <c r="D100" s="2619" t="s">
        <v>1259</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1185</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99</v>
      </c>
      <c r="E104" s="1091">
        <v>98</v>
      </c>
      <c r="F104" s="1091">
        <v>97</v>
      </c>
      <c r="G104" s="1091">
        <v>96</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1186</v>
      </c>
      <c r="C105" s="1296" t="s">
        <v>1260</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1188</v>
      </c>
      <c r="C107" s="1296" t="s">
        <v>854</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589</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1190</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1261</v>
      </c>
      <c r="C114" s="1296" t="s">
        <v>1262</v>
      </c>
      <c r="D114" s="1296" t="s">
        <v>1276</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1263</v>
      </c>
      <c r="C116" s="1296" t="s">
        <v>1277</v>
      </c>
      <c r="D116" s="1296" t="s">
        <v>1264</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1265</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1278</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1193</v>
      </c>
      <c r="C122" s="1296" t="s">
        <v>854</v>
      </c>
      <c r="D122" s="1296" t="s">
        <v>1279</v>
      </c>
      <c r="E122" s="1296" t="s">
        <v>1280</v>
      </c>
      <c r="F122" s="2621" t="s">
        <v>610</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1194</v>
      </c>
      <c r="C124" s="1111" t="s">
        <v>1212</v>
      </c>
      <c r="D124" s="1111" t="s">
        <v>1213</v>
      </c>
      <c r="E124" s="1111" t="s">
        <v>1214</v>
      </c>
      <c r="F124" s="1111" t="s">
        <v>1215</v>
      </c>
      <c r="G124" s="1111" t="s">
        <v>1216</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7" activePane="bottomLeft" state="frozen"/>
      <selection/>
      <selection pane="bottomLeft" activeCell="N41" sqref="N41:O61"/>
    </sheetView>
  </sheetViews>
  <sheetFormatPr defaultColWidth="9" defaultRowHeight="12.75"/>
  <cols>
    <col min="1" max="1" width="11.4416666666667" style="1922" customWidth="1"/>
    <col min="2" max="2" width="9.21666666666667"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1281</v>
      </c>
      <c r="C1" s="2482" t="s">
        <v>1282</v>
      </c>
      <c r="D1" s="2483"/>
      <c r="E1" s="2483"/>
      <c r="F1" s="2483"/>
      <c r="G1" s="2483"/>
      <c r="H1" s="2483"/>
      <c r="I1" s="2483"/>
      <c r="J1" s="2483"/>
      <c r="K1" s="2483"/>
      <c r="L1" s="2483"/>
      <c r="M1" s="2483"/>
      <c r="N1" s="2483"/>
      <c r="O1" s="2483"/>
      <c r="P1" s="2483"/>
      <c r="Q1" s="2483"/>
      <c r="R1" s="2483"/>
      <c r="S1" s="2565"/>
      <c r="T1" s="2481" t="s">
        <v>1283</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1284</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1285</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1286</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1287</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1288</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847</v>
      </c>
      <c r="C15" s="2516" t="s">
        <v>854</v>
      </c>
      <c r="D15" s="2501"/>
      <c r="E15" s="2501"/>
      <c r="F15" s="2517" t="s">
        <v>610</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1289</v>
      </c>
      <c r="B17" s="2519" t="s">
        <v>1290</v>
      </c>
      <c r="C17" s="2520">
        <v>1</v>
      </c>
      <c r="D17" s="2521">
        <v>2</v>
      </c>
      <c r="E17" s="2521">
        <v>3</v>
      </c>
      <c r="F17" s="2521">
        <v>4</v>
      </c>
      <c r="G17" s="2521">
        <v>5</v>
      </c>
      <c r="H17" s="2522"/>
      <c r="I17" s="2558" t="s">
        <v>841</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75</v>
      </c>
      <c r="E18" s="2526">
        <v>65</v>
      </c>
      <c r="F18" s="2526">
        <v>60</v>
      </c>
      <c r="G18" s="2526">
        <v>50</v>
      </c>
      <c r="H18" s="2526"/>
      <c r="I18" s="2526">
        <v>50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1291</v>
      </c>
      <c r="E19" s="2528"/>
      <c r="F19" s="2528"/>
      <c r="G19" s="2528"/>
      <c r="H19" s="1657"/>
      <c r="I19" s="2106"/>
      <c r="J19" s="2106"/>
      <c r="K19" s="2106"/>
      <c r="L19" s="2106"/>
      <c r="M19" s="2106"/>
      <c r="N19" s="2106"/>
      <c r="O19" s="2106"/>
      <c r="P19" s="2106"/>
      <c r="Q19" s="2106"/>
      <c r="R19" s="2590"/>
      <c r="S19" s="1949"/>
    </row>
    <row r="20" ht="16.5" spans="1:19">
      <c r="A20" s="2529" t="s">
        <v>1292</v>
      </c>
      <c r="B20" s="2530">
        <f ca="1">IF(D20="——",S22,S22-F20)</f>
        <v>0</v>
      </c>
      <c r="C20" s="2106"/>
      <c r="D20" s="2531" t="s">
        <v>124</v>
      </c>
      <c r="E20" s="2532"/>
      <c r="F20" s="2481" t="e">
        <f ca="1">SUMIF(INDIRECT("'"&amp;H20&amp;"'"&amp;"!A:A"),"承租人权益价值",INDIRECT("'"&amp;H20&amp;"'"&amp;"!c:c"))</f>
        <v>#REF!</v>
      </c>
      <c r="G20" s="2481" t="s">
        <v>957</v>
      </c>
      <c r="H20" s="2533"/>
      <c r="I20" s="2106"/>
      <c r="J20" s="2106"/>
      <c r="K20" s="2106"/>
      <c r="L20" s="2106"/>
      <c r="M20" s="2106"/>
      <c r="N20" s="2106"/>
      <c r="O20" s="2106"/>
      <c r="P20" s="2106"/>
      <c r="Q20" s="2106"/>
      <c r="R20" s="2590"/>
      <c r="S20" s="1949"/>
    </row>
    <row r="21" ht="15.75" spans="1:19">
      <c r="A21" s="2529" t="s">
        <v>1293</v>
      </c>
      <c r="B21" s="2530">
        <f ca="1">ROUND(B20*10000/B22,0)</f>
        <v>0</v>
      </c>
      <c r="C21" s="2106"/>
      <c r="D21" s="2106"/>
      <c r="E21" s="2106"/>
      <c r="F21" s="2106"/>
      <c r="G21" s="2106"/>
      <c r="H21" s="2106"/>
      <c r="I21" s="2106"/>
      <c r="J21" s="2106"/>
      <c r="K21" s="2106"/>
      <c r="L21" s="2106"/>
      <c r="M21" s="2106"/>
      <c r="N21" s="2106"/>
      <c r="O21" s="2106"/>
      <c r="P21" s="2106"/>
      <c r="Q21" s="2106"/>
      <c r="R21" s="2590"/>
      <c r="S21" s="1949"/>
    </row>
    <row r="22" spans="1:19">
      <c r="A22" s="1570" t="s">
        <v>1294</v>
      </c>
      <c r="B22" s="1595">
        <f>SUM(B24:B10000)</f>
        <v>24827.5</v>
      </c>
      <c r="C22" s="1660" t="s">
        <v>124</v>
      </c>
      <c r="D22" s="1603"/>
      <c r="E22" s="1603"/>
      <c r="F22" s="1603"/>
      <c r="G22" s="1603"/>
      <c r="H22" s="1603"/>
      <c r="I22" s="1603"/>
      <c r="J22" s="1603"/>
      <c r="K22" s="1603"/>
      <c r="L22" s="1603"/>
      <c r="M22" s="1603"/>
      <c r="N22" s="1603"/>
      <c r="O22" s="1603"/>
      <c r="P22" s="1603"/>
      <c r="Q22" s="2591"/>
      <c r="R22" s="2592">
        <f ca="1">ROUND(S22*10000/B22,0)</f>
        <v>0</v>
      </c>
      <c r="S22" s="1595">
        <f ca="1">SUM(S24:S10000)</f>
        <v>0</v>
      </c>
    </row>
    <row r="23" s="2477" customFormat="1" ht="24" spans="1:45">
      <c r="A23" s="2534" t="s">
        <v>1295</v>
      </c>
      <c r="B23" s="2534" t="s">
        <v>367</v>
      </c>
      <c r="C23" s="2534" t="s">
        <v>1283</v>
      </c>
      <c r="D23" s="2534" t="str">
        <f>B5</f>
        <v>修正项2</v>
      </c>
      <c r="E23" s="2534" t="s">
        <v>1283</v>
      </c>
      <c r="F23" s="2534" t="str">
        <f>B7</f>
        <v>修正项3</v>
      </c>
      <c r="G23" s="2534" t="s">
        <v>1283</v>
      </c>
      <c r="H23" s="2534" t="str">
        <f>B9</f>
        <v>修正项4</v>
      </c>
      <c r="I23" s="2534" t="s">
        <v>1283</v>
      </c>
      <c r="J23" s="2534" t="str">
        <f>B11</f>
        <v>修正项5</v>
      </c>
      <c r="K23" s="2534" t="s">
        <v>1283</v>
      </c>
      <c r="L23" s="2534" t="str">
        <f>B13</f>
        <v>修正项6</v>
      </c>
      <c r="M23" s="2534" t="s">
        <v>1283</v>
      </c>
      <c r="N23" s="2534" t="str">
        <f>B15</f>
        <v>装修</v>
      </c>
      <c r="O23" s="2534" t="s">
        <v>1283</v>
      </c>
      <c r="P23" s="2534" t="str">
        <f>B17</f>
        <v>楼层</v>
      </c>
      <c r="Q23" s="2534" t="s">
        <v>1283</v>
      </c>
      <c r="R23" s="2593" t="s">
        <v>1296</v>
      </c>
      <c r="S23" s="2534" t="s">
        <v>1297</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1298</v>
      </c>
      <c r="B24" s="2536">
        <f>'数据-基础表'!G45</f>
        <v>156.24</v>
      </c>
      <c r="C24" s="2537">
        <v>1</v>
      </c>
      <c r="D24" s="2538"/>
      <c r="E24" s="2537">
        <v>1</v>
      </c>
      <c r="F24" s="2538"/>
      <c r="G24" s="2537">
        <v>1</v>
      </c>
      <c r="H24" s="2538"/>
      <c r="I24" s="2537">
        <v>1</v>
      </c>
      <c r="J24" s="2538"/>
      <c r="K24" s="2537">
        <v>1</v>
      </c>
      <c r="L24" s="2538"/>
      <c r="M24" s="2537">
        <v>1</v>
      </c>
      <c r="N24" s="2538" t="s">
        <v>610</v>
      </c>
      <c r="O24" s="2537">
        <v>1</v>
      </c>
      <c r="P24" s="2538">
        <v>1</v>
      </c>
      <c r="Q24" s="2537">
        <v>1</v>
      </c>
      <c r="R24" s="2595">
        <f ca="1">'收益法倒推租金-商业'!C31</f>
        <v>1.21</v>
      </c>
      <c r="S24" s="2596">
        <f ca="1" t="shared" ref="S24:S54" si="11">ROUND(R24*B24/10000,0)</f>
        <v>0</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1299</v>
      </c>
      <c r="B25" s="2540">
        <f>'数据-基础表'!G13</f>
        <v>2852.34</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610</v>
      </c>
      <c r="O25" s="1595">
        <f>(SUMIF($15:$15,N25,$16:$16)-SUMIF($15:$15,$N$24,$16:$16)+100)/100</f>
        <v>1</v>
      </c>
      <c r="P25" s="2541" t="s">
        <v>841</v>
      </c>
      <c r="Q25" s="1595">
        <f>(SUMIF($17:$17,P25,$18:$18)-SUMIF($17:$17,$P$24,$18:$18)+100)/100</f>
        <v>0.5</v>
      </c>
      <c r="R25" s="2592">
        <f ca="1">IF(B25="",0,ROUND($R$24*C25*E25*G25*I25*K25*M25*O25*Q25,0))</f>
        <v>1</v>
      </c>
      <c r="S25" s="1570">
        <f ca="1" t="shared" si="11"/>
        <v>0</v>
      </c>
    </row>
    <row r="26" spans="1:19">
      <c r="A26" s="2539" t="s">
        <v>1300</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610</v>
      </c>
      <c r="O26" s="1595">
        <f t="shared" ref="O26:O89" si="18">(SUMIF($15:$15,N26,$16:$16)-SUMIF($15:$15,$N$24,$16:$16)+100)/100</f>
        <v>1</v>
      </c>
      <c r="P26" s="2541">
        <v>1</v>
      </c>
      <c r="Q26" s="1595">
        <f t="shared" ref="Q26:Q89" si="19">(SUMIF($17:$17,P26,$18:$18)-SUMIF($17:$17,$P$24,$18:$18)+100)/100</f>
        <v>1</v>
      </c>
      <c r="R26" s="2592">
        <f ca="1" t="shared" ref="R26:R89" si="20">IF(B26="",0,ROUND($R$24*C26*E26*G26*I26*K26*M26*O26*Q26,0))</f>
        <v>1</v>
      </c>
      <c r="S26" s="1570">
        <f ca="1" t="shared" si="11"/>
        <v>0</v>
      </c>
    </row>
    <row r="27" spans="1:19">
      <c r="A27" s="2539" t="s">
        <v>1301</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610</v>
      </c>
      <c r="O27" s="1595">
        <f t="shared" si="18"/>
        <v>1</v>
      </c>
      <c r="P27" s="2541">
        <v>2</v>
      </c>
      <c r="Q27" s="1595">
        <f t="shared" si="19"/>
        <v>0.75</v>
      </c>
      <c r="R27" s="2592">
        <f ca="1" t="shared" si="20"/>
        <v>1</v>
      </c>
      <c r="S27" s="1570">
        <f ca="1" t="shared" si="11"/>
        <v>0</v>
      </c>
    </row>
    <row r="28" spans="1:19">
      <c r="A28" s="2539" t="s">
        <v>1302</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610</v>
      </c>
      <c r="O28" s="1595">
        <f t="shared" si="18"/>
        <v>1</v>
      </c>
      <c r="P28" s="2541">
        <v>3</v>
      </c>
      <c r="Q28" s="1595">
        <f t="shared" si="19"/>
        <v>0.65</v>
      </c>
      <c r="R28" s="2592">
        <f ca="1" t="shared" si="20"/>
        <v>1</v>
      </c>
      <c r="S28" s="1570">
        <f ca="1" t="shared" si="11"/>
        <v>0</v>
      </c>
    </row>
    <row r="29" spans="1:19">
      <c r="A29" s="2539" t="s">
        <v>1303</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854</v>
      </c>
      <c r="O29" s="1595">
        <f t="shared" si="18"/>
        <v>1.06</v>
      </c>
      <c r="P29" s="2541">
        <v>1</v>
      </c>
      <c r="Q29" s="1595">
        <f t="shared" si="19"/>
        <v>1</v>
      </c>
      <c r="R29" s="2592">
        <f ca="1" t="shared" si="20"/>
        <v>1</v>
      </c>
      <c r="S29" s="1570">
        <f ca="1" t="shared" si="11"/>
        <v>0</v>
      </c>
    </row>
    <row r="30" spans="1:19">
      <c r="A30" s="2539" t="s">
        <v>1304</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854</v>
      </c>
      <c r="O30" s="1595">
        <f t="shared" si="18"/>
        <v>1.06</v>
      </c>
      <c r="P30" s="2541">
        <v>2</v>
      </c>
      <c r="Q30" s="1595">
        <f t="shared" si="19"/>
        <v>0.75</v>
      </c>
      <c r="R30" s="2592">
        <f ca="1" t="shared" si="20"/>
        <v>1</v>
      </c>
      <c r="S30" s="1570">
        <f ca="1" t="shared" si="11"/>
        <v>0</v>
      </c>
    </row>
    <row r="31" spans="1:19">
      <c r="A31" s="2539"/>
      <c r="B31" s="2540"/>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610</v>
      </c>
      <c r="O31" s="1595">
        <f t="shared" si="18"/>
        <v>1</v>
      </c>
      <c r="P31" s="2541"/>
      <c r="Q31" s="1595">
        <f t="shared" si="19"/>
        <v>0</v>
      </c>
      <c r="R31" s="2592">
        <f ca="1" t="shared" si="20"/>
        <v>0</v>
      </c>
      <c r="S31" s="1570">
        <f ca="1" t="shared" si="11"/>
        <v>0</v>
      </c>
    </row>
    <row r="32" spans="1:19">
      <c r="A32" s="2539"/>
      <c r="B32" s="2540"/>
      <c r="C32" s="1595">
        <f t="shared" si="12"/>
        <v>1</v>
      </c>
      <c r="D32" s="2541"/>
      <c r="E32" s="1595">
        <f t="shared" si="13"/>
        <v>1</v>
      </c>
      <c r="F32" s="2541"/>
      <c r="G32" s="1595">
        <f t="shared" si="14"/>
        <v>1</v>
      </c>
      <c r="H32" s="2541"/>
      <c r="I32" s="1595">
        <f t="shared" si="15"/>
        <v>1</v>
      </c>
      <c r="J32" s="2541"/>
      <c r="K32" s="1595">
        <f t="shared" si="16"/>
        <v>1</v>
      </c>
      <c r="L32" s="2541"/>
      <c r="M32" s="1595">
        <f t="shared" si="17"/>
        <v>1</v>
      </c>
      <c r="N32" s="2538" t="s">
        <v>610</v>
      </c>
      <c r="O32" s="1595">
        <f t="shared" si="18"/>
        <v>1</v>
      </c>
      <c r="P32" s="2541"/>
      <c r="Q32" s="1595">
        <f t="shared" si="19"/>
        <v>0</v>
      </c>
      <c r="R32" s="2592">
        <f ca="1" t="shared" si="20"/>
        <v>0</v>
      </c>
      <c r="S32" s="1570">
        <f ca="1"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610</v>
      </c>
      <c r="O33" s="1595">
        <f t="shared" si="18"/>
        <v>1</v>
      </c>
      <c r="P33" s="2541"/>
      <c r="Q33" s="1595">
        <f t="shared" si="19"/>
        <v>0</v>
      </c>
      <c r="R33" s="2592">
        <f ca="1" t="shared" si="20"/>
        <v>0</v>
      </c>
      <c r="S33" s="1570">
        <f ca="1"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610</v>
      </c>
      <c r="O34" s="1595">
        <f t="shared" si="18"/>
        <v>1</v>
      </c>
      <c r="P34" s="2541"/>
      <c r="Q34" s="1595">
        <f t="shared" si="19"/>
        <v>0</v>
      </c>
      <c r="R34" s="2592">
        <f ca="1" t="shared" si="20"/>
        <v>0</v>
      </c>
      <c r="S34" s="1570">
        <f ca="1"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610</v>
      </c>
      <c r="O35" s="1595">
        <f t="shared" si="18"/>
        <v>1</v>
      </c>
      <c r="P35" s="2541"/>
      <c r="Q35" s="1595">
        <f t="shared" si="19"/>
        <v>0</v>
      </c>
      <c r="R35" s="2592">
        <f ca="1" t="shared" si="20"/>
        <v>0</v>
      </c>
      <c r="S35" s="1570">
        <f ca="1"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610</v>
      </c>
      <c r="O36" s="1595">
        <f t="shared" si="18"/>
        <v>1</v>
      </c>
      <c r="P36" s="2541"/>
      <c r="Q36" s="1595">
        <f t="shared" si="19"/>
        <v>0</v>
      </c>
      <c r="R36" s="2592">
        <f ca="1" t="shared" si="20"/>
        <v>0</v>
      </c>
      <c r="S36" s="1570">
        <f ca="1"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610</v>
      </c>
      <c r="O37" s="1595">
        <f t="shared" si="18"/>
        <v>1</v>
      </c>
      <c r="P37" s="2541"/>
      <c r="Q37" s="1595">
        <f t="shared" si="19"/>
        <v>0</v>
      </c>
      <c r="R37" s="2592">
        <f ca="1" t="shared" si="20"/>
        <v>0</v>
      </c>
      <c r="S37" s="1570">
        <f ca="1"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610</v>
      </c>
      <c r="O38" s="1595">
        <f t="shared" si="18"/>
        <v>1</v>
      </c>
      <c r="P38" s="2541"/>
      <c r="Q38" s="1595">
        <f t="shared" si="19"/>
        <v>0</v>
      </c>
      <c r="R38" s="2592">
        <f ca="1" t="shared" si="20"/>
        <v>0</v>
      </c>
      <c r="S38" s="1570">
        <f ca="1"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610</v>
      </c>
      <c r="O39" s="1595">
        <f t="shared" si="18"/>
        <v>1</v>
      </c>
      <c r="P39" s="2541"/>
      <c r="Q39" s="1595">
        <f t="shared" si="19"/>
        <v>0</v>
      </c>
      <c r="R39" s="2592">
        <f ca="1" t="shared" si="20"/>
        <v>0</v>
      </c>
      <c r="S39" s="1570">
        <f ca="1"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610</v>
      </c>
      <c r="O40" s="1595">
        <f t="shared" si="18"/>
        <v>1</v>
      </c>
      <c r="P40" s="2541"/>
      <c r="Q40" s="1595">
        <f t="shared" si="19"/>
        <v>0</v>
      </c>
      <c r="R40" s="2592">
        <f ca="1" t="shared" si="20"/>
        <v>0</v>
      </c>
      <c r="S40" s="1570">
        <f ca="1" t="shared" si="11"/>
        <v>0</v>
      </c>
    </row>
    <row r="41" spans="1:19">
      <c r="A41" s="2539" t="s">
        <v>1305</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610</v>
      </c>
      <c r="O41" s="1595">
        <f t="shared" si="18"/>
        <v>1</v>
      </c>
      <c r="P41" s="2541" t="s">
        <v>841</v>
      </c>
      <c r="Q41" s="1595">
        <f t="shared" si="19"/>
        <v>0.5</v>
      </c>
      <c r="R41" s="2592">
        <f ca="1" t="shared" si="20"/>
        <v>1</v>
      </c>
      <c r="S41" s="1570">
        <f ca="1" t="shared" si="11"/>
        <v>0</v>
      </c>
    </row>
    <row r="42" spans="1:19">
      <c r="A42" s="2539" t="s">
        <v>1306</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610</v>
      </c>
      <c r="O42" s="1595">
        <f t="shared" si="18"/>
        <v>1</v>
      </c>
      <c r="P42" s="2541" t="s">
        <v>841</v>
      </c>
      <c r="Q42" s="1595">
        <f t="shared" si="19"/>
        <v>0.5</v>
      </c>
      <c r="R42" s="2592">
        <f ca="1" t="shared" si="20"/>
        <v>1</v>
      </c>
      <c r="S42" s="1570">
        <f ca="1" t="shared" si="11"/>
        <v>0</v>
      </c>
    </row>
    <row r="43" spans="1:19">
      <c r="A43" s="2539" t="s">
        <v>1307</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610</v>
      </c>
      <c r="O43" s="1595">
        <f t="shared" si="18"/>
        <v>1</v>
      </c>
      <c r="P43" s="2541">
        <v>1</v>
      </c>
      <c r="Q43" s="1595">
        <f t="shared" si="19"/>
        <v>1</v>
      </c>
      <c r="R43" s="2592">
        <f ca="1" t="shared" si="20"/>
        <v>1</v>
      </c>
      <c r="S43" s="1570">
        <f ca="1" t="shared" si="11"/>
        <v>0</v>
      </c>
    </row>
    <row r="44" spans="1:19">
      <c r="A44" s="2539" t="s">
        <v>1308</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610</v>
      </c>
      <c r="O44" s="1595">
        <f t="shared" si="18"/>
        <v>1</v>
      </c>
      <c r="P44" s="2541">
        <v>2</v>
      </c>
      <c r="Q44" s="1595">
        <f t="shared" si="19"/>
        <v>0.75</v>
      </c>
      <c r="R44" s="2592">
        <f ca="1" t="shared" si="20"/>
        <v>1</v>
      </c>
      <c r="S44" s="1570">
        <f ca="1" t="shared" si="11"/>
        <v>0</v>
      </c>
    </row>
    <row r="45" spans="1:19">
      <c r="A45" s="2539" t="s">
        <v>1309</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610</v>
      </c>
      <c r="O45" s="1595">
        <f t="shared" si="18"/>
        <v>1</v>
      </c>
      <c r="P45" s="2541">
        <v>2</v>
      </c>
      <c r="Q45" s="1595">
        <f t="shared" si="19"/>
        <v>0.75</v>
      </c>
      <c r="R45" s="2592">
        <f ca="1" t="shared" si="20"/>
        <v>1</v>
      </c>
      <c r="S45" s="1570">
        <f ca="1" t="shared" si="11"/>
        <v>0</v>
      </c>
    </row>
    <row r="46" spans="1:19">
      <c r="A46" s="2539" t="s">
        <v>1310</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610</v>
      </c>
      <c r="O46" s="1595">
        <f t="shared" si="18"/>
        <v>1</v>
      </c>
      <c r="P46" s="2541">
        <v>3</v>
      </c>
      <c r="Q46" s="1595">
        <f t="shared" si="19"/>
        <v>0.65</v>
      </c>
      <c r="R46" s="2592">
        <f ca="1" t="shared" si="20"/>
        <v>1</v>
      </c>
      <c r="S46" s="1570">
        <f ca="1" t="shared" si="11"/>
        <v>0</v>
      </c>
    </row>
    <row r="47" spans="1:19">
      <c r="A47" s="2539" t="s">
        <v>1311</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610</v>
      </c>
      <c r="O47" s="1595">
        <f t="shared" si="18"/>
        <v>1</v>
      </c>
      <c r="P47" s="2541">
        <v>4</v>
      </c>
      <c r="Q47" s="1595">
        <f t="shared" si="19"/>
        <v>0.6</v>
      </c>
      <c r="R47" s="2592">
        <f ca="1" t="shared" si="20"/>
        <v>1</v>
      </c>
      <c r="S47" s="1570">
        <f ca="1" t="shared" si="11"/>
        <v>0</v>
      </c>
    </row>
    <row r="48" spans="1:19">
      <c r="A48" s="2539" t="s">
        <v>1312</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610</v>
      </c>
      <c r="O48" s="1595">
        <f t="shared" si="18"/>
        <v>1</v>
      </c>
      <c r="P48" s="2541">
        <v>5</v>
      </c>
      <c r="Q48" s="1595">
        <f t="shared" si="19"/>
        <v>0.5</v>
      </c>
      <c r="R48" s="2592">
        <f ca="1" t="shared" si="20"/>
        <v>1</v>
      </c>
      <c r="S48" s="1570">
        <f ca="1" t="shared" si="11"/>
        <v>0</v>
      </c>
    </row>
    <row r="49" spans="1:19">
      <c r="A49" s="2539" t="s">
        <v>1313</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610</v>
      </c>
      <c r="O49" s="1595">
        <f t="shared" si="18"/>
        <v>1</v>
      </c>
      <c r="P49" s="2541" t="s">
        <v>841</v>
      </c>
      <c r="Q49" s="1595">
        <f t="shared" si="19"/>
        <v>0.5</v>
      </c>
      <c r="R49" s="2592">
        <f ca="1" t="shared" si="20"/>
        <v>1</v>
      </c>
      <c r="S49" s="1570">
        <f ca="1" t="shared" si="11"/>
        <v>0</v>
      </c>
    </row>
    <row r="50" spans="1:19">
      <c r="A50" s="2539" t="s">
        <v>1314</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610</v>
      </c>
      <c r="O50" s="1595">
        <f t="shared" si="18"/>
        <v>1</v>
      </c>
      <c r="P50" s="2541" t="s">
        <v>841</v>
      </c>
      <c r="Q50" s="1595">
        <f t="shared" si="19"/>
        <v>0.5</v>
      </c>
      <c r="R50" s="2592">
        <f ca="1" t="shared" si="20"/>
        <v>1</v>
      </c>
      <c r="S50" s="1570">
        <f ca="1" t="shared" si="11"/>
        <v>0</v>
      </c>
    </row>
    <row r="51" spans="1:19">
      <c r="A51" s="2539" t="s">
        <v>1315</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610</v>
      </c>
      <c r="O51" s="1595">
        <f t="shared" si="18"/>
        <v>1</v>
      </c>
      <c r="P51" s="2541">
        <v>1</v>
      </c>
      <c r="Q51" s="1595">
        <f t="shared" si="19"/>
        <v>1</v>
      </c>
      <c r="R51" s="2592">
        <f ca="1" t="shared" si="20"/>
        <v>1</v>
      </c>
      <c r="S51" s="1570">
        <f ca="1" t="shared" si="11"/>
        <v>0</v>
      </c>
    </row>
    <row r="52" spans="1:19">
      <c r="A52" s="2539" t="s">
        <v>1316</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610</v>
      </c>
      <c r="O52" s="1595">
        <f t="shared" si="18"/>
        <v>1</v>
      </c>
      <c r="P52" s="2541">
        <v>2</v>
      </c>
      <c r="Q52" s="1595">
        <f t="shared" si="19"/>
        <v>0.75</v>
      </c>
      <c r="R52" s="2592">
        <f ca="1" t="shared" si="20"/>
        <v>1</v>
      </c>
      <c r="S52" s="1570">
        <f ca="1" t="shared" si="11"/>
        <v>0</v>
      </c>
    </row>
    <row r="53" spans="1:19">
      <c r="A53" s="2539" t="s">
        <v>1317</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610</v>
      </c>
      <c r="O53" s="1595">
        <f t="shared" si="18"/>
        <v>1</v>
      </c>
      <c r="P53" s="2541">
        <v>2</v>
      </c>
      <c r="Q53" s="1595">
        <f t="shared" si="19"/>
        <v>0.75</v>
      </c>
      <c r="R53" s="2592">
        <f ca="1" t="shared" si="20"/>
        <v>1</v>
      </c>
      <c r="S53" s="1570">
        <f ca="1" t="shared" si="11"/>
        <v>0</v>
      </c>
    </row>
    <row r="54" spans="1:19">
      <c r="A54" s="2539" t="s">
        <v>1318</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610</v>
      </c>
      <c r="O54" s="1595">
        <f t="shared" si="18"/>
        <v>1</v>
      </c>
      <c r="P54" s="2541">
        <v>3</v>
      </c>
      <c r="Q54" s="1595">
        <f t="shared" si="19"/>
        <v>0.65</v>
      </c>
      <c r="R54" s="2592">
        <f ca="1" t="shared" si="20"/>
        <v>1</v>
      </c>
      <c r="S54" s="1570">
        <f ca="1" t="shared" si="11"/>
        <v>0</v>
      </c>
    </row>
    <row r="55" spans="1:19">
      <c r="A55" s="2539" t="s">
        <v>1319</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610</v>
      </c>
      <c r="O55" s="1595">
        <f t="shared" si="18"/>
        <v>1</v>
      </c>
      <c r="P55" s="2541" t="s">
        <v>841</v>
      </c>
      <c r="Q55" s="1595">
        <f t="shared" si="19"/>
        <v>0.5</v>
      </c>
      <c r="R55" s="2592">
        <f ca="1" t="shared" si="20"/>
        <v>1</v>
      </c>
      <c r="S55" s="1570">
        <f ca="1" t="shared" ref="S55:S77" si="21">ROUND(R55*B55/10000,0)</f>
        <v>0</v>
      </c>
    </row>
    <row r="56" spans="1:19">
      <c r="A56" s="2539" t="s">
        <v>1320</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610</v>
      </c>
      <c r="O56" s="1595">
        <f t="shared" si="18"/>
        <v>1</v>
      </c>
      <c r="P56" s="2541" t="s">
        <v>841</v>
      </c>
      <c r="Q56" s="1595">
        <f t="shared" si="19"/>
        <v>0.5</v>
      </c>
      <c r="R56" s="2592">
        <f ca="1" t="shared" si="20"/>
        <v>1</v>
      </c>
      <c r="S56" s="1570">
        <f ca="1" t="shared" si="21"/>
        <v>0</v>
      </c>
    </row>
    <row r="57" spans="1:19">
      <c r="A57" s="2539" t="s">
        <v>1321</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610</v>
      </c>
      <c r="O57" s="1595">
        <f t="shared" si="18"/>
        <v>1</v>
      </c>
      <c r="P57" s="2541">
        <v>1</v>
      </c>
      <c r="Q57" s="1595">
        <f t="shared" si="19"/>
        <v>1</v>
      </c>
      <c r="R57" s="2592">
        <f ca="1" t="shared" si="20"/>
        <v>1</v>
      </c>
      <c r="S57" s="1570">
        <f ca="1" t="shared" si="21"/>
        <v>0</v>
      </c>
    </row>
    <row r="58" spans="1:19">
      <c r="A58" s="2539" t="s">
        <v>1322</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610</v>
      </c>
      <c r="O58" s="1595">
        <f t="shared" si="18"/>
        <v>1</v>
      </c>
      <c r="P58" s="2541">
        <v>2</v>
      </c>
      <c r="Q58" s="1595">
        <f t="shared" si="19"/>
        <v>0.75</v>
      </c>
      <c r="R58" s="2592">
        <f ca="1" t="shared" si="20"/>
        <v>1</v>
      </c>
      <c r="S58" s="1570">
        <f ca="1" t="shared" si="21"/>
        <v>0</v>
      </c>
    </row>
    <row r="59" spans="1:19">
      <c r="A59" s="2539" t="s">
        <v>1323</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610</v>
      </c>
      <c r="O59" s="1595">
        <f t="shared" si="18"/>
        <v>1</v>
      </c>
      <c r="P59" s="2541">
        <v>2</v>
      </c>
      <c r="Q59" s="1595">
        <f t="shared" si="19"/>
        <v>0.75</v>
      </c>
      <c r="R59" s="2592">
        <f ca="1" t="shared" si="20"/>
        <v>1</v>
      </c>
      <c r="S59" s="1570">
        <f ca="1" t="shared" si="21"/>
        <v>0</v>
      </c>
    </row>
    <row r="60" spans="1:19">
      <c r="A60" s="2539" t="s">
        <v>1324</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610</v>
      </c>
      <c r="O60" s="1595">
        <f t="shared" si="18"/>
        <v>1</v>
      </c>
      <c r="P60" s="2541">
        <v>3</v>
      </c>
      <c r="Q60" s="1595">
        <f t="shared" si="19"/>
        <v>0.65</v>
      </c>
      <c r="R60" s="2592">
        <f ca="1" t="shared" si="20"/>
        <v>1</v>
      </c>
      <c r="S60" s="1570">
        <f ca="1" t="shared" si="21"/>
        <v>0</v>
      </c>
    </row>
    <row r="61" spans="1:19">
      <c r="A61" s="2539" t="s">
        <v>1325</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610</v>
      </c>
      <c r="O61" s="1595">
        <f t="shared" si="18"/>
        <v>1</v>
      </c>
      <c r="P61" s="2541">
        <v>4</v>
      </c>
      <c r="Q61" s="1595">
        <f t="shared" si="19"/>
        <v>0.6</v>
      </c>
      <c r="R61" s="2592">
        <f ca="1" t="shared" si="20"/>
        <v>1</v>
      </c>
      <c r="S61" s="1570">
        <f ca="1" t="shared" si="21"/>
        <v>0</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ca="1" t="shared" si="20"/>
        <v>0</v>
      </c>
      <c r="S62" s="1570">
        <f ca="1"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ca="1" t="shared" si="20"/>
        <v>0</v>
      </c>
      <c r="S63" s="1570">
        <f ca="1"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ca="1" t="shared" si="20"/>
        <v>0</v>
      </c>
      <c r="S64" s="1570">
        <f ca="1"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ca="1" t="shared" si="20"/>
        <v>0</v>
      </c>
      <c r="S65" s="1570">
        <f ca="1"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ca="1" t="shared" si="20"/>
        <v>0</v>
      </c>
      <c r="S66" s="1570">
        <f ca="1"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ca="1" t="shared" si="20"/>
        <v>0</v>
      </c>
      <c r="S67" s="1570">
        <f ca="1"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ca="1" t="shared" si="20"/>
        <v>0</v>
      </c>
      <c r="S68" s="1570">
        <f ca="1"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ca="1" t="shared" si="20"/>
        <v>0</v>
      </c>
      <c r="S69" s="1570">
        <f ca="1"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ca="1" t="shared" si="20"/>
        <v>0</v>
      </c>
      <c r="S70" s="1570">
        <f ca="1"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ca="1" t="shared" si="20"/>
        <v>0</v>
      </c>
      <c r="S71" s="1570">
        <f ca="1"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ca="1" t="shared" si="20"/>
        <v>0</v>
      </c>
      <c r="S72" s="1570">
        <f ca="1"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ca="1" t="shared" si="20"/>
        <v>0</v>
      </c>
      <c r="S73" s="1570">
        <f ca="1"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ca="1" t="shared" si="20"/>
        <v>0</v>
      </c>
      <c r="S74" s="1570">
        <f ca="1"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ca="1" t="shared" si="20"/>
        <v>0</v>
      </c>
      <c r="S75" s="1570">
        <f ca="1"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ca="1" t="shared" si="20"/>
        <v>0</v>
      </c>
      <c r="S76" s="1570">
        <f ca="1"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ca="1" t="shared" si="20"/>
        <v>0</v>
      </c>
      <c r="S77" s="1570">
        <f ca="1"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ca="1" t="shared" si="20"/>
        <v>0</v>
      </c>
      <c r="S78" s="1570">
        <f ca="1"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ca="1" t="shared" si="20"/>
        <v>0</v>
      </c>
      <c r="S79" s="1570">
        <f ca="1"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ca="1" t="shared" si="20"/>
        <v>0</v>
      </c>
      <c r="S80" s="1570">
        <f ca="1"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ca="1" t="shared" si="20"/>
        <v>0</v>
      </c>
      <c r="S81" s="1570">
        <f ca="1"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ca="1" t="shared" si="20"/>
        <v>0</v>
      </c>
      <c r="S82" s="1570">
        <f ca="1"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ca="1" t="shared" si="20"/>
        <v>0</v>
      </c>
      <c r="S83" s="1570">
        <f ca="1"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ca="1" t="shared" si="20"/>
        <v>0</v>
      </c>
      <c r="S84" s="1570">
        <f ca="1"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ca="1" t="shared" si="20"/>
        <v>0</v>
      </c>
      <c r="S85" s="1570">
        <f ca="1"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ca="1" t="shared" si="20"/>
        <v>0</v>
      </c>
      <c r="S86" s="1570">
        <f ca="1"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ca="1" t="shared" si="20"/>
        <v>0</v>
      </c>
      <c r="S87" s="1570">
        <f ca="1"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ca="1" t="shared" si="20"/>
        <v>0</v>
      </c>
      <c r="S88" s="1570">
        <f ca="1"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ca="1" t="shared" si="20"/>
        <v>0</v>
      </c>
      <c r="S89" s="1570">
        <f ca="1"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ca="1" t="shared" ref="R90:R153" si="31">IF(B90="",0,ROUND($R$24*C90*E90*G90*I90*K90*M90*O90*Q90,0))</f>
        <v>0</v>
      </c>
      <c r="S90" s="1570">
        <f ca="1"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ca="1" t="shared" si="31"/>
        <v>0</v>
      </c>
      <c r="S91" s="1570">
        <f ca="1"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ca="1" t="shared" si="31"/>
        <v>0</v>
      </c>
      <c r="S92" s="1570">
        <f ca="1"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ca="1" t="shared" si="31"/>
        <v>0</v>
      </c>
      <c r="S93" s="1570">
        <f ca="1"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ca="1" t="shared" si="31"/>
        <v>0</v>
      </c>
      <c r="S94" s="1570">
        <f ca="1"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ca="1" t="shared" si="31"/>
        <v>0</v>
      </c>
      <c r="S95" s="1570">
        <f ca="1"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ca="1" t="shared" si="31"/>
        <v>0</v>
      </c>
      <c r="S96" s="1570">
        <f ca="1"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ca="1" t="shared" si="31"/>
        <v>0</v>
      </c>
      <c r="S97" s="1570">
        <f ca="1"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ca="1" t="shared" si="31"/>
        <v>0</v>
      </c>
      <c r="S98" s="1570">
        <f ca="1"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ca="1" t="shared" si="31"/>
        <v>0</v>
      </c>
      <c r="S99" s="1570">
        <f ca="1"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ca="1" t="shared" si="31"/>
        <v>0</v>
      </c>
      <c r="S100" s="1570">
        <f ca="1"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ca="1" t="shared" si="31"/>
        <v>0</v>
      </c>
      <c r="S101" s="1570">
        <f ca="1"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ca="1" t="shared" si="31"/>
        <v>0</v>
      </c>
      <c r="S102" s="1570">
        <f ca="1"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ca="1" t="shared" si="31"/>
        <v>0</v>
      </c>
      <c r="S103" s="1570">
        <f ca="1"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ca="1" t="shared" si="31"/>
        <v>0</v>
      </c>
      <c r="S104" s="1570">
        <f ca="1"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ca="1" t="shared" si="31"/>
        <v>0</v>
      </c>
      <c r="S105" s="1570">
        <f ca="1"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ca="1" t="shared" si="31"/>
        <v>0</v>
      </c>
      <c r="S106" s="1570">
        <f ca="1"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ca="1" t="shared" si="31"/>
        <v>0</v>
      </c>
      <c r="S107" s="1570">
        <f ca="1"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ca="1" t="shared" si="31"/>
        <v>0</v>
      </c>
      <c r="S108" s="1570">
        <f ca="1"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ca="1" t="shared" si="31"/>
        <v>0</v>
      </c>
      <c r="S109" s="1570">
        <f ca="1"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ca="1" t="shared" si="31"/>
        <v>0</v>
      </c>
      <c r="S110" s="1570">
        <f ca="1"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ca="1" t="shared" si="31"/>
        <v>0</v>
      </c>
      <c r="S111" s="1570">
        <f ca="1"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ca="1" t="shared" si="31"/>
        <v>0</v>
      </c>
      <c r="S112" s="1570">
        <f ca="1"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ca="1" t="shared" si="31"/>
        <v>0</v>
      </c>
      <c r="S113" s="1570">
        <f ca="1"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ca="1" t="shared" si="31"/>
        <v>0</v>
      </c>
      <c r="S114" s="1570">
        <f ca="1"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ca="1" t="shared" si="31"/>
        <v>0</v>
      </c>
      <c r="S115" s="1570">
        <f ca="1"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ca="1" t="shared" si="31"/>
        <v>0</v>
      </c>
      <c r="S116" s="1570">
        <f ca="1"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ca="1" t="shared" si="31"/>
        <v>0</v>
      </c>
      <c r="S117" s="1570">
        <f ca="1"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ca="1" t="shared" si="31"/>
        <v>0</v>
      </c>
      <c r="S118" s="1570">
        <f ca="1"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ca="1" t="shared" si="31"/>
        <v>0</v>
      </c>
      <c r="S119" s="1570">
        <f ca="1"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ca="1" t="shared" si="31"/>
        <v>0</v>
      </c>
      <c r="S120" s="1570">
        <f ca="1"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ca="1" t="shared" si="31"/>
        <v>0</v>
      </c>
      <c r="S121" s="1570">
        <f ca="1"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ca="1" t="shared" si="31"/>
        <v>0</v>
      </c>
      <c r="S122" s="1570">
        <f ca="1"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ca="1" t="shared" si="31"/>
        <v>0</v>
      </c>
      <c r="S123" s="1570">
        <f ca="1"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ca="1" t="shared" si="31"/>
        <v>0</v>
      </c>
      <c r="S124" s="1570">
        <f ca="1"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ca="1" t="shared" si="31"/>
        <v>0</v>
      </c>
      <c r="S125" s="1570">
        <f ca="1"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ca="1" t="shared" si="31"/>
        <v>0</v>
      </c>
      <c r="S126" s="1570">
        <f ca="1"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ca="1" t="shared" si="31"/>
        <v>0</v>
      </c>
      <c r="S127" s="1570">
        <f ca="1"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ca="1" t="shared" si="31"/>
        <v>0</v>
      </c>
      <c r="S128" s="1570">
        <f ca="1"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ca="1" t="shared" si="31"/>
        <v>0</v>
      </c>
      <c r="S129" s="1570">
        <f ca="1"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ca="1" t="shared" si="31"/>
        <v>0</v>
      </c>
      <c r="S130" s="1570">
        <f ca="1"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ca="1" t="shared" si="31"/>
        <v>0</v>
      </c>
      <c r="S131" s="1570">
        <f ca="1"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ca="1" t="shared" si="31"/>
        <v>0</v>
      </c>
      <c r="S132" s="1570">
        <f ca="1"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ca="1" t="shared" si="31"/>
        <v>0</v>
      </c>
      <c r="S133" s="1570">
        <f ca="1"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ca="1" t="shared" si="31"/>
        <v>0</v>
      </c>
      <c r="S134" s="1570">
        <f ca="1"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ca="1" t="shared" si="31"/>
        <v>0</v>
      </c>
      <c r="S135" s="1570">
        <f ca="1"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ca="1" t="shared" si="31"/>
        <v>0</v>
      </c>
      <c r="S136" s="1570">
        <f ca="1"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ca="1" t="shared" si="31"/>
        <v>0</v>
      </c>
      <c r="S137" s="1570">
        <f ca="1"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ca="1" t="shared" si="31"/>
        <v>0</v>
      </c>
      <c r="S138" s="1570">
        <f ca="1"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ca="1" t="shared" si="31"/>
        <v>0</v>
      </c>
      <c r="S139" s="1570">
        <f ca="1"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ca="1" t="shared" si="31"/>
        <v>0</v>
      </c>
      <c r="S140" s="1570">
        <f ca="1"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ca="1" t="shared" si="31"/>
        <v>0</v>
      </c>
      <c r="S141" s="1570">
        <f ca="1"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ca="1" t="shared" si="31"/>
        <v>0</v>
      </c>
      <c r="S142" s="1570">
        <f ca="1"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ca="1" t="shared" si="31"/>
        <v>0</v>
      </c>
      <c r="S143" s="1570">
        <f ca="1"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ca="1" t="shared" si="31"/>
        <v>0</v>
      </c>
      <c r="S144" s="1570">
        <f ca="1"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ca="1" t="shared" si="31"/>
        <v>0</v>
      </c>
      <c r="S145" s="1570">
        <f ca="1"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ca="1" t="shared" si="31"/>
        <v>0</v>
      </c>
      <c r="S146" s="1570">
        <f ca="1"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ca="1" t="shared" si="31"/>
        <v>0</v>
      </c>
      <c r="S147" s="1570">
        <f ca="1"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ca="1" t="shared" si="31"/>
        <v>0</v>
      </c>
      <c r="S148" s="1570">
        <f ca="1"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ca="1" t="shared" si="31"/>
        <v>0</v>
      </c>
      <c r="S149" s="1570">
        <f ca="1"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ca="1" t="shared" si="31"/>
        <v>0</v>
      </c>
      <c r="S150" s="1570">
        <f ca="1"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ca="1" t="shared" si="31"/>
        <v>0</v>
      </c>
      <c r="S151" s="1570">
        <f ca="1"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ca="1" t="shared" si="31"/>
        <v>0</v>
      </c>
      <c r="S152" s="1570">
        <f ca="1"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ca="1" t="shared" si="31"/>
        <v>0</v>
      </c>
      <c r="S153" s="1570">
        <f ca="1"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ca="1" t="shared" ref="R154:R217" si="41">IF(B154="",0,ROUND($R$24*C154*E154*G154*I154*K154*M154*O154*Q154,0))</f>
        <v>0</v>
      </c>
      <c r="S154" s="1570">
        <f ca="1"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ca="1" t="shared" si="41"/>
        <v>0</v>
      </c>
      <c r="S155" s="1570">
        <f ca="1"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ca="1" t="shared" si="41"/>
        <v>0</v>
      </c>
      <c r="S156" s="1570">
        <f ca="1"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ca="1" t="shared" si="41"/>
        <v>0</v>
      </c>
      <c r="S157" s="1570">
        <f ca="1"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ca="1" t="shared" si="41"/>
        <v>0</v>
      </c>
      <c r="S158" s="1570">
        <f ca="1"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ca="1" t="shared" si="41"/>
        <v>0</v>
      </c>
      <c r="S159" s="1570">
        <f ca="1"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ca="1" t="shared" si="41"/>
        <v>0</v>
      </c>
      <c r="S160" s="1570">
        <f ca="1"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ca="1" t="shared" si="41"/>
        <v>0</v>
      </c>
      <c r="S161" s="1570">
        <f ca="1"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ca="1" t="shared" si="41"/>
        <v>0</v>
      </c>
      <c r="S162" s="1570">
        <f ca="1"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ca="1" t="shared" si="41"/>
        <v>0</v>
      </c>
      <c r="S163" s="1570">
        <f ca="1"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ca="1" t="shared" si="41"/>
        <v>0</v>
      </c>
      <c r="S164" s="1570">
        <f ca="1"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ca="1" t="shared" si="41"/>
        <v>0</v>
      </c>
      <c r="S165" s="1570">
        <f ca="1"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ca="1" t="shared" si="41"/>
        <v>0</v>
      </c>
      <c r="S166" s="1570">
        <f ca="1"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ca="1" t="shared" si="41"/>
        <v>0</v>
      </c>
      <c r="S167" s="1570">
        <f ca="1"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ca="1" t="shared" si="41"/>
        <v>0</v>
      </c>
      <c r="S168" s="1570">
        <f ca="1"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ca="1" t="shared" si="41"/>
        <v>0</v>
      </c>
      <c r="S169" s="1570">
        <f ca="1"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ca="1" t="shared" si="41"/>
        <v>0</v>
      </c>
      <c r="S170" s="1570">
        <f ca="1"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ca="1" t="shared" si="41"/>
        <v>0</v>
      </c>
      <c r="S171" s="1570">
        <f ca="1"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ca="1" t="shared" si="41"/>
        <v>0</v>
      </c>
      <c r="S172" s="1570">
        <f ca="1"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ca="1" t="shared" si="41"/>
        <v>0</v>
      </c>
      <c r="S173" s="1570">
        <f ca="1"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ca="1" t="shared" si="41"/>
        <v>0</v>
      </c>
      <c r="S174" s="1570">
        <f ca="1"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ca="1" t="shared" si="41"/>
        <v>0</v>
      </c>
      <c r="S175" s="1570">
        <f ca="1"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ca="1" t="shared" si="41"/>
        <v>0</v>
      </c>
      <c r="S176" s="1570">
        <f ca="1"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ca="1" t="shared" si="41"/>
        <v>0</v>
      </c>
      <c r="S177" s="1570">
        <f ca="1"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ca="1" t="shared" si="41"/>
        <v>0</v>
      </c>
      <c r="S178" s="1570">
        <f ca="1"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ca="1" t="shared" si="41"/>
        <v>0</v>
      </c>
      <c r="S179" s="1570">
        <f ca="1"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ca="1" t="shared" si="41"/>
        <v>0</v>
      </c>
      <c r="S180" s="1570">
        <f ca="1"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ca="1" t="shared" si="41"/>
        <v>0</v>
      </c>
      <c r="S181" s="1570">
        <f ca="1"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ca="1" t="shared" si="41"/>
        <v>0</v>
      </c>
      <c r="S182" s="1570">
        <f ca="1"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ca="1" t="shared" si="41"/>
        <v>0</v>
      </c>
      <c r="S183" s="1570">
        <f ca="1"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ca="1" t="shared" si="41"/>
        <v>0</v>
      </c>
      <c r="S184" s="1570">
        <f ca="1"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ca="1" t="shared" si="41"/>
        <v>0</v>
      </c>
      <c r="S185" s="1570">
        <f ca="1"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ca="1" t="shared" si="41"/>
        <v>0</v>
      </c>
      <c r="S186" s="1570">
        <f ca="1"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ca="1" t="shared" si="41"/>
        <v>0</v>
      </c>
      <c r="S187" s="1570">
        <f ca="1"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ca="1" t="shared" si="41"/>
        <v>0</v>
      </c>
      <c r="S188" s="1570">
        <f ca="1"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ca="1" t="shared" si="41"/>
        <v>0</v>
      </c>
      <c r="S189" s="1570">
        <f ca="1"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ca="1" t="shared" si="41"/>
        <v>0</v>
      </c>
      <c r="S190" s="1570">
        <f ca="1"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ca="1" t="shared" si="41"/>
        <v>0</v>
      </c>
      <c r="S191" s="1570">
        <f ca="1"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ca="1" t="shared" si="41"/>
        <v>0</v>
      </c>
      <c r="S192" s="1570">
        <f ca="1"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ca="1" t="shared" si="41"/>
        <v>0</v>
      </c>
      <c r="S193" s="1570">
        <f ca="1"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ca="1" t="shared" si="41"/>
        <v>0</v>
      </c>
      <c r="S194" s="1570">
        <f ca="1"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ca="1" t="shared" si="41"/>
        <v>0</v>
      </c>
      <c r="S195" s="1570">
        <f ca="1"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ca="1" t="shared" si="41"/>
        <v>0</v>
      </c>
      <c r="S196" s="1570">
        <f ca="1"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ca="1" t="shared" si="41"/>
        <v>0</v>
      </c>
      <c r="S197" s="1570">
        <f ca="1"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ca="1" t="shared" si="41"/>
        <v>0</v>
      </c>
      <c r="S198" s="1570">
        <f ca="1"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ca="1" t="shared" si="41"/>
        <v>0</v>
      </c>
      <c r="S199" s="1570">
        <f ca="1"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ca="1" t="shared" si="41"/>
        <v>0</v>
      </c>
      <c r="S200" s="1570">
        <f ca="1"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ca="1" t="shared" si="41"/>
        <v>0</v>
      </c>
      <c r="S201" s="1570">
        <f ca="1"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ca="1" t="shared" si="41"/>
        <v>0</v>
      </c>
      <c r="S202" s="1570">
        <f ca="1"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ca="1" t="shared" si="41"/>
        <v>0</v>
      </c>
      <c r="S203" s="1570">
        <f ca="1"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ca="1" t="shared" si="41"/>
        <v>0</v>
      </c>
      <c r="S204" s="1570">
        <f ca="1"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ca="1" t="shared" si="41"/>
        <v>0</v>
      </c>
      <c r="S205" s="1570">
        <f ca="1"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ca="1" t="shared" si="41"/>
        <v>0</v>
      </c>
      <c r="S206" s="1570">
        <f ca="1"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ca="1" t="shared" si="41"/>
        <v>0</v>
      </c>
      <c r="S207" s="1570">
        <f ca="1"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ca="1" t="shared" si="41"/>
        <v>0</v>
      </c>
      <c r="S208" s="1570">
        <f ca="1"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ca="1" t="shared" si="41"/>
        <v>0</v>
      </c>
      <c r="S209" s="1570">
        <f ca="1"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ca="1" t="shared" si="41"/>
        <v>0</v>
      </c>
      <c r="S210" s="1570">
        <f ca="1"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ca="1" t="shared" si="41"/>
        <v>0</v>
      </c>
      <c r="S211" s="1570">
        <f ca="1"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ca="1" t="shared" si="41"/>
        <v>0</v>
      </c>
      <c r="S212" s="1570">
        <f ca="1"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ca="1" t="shared" si="41"/>
        <v>0</v>
      </c>
      <c r="S213" s="1570">
        <f ca="1"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ca="1" t="shared" si="41"/>
        <v>0</v>
      </c>
      <c r="S214" s="1570">
        <f ca="1"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ca="1" t="shared" si="41"/>
        <v>0</v>
      </c>
      <c r="S215" s="1570">
        <f ca="1"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ca="1" t="shared" si="41"/>
        <v>0</v>
      </c>
      <c r="S216" s="1570">
        <f ca="1"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ca="1" t="shared" si="41"/>
        <v>0</v>
      </c>
      <c r="S217" s="1570">
        <f ca="1"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ca="1" t="shared" ref="R218:R281" si="51">IF(B218="",0,ROUND($R$24*C218*E218*G218*I218*K218*M218*O218*Q218,0))</f>
        <v>0</v>
      </c>
      <c r="S218" s="1570">
        <f ca="1"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ca="1" t="shared" si="51"/>
        <v>0</v>
      </c>
      <c r="S219" s="1570">
        <f ca="1"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ca="1" t="shared" si="51"/>
        <v>0</v>
      </c>
      <c r="S220" s="1570">
        <f ca="1"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ca="1" t="shared" si="51"/>
        <v>0</v>
      </c>
      <c r="S221" s="1570">
        <f ca="1"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ca="1" t="shared" si="51"/>
        <v>0</v>
      </c>
      <c r="S222" s="1570">
        <f ca="1"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ca="1" t="shared" si="51"/>
        <v>0</v>
      </c>
      <c r="S223" s="1570">
        <f ca="1"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ca="1" t="shared" si="51"/>
        <v>0</v>
      </c>
      <c r="S224" s="1570">
        <f ca="1"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ca="1" t="shared" si="51"/>
        <v>0</v>
      </c>
      <c r="S225" s="1570">
        <f ca="1"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ca="1" t="shared" si="51"/>
        <v>0</v>
      </c>
      <c r="S226" s="1570">
        <f ca="1"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ca="1" t="shared" si="51"/>
        <v>0</v>
      </c>
      <c r="S227" s="1570">
        <f ca="1"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ca="1" t="shared" si="51"/>
        <v>0</v>
      </c>
      <c r="S228" s="1570">
        <f ca="1"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ca="1" t="shared" si="51"/>
        <v>0</v>
      </c>
      <c r="S229" s="1570">
        <f ca="1"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ca="1" t="shared" si="51"/>
        <v>0</v>
      </c>
      <c r="S230" s="1570">
        <f ca="1"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ca="1" t="shared" si="51"/>
        <v>0</v>
      </c>
      <c r="S231" s="1570">
        <f ca="1"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ca="1" t="shared" si="51"/>
        <v>0</v>
      </c>
      <c r="S232" s="1570">
        <f ca="1"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ca="1" t="shared" si="51"/>
        <v>0</v>
      </c>
      <c r="S233" s="1570">
        <f ca="1"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ca="1" t="shared" si="51"/>
        <v>0</v>
      </c>
      <c r="S234" s="1570">
        <f ca="1"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ca="1" t="shared" si="51"/>
        <v>0</v>
      </c>
      <c r="S235" s="1570">
        <f ca="1"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ca="1" t="shared" si="51"/>
        <v>0</v>
      </c>
      <c r="S236" s="1570">
        <f ca="1"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ca="1" t="shared" si="51"/>
        <v>0</v>
      </c>
      <c r="S237" s="1570">
        <f ca="1"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ca="1" t="shared" si="51"/>
        <v>0</v>
      </c>
      <c r="S238" s="1570">
        <f ca="1"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ca="1" t="shared" si="51"/>
        <v>0</v>
      </c>
      <c r="S239" s="1570">
        <f ca="1"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ca="1" t="shared" si="51"/>
        <v>0</v>
      </c>
      <c r="S240" s="1570">
        <f ca="1"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ca="1" t="shared" si="51"/>
        <v>0</v>
      </c>
      <c r="S241" s="1570">
        <f ca="1"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ca="1" t="shared" si="51"/>
        <v>0</v>
      </c>
      <c r="S242" s="1570">
        <f ca="1"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ca="1" t="shared" si="51"/>
        <v>0</v>
      </c>
      <c r="S243" s="1570">
        <f ca="1"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ca="1" t="shared" si="51"/>
        <v>0</v>
      </c>
      <c r="S244" s="1570">
        <f ca="1"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ca="1" t="shared" si="51"/>
        <v>0</v>
      </c>
      <c r="S245" s="1570">
        <f ca="1"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ca="1" t="shared" si="51"/>
        <v>0</v>
      </c>
      <c r="S246" s="1570">
        <f ca="1"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ca="1" t="shared" si="51"/>
        <v>0</v>
      </c>
      <c r="S247" s="1570">
        <f ca="1"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ca="1" t="shared" si="51"/>
        <v>0</v>
      </c>
      <c r="S248" s="1570">
        <f ca="1"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ca="1" t="shared" si="51"/>
        <v>0</v>
      </c>
      <c r="S249" s="1570">
        <f ca="1"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ca="1" t="shared" si="51"/>
        <v>0</v>
      </c>
      <c r="S250" s="1570">
        <f ca="1"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ca="1" t="shared" si="51"/>
        <v>0</v>
      </c>
      <c r="S251" s="1570">
        <f ca="1"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ca="1" t="shared" si="51"/>
        <v>0</v>
      </c>
      <c r="S252" s="1570">
        <f ca="1"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ca="1" t="shared" si="51"/>
        <v>0</v>
      </c>
      <c r="S253" s="1570">
        <f ca="1"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ca="1" t="shared" si="51"/>
        <v>0</v>
      </c>
      <c r="S254" s="1570">
        <f ca="1"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ca="1" t="shared" si="51"/>
        <v>0</v>
      </c>
      <c r="S255" s="1570">
        <f ca="1"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ca="1" t="shared" si="51"/>
        <v>0</v>
      </c>
      <c r="S256" s="1570">
        <f ca="1"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ca="1" t="shared" si="51"/>
        <v>0</v>
      </c>
      <c r="S257" s="1570">
        <f ca="1"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ca="1" t="shared" si="51"/>
        <v>0</v>
      </c>
      <c r="S258" s="1570">
        <f ca="1"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ca="1" t="shared" si="51"/>
        <v>0</v>
      </c>
      <c r="S259" s="1570">
        <f ca="1"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ca="1" t="shared" si="51"/>
        <v>0</v>
      </c>
      <c r="S260" s="1570">
        <f ca="1"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ca="1" t="shared" si="51"/>
        <v>0</v>
      </c>
      <c r="S261" s="1570">
        <f ca="1"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ca="1" t="shared" si="51"/>
        <v>0</v>
      </c>
      <c r="S262" s="1570">
        <f ca="1"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ca="1" t="shared" si="51"/>
        <v>0</v>
      </c>
      <c r="S263" s="1570">
        <f ca="1"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ca="1" t="shared" si="51"/>
        <v>0</v>
      </c>
      <c r="S264" s="1570">
        <f ca="1"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ca="1" t="shared" si="51"/>
        <v>0</v>
      </c>
      <c r="S265" s="1570">
        <f ca="1"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ca="1" t="shared" si="51"/>
        <v>0</v>
      </c>
      <c r="S266" s="1570">
        <f ca="1"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ca="1" t="shared" si="51"/>
        <v>0</v>
      </c>
      <c r="S267" s="1570">
        <f ca="1"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ca="1" t="shared" si="51"/>
        <v>0</v>
      </c>
      <c r="S268" s="1570">
        <f ca="1"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ca="1" t="shared" si="51"/>
        <v>0</v>
      </c>
      <c r="S269" s="1570">
        <f ca="1"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ca="1" t="shared" si="51"/>
        <v>0</v>
      </c>
      <c r="S270" s="1570">
        <f ca="1"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ca="1" t="shared" si="51"/>
        <v>0</v>
      </c>
      <c r="S271" s="1570">
        <f ca="1"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ca="1" t="shared" si="51"/>
        <v>0</v>
      </c>
      <c r="S272" s="1570">
        <f ca="1"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ca="1" t="shared" si="51"/>
        <v>0</v>
      </c>
      <c r="S273" s="1570">
        <f ca="1"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ca="1" t="shared" si="51"/>
        <v>0</v>
      </c>
      <c r="S274" s="1570">
        <f ca="1"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ca="1" t="shared" si="51"/>
        <v>0</v>
      </c>
      <c r="S275" s="1570">
        <f ca="1"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ca="1" t="shared" si="51"/>
        <v>0</v>
      </c>
      <c r="S276" s="1570">
        <f ca="1"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ca="1" t="shared" si="51"/>
        <v>0</v>
      </c>
      <c r="S277" s="1570">
        <f ca="1"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ca="1" t="shared" si="51"/>
        <v>0</v>
      </c>
      <c r="S278" s="1570">
        <f ca="1"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ca="1" t="shared" si="51"/>
        <v>0</v>
      </c>
      <c r="S279" s="1570">
        <f ca="1"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ca="1" t="shared" si="51"/>
        <v>0</v>
      </c>
      <c r="S280" s="1570">
        <f ca="1"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ca="1" t="shared" si="51"/>
        <v>0</v>
      </c>
      <c r="S281" s="1570">
        <f ca="1"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ca="1" t="shared" ref="R282:R345" si="61">IF(B282="",0,ROUND($R$24*C282*E282*G282*I282*K282*M282*O282*Q282,0))</f>
        <v>0</v>
      </c>
      <c r="S282" s="1570">
        <f ca="1"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ca="1" t="shared" si="61"/>
        <v>0</v>
      </c>
      <c r="S283" s="1570">
        <f ca="1"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ca="1" t="shared" si="61"/>
        <v>0</v>
      </c>
      <c r="S284" s="1570">
        <f ca="1"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ca="1" t="shared" si="61"/>
        <v>0</v>
      </c>
      <c r="S285" s="1570">
        <f ca="1"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ca="1" t="shared" si="61"/>
        <v>0</v>
      </c>
      <c r="S286" s="1570">
        <f ca="1"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ca="1" t="shared" si="61"/>
        <v>0</v>
      </c>
      <c r="S287" s="1570">
        <f ca="1"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ca="1" t="shared" si="61"/>
        <v>0</v>
      </c>
      <c r="S288" s="1570">
        <f ca="1"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ca="1" t="shared" si="61"/>
        <v>0</v>
      </c>
      <c r="S289" s="1570">
        <f ca="1"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ca="1" t="shared" si="61"/>
        <v>0</v>
      </c>
      <c r="S290" s="1570">
        <f ca="1"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ca="1" t="shared" si="61"/>
        <v>0</v>
      </c>
      <c r="S291" s="1570">
        <f ca="1"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ca="1" t="shared" si="61"/>
        <v>0</v>
      </c>
      <c r="S292" s="1570">
        <f ca="1"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ca="1" t="shared" si="61"/>
        <v>0</v>
      </c>
      <c r="S293" s="1570">
        <f ca="1"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ca="1" t="shared" si="61"/>
        <v>0</v>
      </c>
      <c r="S294" s="1570">
        <f ca="1"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ca="1" t="shared" si="61"/>
        <v>0</v>
      </c>
      <c r="S295" s="1570">
        <f ca="1"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ca="1" t="shared" si="61"/>
        <v>0</v>
      </c>
      <c r="S296" s="1570">
        <f ca="1"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ca="1" t="shared" si="61"/>
        <v>0</v>
      </c>
      <c r="S297" s="1570">
        <f ca="1"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ca="1" t="shared" si="61"/>
        <v>0</v>
      </c>
      <c r="S298" s="1570">
        <f ca="1"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ca="1" t="shared" si="61"/>
        <v>0</v>
      </c>
      <c r="S299" s="1570">
        <f ca="1"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ca="1" t="shared" si="61"/>
        <v>0</v>
      </c>
      <c r="S300" s="1570">
        <f ca="1"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ca="1" t="shared" si="61"/>
        <v>0</v>
      </c>
      <c r="S301" s="1570">
        <f ca="1"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ca="1" t="shared" si="61"/>
        <v>0</v>
      </c>
      <c r="S302" s="1570">
        <f ca="1"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ca="1" t="shared" si="61"/>
        <v>0</v>
      </c>
      <c r="S303" s="1570">
        <f ca="1"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ca="1" t="shared" si="61"/>
        <v>0</v>
      </c>
      <c r="S304" s="1570">
        <f ca="1"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ca="1" t="shared" si="61"/>
        <v>0</v>
      </c>
      <c r="S305" s="1570">
        <f ca="1"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ca="1" t="shared" si="61"/>
        <v>0</v>
      </c>
      <c r="S306" s="1570">
        <f ca="1"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ca="1" t="shared" si="61"/>
        <v>0</v>
      </c>
      <c r="S307" s="1570">
        <f ca="1"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ca="1" t="shared" si="61"/>
        <v>0</v>
      </c>
      <c r="S308" s="1570">
        <f ca="1"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ca="1" t="shared" si="61"/>
        <v>0</v>
      </c>
      <c r="S309" s="1570">
        <f ca="1"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ca="1" t="shared" si="61"/>
        <v>0</v>
      </c>
      <c r="S310" s="1570">
        <f ca="1"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ca="1" t="shared" si="61"/>
        <v>0</v>
      </c>
      <c r="S311" s="1570">
        <f ca="1"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ca="1" t="shared" si="61"/>
        <v>0</v>
      </c>
      <c r="S312" s="1570">
        <f ca="1"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ca="1" t="shared" si="61"/>
        <v>0</v>
      </c>
      <c r="S313" s="1570">
        <f ca="1"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ca="1" t="shared" si="61"/>
        <v>0</v>
      </c>
      <c r="S314" s="1570">
        <f ca="1"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ca="1" t="shared" si="61"/>
        <v>0</v>
      </c>
      <c r="S315" s="1570">
        <f ca="1"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ca="1" t="shared" si="61"/>
        <v>0</v>
      </c>
      <c r="S316" s="1570">
        <f ca="1"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ca="1" t="shared" si="61"/>
        <v>0</v>
      </c>
      <c r="S317" s="1570">
        <f ca="1"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ca="1" t="shared" si="61"/>
        <v>0</v>
      </c>
      <c r="S318" s="1570">
        <f ca="1"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ca="1" t="shared" si="61"/>
        <v>0</v>
      </c>
      <c r="S319" s="1570">
        <f ca="1"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ca="1" t="shared" si="61"/>
        <v>0</v>
      </c>
      <c r="S320" s="1570">
        <f ca="1"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ca="1" t="shared" si="61"/>
        <v>0</v>
      </c>
      <c r="S321" s="1570">
        <f ca="1"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ca="1" t="shared" si="61"/>
        <v>0</v>
      </c>
      <c r="S322" s="1570">
        <f ca="1"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ca="1" t="shared" si="61"/>
        <v>0</v>
      </c>
      <c r="S323" s="1570">
        <f ca="1"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ca="1" t="shared" si="61"/>
        <v>0</v>
      </c>
      <c r="S324" s="1570">
        <f ca="1"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ca="1" t="shared" si="61"/>
        <v>0</v>
      </c>
      <c r="S325" s="1570">
        <f ca="1"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ca="1" t="shared" si="61"/>
        <v>0</v>
      </c>
      <c r="S326" s="1570">
        <f ca="1"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ca="1" t="shared" si="61"/>
        <v>0</v>
      </c>
      <c r="S327" s="1570">
        <f ca="1"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ca="1" t="shared" si="61"/>
        <v>0</v>
      </c>
      <c r="S328" s="1570">
        <f ca="1"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ca="1" t="shared" si="61"/>
        <v>0</v>
      </c>
      <c r="S329" s="1570">
        <f ca="1"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ca="1" t="shared" si="61"/>
        <v>0</v>
      </c>
      <c r="S330" s="1570">
        <f ca="1"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ca="1" t="shared" si="61"/>
        <v>0</v>
      </c>
      <c r="S331" s="1570">
        <f ca="1"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ca="1" t="shared" si="61"/>
        <v>0</v>
      </c>
      <c r="S332" s="1570">
        <f ca="1"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ca="1" t="shared" si="61"/>
        <v>0</v>
      </c>
      <c r="S333" s="1570">
        <f ca="1"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ca="1" t="shared" si="61"/>
        <v>0</v>
      </c>
      <c r="S334" s="1570">
        <f ca="1"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ca="1" t="shared" si="61"/>
        <v>0</v>
      </c>
      <c r="S335" s="1570">
        <f ca="1"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ca="1" t="shared" si="61"/>
        <v>0</v>
      </c>
      <c r="S336" s="1570">
        <f ca="1"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ca="1" t="shared" si="61"/>
        <v>0</v>
      </c>
      <c r="S337" s="1570">
        <f ca="1"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ca="1" t="shared" si="61"/>
        <v>0</v>
      </c>
      <c r="S338" s="1570">
        <f ca="1"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ca="1" t="shared" si="61"/>
        <v>0</v>
      </c>
      <c r="S339" s="1570">
        <f ca="1"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ca="1" t="shared" si="61"/>
        <v>0</v>
      </c>
      <c r="S340" s="1570">
        <f ca="1"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ca="1" t="shared" si="61"/>
        <v>0</v>
      </c>
      <c r="S341" s="1570">
        <f ca="1"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ca="1" t="shared" si="61"/>
        <v>0</v>
      </c>
      <c r="S342" s="1570">
        <f ca="1"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ca="1" t="shared" si="61"/>
        <v>0</v>
      </c>
      <c r="S343" s="1570">
        <f ca="1"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ca="1" t="shared" si="61"/>
        <v>0</v>
      </c>
      <c r="S344" s="1570">
        <f ca="1"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ca="1" t="shared" si="61"/>
        <v>0</v>
      </c>
      <c r="S345" s="1570">
        <f ca="1"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ca="1" t="shared" ref="R346:R409" si="72">IF(B346="",0,ROUND($R$24*C346*E346*G346*I346*K346*M346*O346*Q346,0))</f>
        <v>0</v>
      </c>
      <c r="S346" s="1570">
        <f ca="1"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ca="1" t="shared" si="72"/>
        <v>0</v>
      </c>
      <c r="S347" s="1570">
        <f ca="1"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ca="1" t="shared" si="72"/>
        <v>0</v>
      </c>
      <c r="S348" s="1570">
        <f ca="1"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ca="1" t="shared" si="72"/>
        <v>0</v>
      </c>
      <c r="S349" s="1570">
        <f ca="1"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ca="1" t="shared" si="72"/>
        <v>0</v>
      </c>
      <c r="S350" s="1570">
        <f ca="1"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ca="1" t="shared" si="72"/>
        <v>0</v>
      </c>
      <c r="S351" s="1570">
        <f ca="1"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ca="1" t="shared" si="72"/>
        <v>0</v>
      </c>
      <c r="S352" s="1570">
        <f ca="1"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ca="1" t="shared" si="72"/>
        <v>0</v>
      </c>
      <c r="S353" s="1570">
        <f ca="1"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ca="1" t="shared" si="72"/>
        <v>0</v>
      </c>
      <c r="S354" s="1570">
        <f ca="1"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ca="1" t="shared" si="72"/>
        <v>0</v>
      </c>
      <c r="S355" s="1570">
        <f ca="1"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ca="1" t="shared" si="72"/>
        <v>0</v>
      </c>
      <c r="S356" s="1570">
        <f ca="1"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ca="1" t="shared" si="72"/>
        <v>0</v>
      </c>
      <c r="S357" s="1570">
        <f ca="1"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ca="1" t="shared" si="72"/>
        <v>0</v>
      </c>
      <c r="S358" s="1570">
        <f ca="1"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ca="1" t="shared" si="72"/>
        <v>0</v>
      </c>
      <c r="S359" s="1570">
        <f ca="1"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ca="1" t="shared" si="72"/>
        <v>0</v>
      </c>
      <c r="S360" s="1570">
        <f ca="1"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ca="1" t="shared" si="72"/>
        <v>0</v>
      </c>
      <c r="S361" s="1570">
        <f ca="1"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ca="1" t="shared" si="72"/>
        <v>0</v>
      </c>
      <c r="S362" s="1570">
        <f ca="1"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ca="1" t="shared" si="72"/>
        <v>0</v>
      </c>
      <c r="S363" s="1570">
        <f ca="1"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ca="1" t="shared" si="72"/>
        <v>0</v>
      </c>
      <c r="S364" s="1570">
        <f ca="1"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ca="1" t="shared" si="72"/>
        <v>0</v>
      </c>
      <c r="S365" s="1570">
        <f ca="1"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ca="1" t="shared" si="72"/>
        <v>0</v>
      </c>
      <c r="S366" s="1570">
        <f ca="1"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ca="1" t="shared" si="72"/>
        <v>0</v>
      </c>
      <c r="S367" s="1570">
        <f ca="1"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ca="1" t="shared" si="72"/>
        <v>0</v>
      </c>
      <c r="S368" s="1570">
        <f ca="1"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ca="1" t="shared" si="72"/>
        <v>0</v>
      </c>
      <c r="S369" s="1570">
        <f ca="1"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ca="1" t="shared" si="72"/>
        <v>0</v>
      </c>
      <c r="S370" s="1570">
        <f ca="1"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ca="1" t="shared" si="72"/>
        <v>0</v>
      </c>
      <c r="S371" s="1570">
        <f ca="1"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ca="1" t="shared" si="72"/>
        <v>0</v>
      </c>
      <c r="S372" s="1570">
        <f ca="1"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ca="1" t="shared" si="72"/>
        <v>0</v>
      </c>
      <c r="S373" s="1570">
        <f ca="1"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ca="1" t="shared" si="72"/>
        <v>0</v>
      </c>
      <c r="S374" s="1570">
        <f ca="1"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ca="1" t="shared" si="72"/>
        <v>0</v>
      </c>
      <c r="S375" s="1570">
        <f ca="1"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ca="1" t="shared" si="72"/>
        <v>0</v>
      </c>
      <c r="S376" s="1570">
        <f ca="1"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ca="1" t="shared" si="72"/>
        <v>0</v>
      </c>
      <c r="S377" s="1570">
        <f ca="1"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ca="1" t="shared" si="72"/>
        <v>0</v>
      </c>
      <c r="S378" s="1570">
        <f ca="1"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ca="1" t="shared" si="72"/>
        <v>0</v>
      </c>
      <c r="S379" s="1570">
        <f ca="1"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ca="1" t="shared" si="72"/>
        <v>0</v>
      </c>
      <c r="S380" s="1570">
        <f ca="1"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ca="1" t="shared" si="72"/>
        <v>0</v>
      </c>
      <c r="S381" s="1570">
        <f ca="1"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ca="1" t="shared" si="72"/>
        <v>0</v>
      </c>
      <c r="S382" s="1570">
        <f ca="1"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ca="1" t="shared" si="72"/>
        <v>0</v>
      </c>
      <c r="S383" s="1570">
        <f ca="1"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ca="1" t="shared" si="72"/>
        <v>0</v>
      </c>
      <c r="S384" s="1570">
        <f ca="1"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ca="1" t="shared" si="72"/>
        <v>0</v>
      </c>
      <c r="S385" s="1570">
        <f ca="1"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ca="1" t="shared" si="72"/>
        <v>0</v>
      </c>
      <c r="S386" s="1570">
        <f ca="1"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ca="1" t="shared" si="72"/>
        <v>0</v>
      </c>
      <c r="S387" s="1570">
        <f ca="1"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ca="1" t="shared" si="72"/>
        <v>0</v>
      </c>
      <c r="S388" s="1570">
        <f ca="1"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ca="1" t="shared" si="72"/>
        <v>0</v>
      </c>
      <c r="S389" s="1570">
        <f ca="1"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ca="1" t="shared" si="72"/>
        <v>0</v>
      </c>
      <c r="S390" s="1570">
        <f ca="1"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ca="1" t="shared" si="72"/>
        <v>0</v>
      </c>
      <c r="S391" s="1570">
        <f ca="1"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ca="1" t="shared" si="72"/>
        <v>0</v>
      </c>
      <c r="S392" s="1570">
        <f ca="1"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ca="1" t="shared" si="72"/>
        <v>0</v>
      </c>
      <c r="S393" s="1570">
        <f ca="1"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ca="1" t="shared" si="72"/>
        <v>0</v>
      </c>
      <c r="S394" s="1570">
        <f ca="1"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ca="1" t="shared" si="72"/>
        <v>0</v>
      </c>
      <c r="S395" s="1570">
        <f ca="1"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ca="1" t="shared" si="72"/>
        <v>0</v>
      </c>
      <c r="S396" s="1570">
        <f ca="1"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ca="1" t="shared" si="72"/>
        <v>0</v>
      </c>
      <c r="S397" s="1570">
        <f ca="1"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ca="1" t="shared" si="72"/>
        <v>0</v>
      </c>
      <c r="S398" s="1570">
        <f ca="1"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ca="1" t="shared" si="72"/>
        <v>0</v>
      </c>
      <c r="S399" s="1570">
        <f ca="1"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ca="1" t="shared" si="72"/>
        <v>0</v>
      </c>
      <c r="S400" s="1570">
        <f ca="1"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ca="1" t="shared" si="72"/>
        <v>0</v>
      </c>
      <c r="S401" s="1570">
        <f ca="1"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ca="1" t="shared" si="72"/>
        <v>0</v>
      </c>
      <c r="S402" s="1570">
        <f ca="1"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ca="1" t="shared" si="72"/>
        <v>0</v>
      </c>
      <c r="S403" s="1570">
        <f ca="1"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ca="1" t="shared" si="72"/>
        <v>0</v>
      </c>
      <c r="S404" s="1570">
        <f ca="1"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ca="1" t="shared" si="72"/>
        <v>0</v>
      </c>
      <c r="S405" s="1570">
        <f ca="1"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ca="1" t="shared" si="72"/>
        <v>0</v>
      </c>
      <c r="S406" s="1570">
        <f ca="1"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ca="1" t="shared" si="72"/>
        <v>0</v>
      </c>
      <c r="S407" s="1570">
        <f ca="1"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ca="1" t="shared" si="72"/>
        <v>0</v>
      </c>
      <c r="S408" s="1570">
        <f ca="1"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ca="1" t="shared" si="72"/>
        <v>0</v>
      </c>
      <c r="S409" s="1570">
        <f ca="1"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ca="1" t="shared" ref="R410:R473" si="82">IF(B410="",0,ROUND($R$24*C410*E410*G410*I410*K410*M410*O410*Q410,0))</f>
        <v>0</v>
      </c>
      <c r="S410" s="1570">
        <f ca="1"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ca="1" t="shared" si="82"/>
        <v>0</v>
      </c>
      <c r="S411" s="1570">
        <f ca="1"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ca="1" t="shared" si="82"/>
        <v>0</v>
      </c>
      <c r="S412" s="1570">
        <f ca="1"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ca="1" t="shared" si="82"/>
        <v>0</v>
      </c>
      <c r="S413" s="1570">
        <f ca="1"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ca="1" t="shared" si="82"/>
        <v>0</v>
      </c>
      <c r="S414" s="1570">
        <f ca="1"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ca="1" t="shared" si="82"/>
        <v>0</v>
      </c>
      <c r="S415" s="1570">
        <f ca="1"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ca="1" t="shared" si="82"/>
        <v>0</v>
      </c>
      <c r="S416" s="1570">
        <f ca="1"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ca="1" t="shared" si="82"/>
        <v>0</v>
      </c>
      <c r="S417" s="1570">
        <f ca="1"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ca="1" t="shared" si="82"/>
        <v>0</v>
      </c>
      <c r="S418" s="1570">
        <f ca="1"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ca="1" t="shared" si="82"/>
        <v>0</v>
      </c>
      <c r="S419" s="1570">
        <f ca="1"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ca="1" t="shared" si="82"/>
        <v>0</v>
      </c>
      <c r="S420" s="1570">
        <f ca="1"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ca="1" t="shared" si="82"/>
        <v>0</v>
      </c>
      <c r="S421" s="1570">
        <f ca="1"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ca="1" t="shared" si="82"/>
        <v>0</v>
      </c>
      <c r="S422" s="1570">
        <f ca="1"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ca="1" t="shared" si="82"/>
        <v>0</v>
      </c>
      <c r="S423" s="1570">
        <f ca="1"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ca="1" t="shared" si="82"/>
        <v>0</v>
      </c>
      <c r="S424" s="1570">
        <f ca="1"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ca="1" t="shared" si="82"/>
        <v>0</v>
      </c>
      <c r="S425" s="1570">
        <f ca="1"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ca="1" t="shared" si="82"/>
        <v>0</v>
      </c>
      <c r="S426" s="1570">
        <f ca="1"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ca="1" t="shared" si="82"/>
        <v>0</v>
      </c>
      <c r="S427" s="1570">
        <f ca="1"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ca="1" t="shared" si="82"/>
        <v>0</v>
      </c>
      <c r="S428" s="1570">
        <f ca="1"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ca="1" t="shared" si="82"/>
        <v>0</v>
      </c>
      <c r="S429" s="1570">
        <f ca="1"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ca="1" t="shared" si="82"/>
        <v>0</v>
      </c>
      <c r="S430" s="1570">
        <f ca="1"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ca="1" t="shared" si="82"/>
        <v>0</v>
      </c>
      <c r="S431" s="1570">
        <f ca="1"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ca="1" t="shared" si="82"/>
        <v>0</v>
      </c>
      <c r="S432" s="1570">
        <f ca="1"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ca="1" t="shared" si="82"/>
        <v>0</v>
      </c>
      <c r="S433" s="1570">
        <f ca="1"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ca="1" t="shared" si="82"/>
        <v>0</v>
      </c>
      <c r="S434" s="1570">
        <f ca="1"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ca="1" t="shared" si="82"/>
        <v>0</v>
      </c>
      <c r="S435" s="1570">
        <f ca="1"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ca="1" t="shared" si="82"/>
        <v>0</v>
      </c>
      <c r="S436" s="1570">
        <f ca="1"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ca="1" t="shared" si="82"/>
        <v>0</v>
      </c>
      <c r="S437" s="1570">
        <f ca="1"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ca="1" t="shared" si="82"/>
        <v>0</v>
      </c>
      <c r="S438" s="1570">
        <f ca="1"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ca="1" t="shared" si="82"/>
        <v>0</v>
      </c>
      <c r="S439" s="1570">
        <f ca="1"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ca="1" t="shared" si="82"/>
        <v>0</v>
      </c>
      <c r="S440" s="1570">
        <f ca="1"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ca="1" t="shared" si="82"/>
        <v>0</v>
      </c>
      <c r="S441" s="1570">
        <f ca="1"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ca="1" t="shared" si="82"/>
        <v>0</v>
      </c>
      <c r="S442" s="1570">
        <f ca="1"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ca="1" t="shared" si="82"/>
        <v>0</v>
      </c>
      <c r="S443" s="1570">
        <f ca="1"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ca="1" t="shared" si="82"/>
        <v>0</v>
      </c>
      <c r="S444" s="1570">
        <f ca="1"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ca="1" t="shared" si="82"/>
        <v>0</v>
      </c>
      <c r="S445" s="1570">
        <f ca="1"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ca="1" t="shared" si="82"/>
        <v>0</v>
      </c>
      <c r="S446" s="1570">
        <f ca="1"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ca="1" t="shared" si="82"/>
        <v>0</v>
      </c>
      <c r="S447" s="1570">
        <f ca="1"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ca="1" t="shared" si="82"/>
        <v>0</v>
      </c>
      <c r="S448" s="1570">
        <f ca="1"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ca="1" t="shared" si="82"/>
        <v>0</v>
      </c>
      <c r="S449" s="1570">
        <f ca="1"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ca="1" t="shared" si="82"/>
        <v>0</v>
      </c>
      <c r="S450" s="1570">
        <f ca="1"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ca="1" t="shared" si="82"/>
        <v>0</v>
      </c>
      <c r="S451" s="1570">
        <f ca="1"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ca="1" t="shared" si="82"/>
        <v>0</v>
      </c>
      <c r="S452" s="1570">
        <f ca="1"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ca="1" t="shared" si="82"/>
        <v>0</v>
      </c>
      <c r="S453" s="1570">
        <f ca="1"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ca="1" t="shared" si="82"/>
        <v>0</v>
      </c>
      <c r="S454" s="1570">
        <f ca="1"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ca="1" t="shared" si="82"/>
        <v>0</v>
      </c>
      <c r="S455" s="1570">
        <f ca="1"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ca="1" t="shared" si="82"/>
        <v>0</v>
      </c>
      <c r="S456" s="1570">
        <f ca="1"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ca="1" t="shared" si="82"/>
        <v>0</v>
      </c>
      <c r="S457" s="1570">
        <f ca="1"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ca="1" t="shared" si="82"/>
        <v>0</v>
      </c>
      <c r="S458" s="1570">
        <f ca="1"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ca="1" t="shared" si="82"/>
        <v>0</v>
      </c>
      <c r="S459" s="1570">
        <f ca="1"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ca="1" t="shared" si="82"/>
        <v>0</v>
      </c>
      <c r="S460" s="1570">
        <f ca="1"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ca="1" t="shared" si="82"/>
        <v>0</v>
      </c>
      <c r="S461" s="1570">
        <f ca="1"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ca="1" t="shared" si="82"/>
        <v>0</v>
      </c>
      <c r="S462" s="1570">
        <f ca="1"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ca="1" t="shared" si="82"/>
        <v>0</v>
      </c>
      <c r="S463" s="1570">
        <f ca="1"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ca="1" t="shared" si="82"/>
        <v>0</v>
      </c>
      <c r="S464" s="1570">
        <f ca="1"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ca="1" t="shared" si="82"/>
        <v>0</v>
      </c>
      <c r="S465" s="1570">
        <f ca="1"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ca="1" t="shared" si="82"/>
        <v>0</v>
      </c>
      <c r="S466" s="1570">
        <f ca="1"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ca="1" t="shared" si="82"/>
        <v>0</v>
      </c>
      <c r="S467" s="1570">
        <f ca="1"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ca="1" t="shared" si="82"/>
        <v>0</v>
      </c>
      <c r="S468" s="1570">
        <f ca="1"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ca="1" t="shared" si="82"/>
        <v>0</v>
      </c>
      <c r="S469" s="1570">
        <f ca="1"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ca="1" t="shared" si="82"/>
        <v>0</v>
      </c>
      <c r="S470" s="1570">
        <f ca="1"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ca="1" t="shared" si="82"/>
        <v>0</v>
      </c>
      <c r="S471" s="1570">
        <f ca="1"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ca="1" t="shared" si="82"/>
        <v>0</v>
      </c>
      <c r="S472" s="1570">
        <f ca="1"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ca="1" t="shared" si="82"/>
        <v>0</v>
      </c>
      <c r="S473" s="1570">
        <f ca="1"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ca="1" t="shared" ref="R474:R524" si="93">IF(B474="",0,ROUND($R$24*C474*E474*G474*I474*K474*M474*O474*Q474,0))</f>
        <v>0</v>
      </c>
      <c r="S474" s="1570">
        <f ca="1"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ca="1" t="shared" si="93"/>
        <v>0</v>
      </c>
      <c r="S475" s="1570">
        <f ca="1"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ca="1" t="shared" si="93"/>
        <v>0</v>
      </c>
      <c r="S476" s="1570">
        <f ca="1"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ca="1" t="shared" si="93"/>
        <v>0</v>
      </c>
      <c r="S477" s="1570">
        <f ca="1"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ca="1" t="shared" si="93"/>
        <v>0</v>
      </c>
      <c r="S478" s="1570">
        <f ca="1"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ca="1" t="shared" si="93"/>
        <v>0</v>
      </c>
      <c r="S479" s="1570">
        <f ca="1"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ca="1" t="shared" si="93"/>
        <v>0</v>
      </c>
      <c r="S480" s="1570">
        <f ca="1"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ca="1" t="shared" si="93"/>
        <v>0</v>
      </c>
      <c r="S481" s="1570">
        <f ca="1"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ca="1" t="shared" si="93"/>
        <v>0</v>
      </c>
      <c r="S482" s="1570">
        <f ca="1"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ca="1" t="shared" si="93"/>
        <v>0</v>
      </c>
      <c r="S483" s="1570">
        <f ca="1"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ca="1" t="shared" si="93"/>
        <v>0</v>
      </c>
      <c r="S484" s="1570">
        <f ca="1"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ca="1" t="shared" si="93"/>
        <v>0</v>
      </c>
      <c r="S485" s="1570">
        <f ca="1"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ca="1" t="shared" si="93"/>
        <v>0</v>
      </c>
      <c r="S486" s="1570">
        <f ca="1"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ca="1" t="shared" si="93"/>
        <v>0</v>
      </c>
      <c r="S487" s="1570">
        <f ca="1"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ca="1" t="shared" si="93"/>
        <v>0</v>
      </c>
      <c r="S488" s="1570">
        <f ca="1"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ca="1" t="shared" si="93"/>
        <v>0</v>
      </c>
      <c r="S489" s="1570">
        <f ca="1"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ca="1" t="shared" si="93"/>
        <v>0</v>
      </c>
      <c r="S490" s="1570">
        <f ca="1"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ca="1" t="shared" si="93"/>
        <v>0</v>
      </c>
      <c r="S491" s="1570">
        <f ca="1"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ca="1" t="shared" si="93"/>
        <v>0</v>
      </c>
      <c r="S492" s="1570">
        <f ca="1"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ca="1" t="shared" si="93"/>
        <v>0</v>
      </c>
      <c r="S493" s="1570">
        <f ca="1"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ca="1" t="shared" si="93"/>
        <v>0</v>
      </c>
      <c r="S494" s="1570">
        <f ca="1"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ca="1" t="shared" si="93"/>
        <v>0</v>
      </c>
      <c r="S495" s="1570">
        <f ca="1"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ca="1" t="shared" si="93"/>
        <v>0</v>
      </c>
      <c r="S496" s="1570">
        <f ca="1"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ca="1" t="shared" si="93"/>
        <v>0</v>
      </c>
      <c r="S497" s="1570">
        <f ca="1"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ca="1" t="shared" si="93"/>
        <v>0</v>
      </c>
      <c r="S498" s="1570">
        <f ca="1"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ca="1" t="shared" si="93"/>
        <v>0</v>
      </c>
      <c r="S499" s="1570">
        <f ca="1"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ca="1" t="shared" si="93"/>
        <v>0</v>
      </c>
      <c r="S500" s="1570">
        <f ca="1"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ca="1" t="shared" si="93"/>
        <v>0</v>
      </c>
      <c r="S501" s="1570">
        <f ca="1"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ca="1" t="shared" si="93"/>
        <v>0</v>
      </c>
      <c r="S502" s="1570">
        <f ca="1"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ca="1" t="shared" si="93"/>
        <v>0</v>
      </c>
      <c r="S503" s="1570">
        <f ca="1"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ca="1" t="shared" si="93"/>
        <v>0</v>
      </c>
      <c r="S504" s="1570">
        <f ca="1"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ca="1" t="shared" si="93"/>
        <v>0</v>
      </c>
      <c r="S505" s="1570">
        <f ca="1"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ca="1" t="shared" si="93"/>
        <v>0</v>
      </c>
      <c r="S506" s="1570">
        <f ca="1"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ca="1" t="shared" si="93"/>
        <v>0</v>
      </c>
      <c r="S507" s="1570">
        <f ca="1"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ca="1" t="shared" si="93"/>
        <v>0</v>
      </c>
      <c r="S508" s="1570">
        <f ca="1"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ca="1" t="shared" si="93"/>
        <v>0</v>
      </c>
      <c r="S509" s="1570">
        <f ca="1"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ca="1" t="shared" si="93"/>
        <v>0</v>
      </c>
      <c r="S510" s="1570">
        <f ca="1"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ca="1" t="shared" si="93"/>
        <v>0</v>
      </c>
      <c r="S511" s="1570">
        <f ca="1"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ca="1" t="shared" si="93"/>
        <v>0</v>
      </c>
      <c r="S512" s="1570">
        <f ca="1"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ca="1" t="shared" si="93"/>
        <v>0</v>
      </c>
      <c r="S513" s="1570">
        <f ca="1"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ca="1" t="shared" si="93"/>
        <v>0</v>
      </c>
      <c r="S514" s="1570">
        <f ca="1"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ca="1" t="shared" si="93"/>
        <v>0</v>
      </c>
      <c r="S515" s="1570">
        <f ca="1"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ca="1" t="shared" si="93"/>
        <v>0</v>
      </c>
      <c r="S516" s="1570">
        <f ca="1"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ca="1" t="shared" si="93"/>
        <v>0</v>
      </c>
      <c r="S517" s="1570">
        <f ca="1"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ca="1" t="shared" si="93"/>
        <v>0</v>
      </c>
      <c r="S518" s="1570">
        <f ca="1"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ca="1" t="shared" si="93"/>
        <v>0</v>
      </c>
      <c r="S519" s="1570">
        <f ca="1"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ca="1" t="shared" si="93"/>
        <v>0</v>
      </c>
      <c r="S520" s="1570">
        <f ca="1"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ca="1" t="shared" si="93"/>
        <v>0</v>
      </c>
      <c r="S521" s="1570">
        <f ca="1"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ca="1" t="shared" si="93"/>
        <v>0</v>
      </c>
      <c r="S522" s="1570">
        <f ca="1"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ca="1" t="shared" si="93"/>
        <v>0</v>
      </c>
      <c r="S523" s="1570">
        <f ca="1"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ca="1" t="shared" si="93"/>
        <v>0</v>
      </c>
      <c r="S524" s="15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61 N62:N524">
      <formula1>一修多修正项7</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27" t="s">
        <v>82</v>
      </c>
    </row>
    <row r="2" spans="1:1">
      <c r="A2" s="3628"/>
    </row>
    <row r="3" ht="18" spans="1:1">
      <c r="A3" s="3629" t="str">
        <f>项目基本情况!B5&amp;"："</f>
        <v>：</v>
      </c>
    </row>
    <row r="4" ht="18.75" spans="1:1">
      <c r="A4" s="3630" t="str">
        <f>"受贵公司委托，我公司对"&amp;项目基本情况!S1&amp;"进行了预评估。"</f>
        <v>受贵公司委托，我公司对北京市房地产市场价值进行了预评估。</v>
      </c>
    </row>
    <row r="5" ht="18.75" spans="1:1">
      <c r="A5" s="3631" t="s">
        <v>83</v>
      </c>
    </row>
    <row r="6" ht="18.75" spans="1:1">
      <c r="A6" s="3632" t="s">
        <v>84</v>
      </c>
    </row>
    <row r="7" ht="37.5" spans="1:1">
      <c r="A7" s="3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估价对象为北京市房地产，为所有。根据《国有土地使用证》[]，估价对象（分摊）出让国有建设用地使用权面积为0平方米，建筑面积为33735.37平方米。</v>
      </c>
    </row>
    <row r="8" ht="56.25" spans="1:1">
      <c r="A8" s="3633" t="s">
        <v>85</v>
      </c>
    </row>
    <row r="9" ht="18.75" spans="1:1">
      <c r="A9" s="3632" t="s">
        <v>86</v>
      </c>
    </row>
    <row r="10" ht="56.25" spans="1:1">
      <c r="A10" s="363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估价对象为北京市房地产,属开发建设的，该项目尚在开发建设中。根据《国有土地使用证》[]，估价对象（分摊）出让国有建设用地使用权面积为0平方米，规划建筑面积为33735.37平方米。</v>
      </c>
    </row>
    <row r="11" ht="75" spans="1:1">
      <c r="A11" s="3633" t="s">
        <v>87</v>
      </c>
    </row>
    <row r="12" ht="18.75" spans="1:1">
      <c r="A12" s="3631" t="s">
        <v>88</v>
      </c>
    </row>
    <row r="13" ht="38.25" customHeight="1" spans="1:1">
      <c r="A13" s="3634" t="str">
        <f>IF(项目基本情况!B8="抵押",IF(项目基本情况!B5=项目基本情况!B6,定义!C51,定义!B51),定义!D51)</f>
        <v>为估价委托人了解估价对象房地产市场价值提供参考依据。</v>
      </c>
    </row>
    <row r="14" ht="18.75" spans="1:1">
      <c r="A14" s="3635" t="s">
        <v>89</v>
      </c>
    </row>
    <row r="15" ht="18" spans="1:1">
      <c r="A15" s="3636" t="str">
        <f>TEXT(项目基本情况!D3,"yyyy年m月d日;;")&amp;IF(项目基本情况!D3=项目基本情况!B3,"（评估专业人员实地查勘之日）","")</f>
        <v>2021年9月22日（评估专业人员实地查勘之日）</v>
      </c>
    </row>
    <row r="16" ht="18.75" spans="1:1">
      <c r="A16" s="3635" t="s">
        <v>90</v>
      </c>
    </row>
    <row r="17" ht="75" spans="1:1">
      <c r="A17" s="3630" t="s">
        <v>91</v>
      </c>
    </row>
    <row r="18" ht="56.25" spans="1:1">
      <c r="A18" s="3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30" t="str">
        <f>IF(项目基本情况!B9="房地产市场价值","——",IF(项目基本情况!E8="房地产抵押价值",定义!C54,IF(项目基本情况!E8="已注销",定义!C55,定义!C56)))</f>
        <v>——</v>
      </c>
    </row>
    <row r="21" ht="18" spans="1:1">
      <c r="A21" s="3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30" t="str">
        <f>IF(项目基本情况!B9="房地产市场价值","——",IF(项目基本情况!E9="——","",定义!C57))</f>
        <v>——</v>
      </c>
    </row>
    <row r="23" ht="18.75" spans="1:1">
      <c r="A23" s="3635" t="s">
        <v>92</v>
      </c>
    </row>
    <row r="24" ht="18" spans="1:1">
      <c r="A24" s="3582" t="str">
        <f>"本次评估采用的主估价方法为"&amp;'结果表--商业'!K4&amp;"和"&amp;'结果表--商业'!L4&amp;"。"</f>
        <v>本次评估采用的主估价方法为成本法和比较法。</v>
      </c>
    </row>
    <row r="25" ht="18" spans="1:1">
      <c r="A25" s="3582"/>
    </row>
    <row r="26" ht="18.75" spans="1:1">
      <c r="A26" s="3637"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9" sqref="G9"/>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1326</v>
      </c>
      <c r="B1" s="789" t="s">
        <v>459</v>
      </c>
      <c r="C1" s="151"/>
      <c r="D1" s="151"/>
      <c r="E1" s="151"/>
      <c r="F1" s="151"/>
      <c r="G1" s="791">
        <f>MATCH(B1,'数据-取费表'!A6:A16,0)+5</f>
        <v>6</v>
      </c>
    </row>
    <row r="2" s="141" customFormat="1" ht="18" customHeight="1" spans="1:7">
      <c r="A2" s="153" t="s">
        <v>1144</v>
      </c>
      <c r="B2" s="154">
        <f ca="1">IF(D2="——",C52,C52-E2)</f>
        <v>42165</v>
      </c>
      <c r="C2" s="152" t="s">
        <v>1145</v>
      </c>
      <c r="D2" s="793" t="s">
        <v>124</v>
      </c>
      <c r="E2" s="794" t="e">
        <f ca="1">SUMIF(INDIRECT("'"&amp;G2&amp;"'"&amp;"!A:A"),"承租人权益价值",INDIRECT("'"&amp;G2&amp;"'"&amp;"!c:c"))</f>
        <v>#REF!</v>
      </c>
      <c r="F2" s="795" t="s">
        <v>1145</v>
      </c>
      <c r="G2" s="796"/>
    </row>
    <row r="3" s="141" customFormat="1" ht="18" customHeight="1" spans="1:7">
      <c r="A3" s="156" t="s">
        <v>1146</v>
      </c>
      <c r="B3" s="157">
        <f ca="1">ROUND(B2*10000/(IF(B1="",'数据-汇总表'!E3,INDIRECT("'数据-取费表'!k"&amp;$G$1))),0)</f>
        <v>16983</v>
      </c>
      <c r="C3" s="152" t="s">
        <v>1327</v>
      </c>
      <c r="D3" s="152"/>
      <c r="E3" s="152"/>
      <c r="F3" s="152"/>
      <c r="G3" s="152"/>
    </row>
    <row r="4" s="142" customFormat="1" ht="15.75" spans="1:7">
      <c r="A4" s="158" t="s">
        <v>1328</v>
      </c>
      <c r="B4" s="159"/>
      <c r="C4" s="159"/>
      <c r="D4" s="159"/>
      <c r="E4" s="159"/>
      <c r="F4" s="159"/>
      <c r="G4" s="160"/>
    </row>
    <row r="5" s="143" customFormat="1" ht="13.5" customHeight="1" spans="1:7">
      <c r="A5" s="161" t="s">
        <v>1329</v>
      </c>
      <c r="B5" s="162" t="s">
        <v>1330</v>
      </c>
      <c r="C5" s="163">
        <f ca="1">C6+C7+C8</f>
        <v>23620</v>
      </c>
      <c r="D5" s="163" t="s">
        <v>1331</v>
      </c>
      <c r="E5" s="164" t="s">
        <v>1332</v>
      </c>
      <c r="F5" s="164" t="s">
        <v>1045</v>
      </c>
      <c r="G5" s="165"/>
    </row>
    <row r="6" s="143" customFormat="1" ht="13.5" customHeight="1" spans="1:7">
      <c r="A6" s="166" t="s">
        <v>1333</v>
      </c>
      <c r="B6" s="167" t="s">
        <v>1334</v>
      </c>
      <c r="C6" s="168">
        <f>'基准地价修正--商业'!B2</f>
        <v>22439</v>
      </c>
      <c r="D6" s="169"/>
      <c r="E6" s="170"/>
      <c r="F6" s="170"/>
      <c r="G6" s="171"/>
    </row>
    <row r="7" s="143" customFormat="1" ht="13.5" customHeight="1" spans="1:7">
      <c r="A7" s="166" t="s">
        <v>1335</v>
      </c>
      <c r="B7" s="167" t="s">
        <v>1336</v>
      </c>
      <c r="C7" s="172">
        <f>ROUND(C6*F7,0)</f>
        <v>684</v>
      </c>
      <c r="D7" s="172"/>
      <c r="E7" s="170"/>
      <c r="F7" s="173">
        <f>IF(项目基本情况!B8="出让",0,'数据-取费表'!B48+'数据-取费表'!B49)</f>
        <v>0.0305</v>
      </c>
      <c r="G7" s="171"/>
    </row>
    <row r="8" s="144" customFormat="1" spans="1:7">
      <c r="A8" s="166" t="s">
        <v>1337</v>
      </c>
      <c r="B8" s="167" t="s">
        <v>1338</v>
      </c>
      <c r="C8" s="172">
        <f ca="1">IF(G8="已包含在土地购买价格中","0",IF(B1="",'数据-取费表'!B29,IF(G9="全部缴纳",C9+C10,H9)))</f>
        <v>497</v>
      </c>
      <c r="D8" s="174"/>
      <c r="E8" s="172"/>
      <c r="F8" s="173"/>
      <c r="G8" s="797" t="s">
        <v>1339</v>
      </c>
    </row>
    <row r="9" s="143" customFormat="1" ht="13.5" customHeight="1" spans="1:9">
      <c r="A9" s="176" t="s">
        <v>1340</v>
      </c>
      <c r="B9" s="177" t="s">
        <v>1341</v>
      </c>
      <c r="C9" s="178">
        <f ca="1">ROUND(D9*E9/10000,0)</f>
        <v>0</v>
      </c>
      <c r="D9" s="179">
        <f ca="1">IF(B1="",'数据-汇总表'!E5,IF(INDIRECT("'数据-取费表'!c"&amp;$G$1)="住宅",INDIRECT("'数据-取费表'!k"&amp;$G$1),0))</f>
        <v>0</v>
      </c>
      <c r="E9" s="178">
        <f>'数据-取费表'!B27</f>
        <v>160</v>
      </c>
      <c r="F9" s="173"/>
      <c r="G9" s="804" t="s">
        <v>1342</v>
      </c>
      <c r="H9" s="805"/>
      <c r="I9" s="806" t="s">
        <v>1343</v>
      </c>
    </row>
    <row r="10" s="143" customFormat="1" ht="13.5" customHeight="1" spans="1:7">
      <c r="A10" s="176" t="s">
        <v>1344</v>
      </c>
      <c r="B10" s="177" t="s">
        <v>1345</v>
      </c>
      <c r="C10" s="178">
        <f ca="1">ROUND(D10*E10/10000,0)</f>
        <v>497</v>
      </c>
      <c r="D10" s="179">
        <f ca="1">IF(B1="",'数据-汇总表'!E6,IF(INDIRECT("'数据-取费表'!c"&amp;$G$1)="住宅",INDIRECT("'数据-取费表'!s"&amp;$G$1),INDIRECT("'数据-取费表'!k"&amp;$G$1)+INDIRECT("'数据-取费表'!s"&amp;$G$1)))</f>
        <v>24827.5</v>
      </c>
      <c r="E10" s="178">
        <f>'数据-取费表'!B28</f>
        <v>200</v>
      </c>
      <c r="F10" s="173"/>
      <c r="G10" s="180"/>
    </row>
    <row r="11" s="143" customFormat="1" ht="13.5" hidden="1" customHeight="1" spans="1:7">
      <c r="A11" s="181" t="s">
        <v>1346</v>
      </c>
      <c r="B11" s="167" t="s">
        <v>1347</v>
      </c>
      <c r="C11" s="163"/>
      <c r="D11" s="182"/>
      <c r="E11" s="170"/>
      <c r="F11" s="170"/>
      <c r="G11" s="171"/>
    </row>
    <row r="12" s="143" customFormat="1" ht="13.5" hidden="1" customHeight="1" spans="1:7">
      <c r="A12" s="181" t="s">
        <v>1348</v>
      </c>
      <c r="B12" s="167" t="s">
        <v>1081</v>
      </c>
      <c r="C12" s="163">
        <v>0</v>
      </c>
      <c r="D12" s="182"/>
      <c r="E12" s="183"/>
      <c r="F12" s="173">
        <v>0.0305</v>
      </c>
      <c r="G12" s="171"/>
    </row>
    <row r="13" s="143" customFormat="1" ht="13.5" hidden="1" customHeight="1" spans="1:7">
      <c r="A13" s="181" t="s">
        <v>1349</v>
      </c>
      <c r="B13" s="167" t="s">
        <v>1350</v>
      </c>
      <c r="C13" s="163"/>
      <c r="D13" s="182"/>
      <c r="E13" s="170"/>
      <c r="F13" s="170"/>
      <c r="G13" s="171"/>
    </row>
    <row r="14" s="143" customFormat="1" ht="13.5" hidden="1" customHeight="1" spans="1:7">
      <c r="A14" s="181" t="s">
        <v>1351</v>
      </c>
      <c r="B14" s="167" t="s">
        <v>1338</v>
      </c>
      <c r="C14" s="163"/>
      <c r="D14" s="182"/>
      <c r="E14" s="170"/>
      <c r="F14" s="170"/>
      <c r="G14" s="171" t="s">
        <v>1352</v>
      </c>
    </row>
    <row r="15" s="143" customFormat="1" ht="13.5" hidden="1" customHeight="1" spans="1:7">
      <c r="A15" s="181" t="s">
        <v>1353</v>
      </c>
      <c r="B15" s="167" t="s">
        <v>1354</v>
      </c>
      <c r="C15" s="172"/>
      <c r="D15" s="182"/>
      <c r="E15" s="170"/>
      <c r="F15" s="170"/>
      <c r="G15" s="171" t="s">
        <v>1355</v>
      </c>
    </row>
    <row r="16" s="143" customFormat="1" ht="13.5" hidden="1" customHeight="1" spans="1:7">
      <c r="A16" s="181" t="s">
        <v>1356</v>
      </c>
      <c r="B16" s="167" t="s">
        <v>1338</v>
      </c>
      <c r="C16" s="172"/>
      <c r="D16" s="182"/>
      <c r="E16" s="170"/>
      <c r="F16" s="170"/>
      <c r="G16" s="171"/>
    </row>
    <row r="17" s="143" customFormat="1" ht="13.5" hidden="1" customHeight="1" spans="1:7">
      <c r="A17" s="181" t="s">
        <v>1357</v>
      </c>
      <c r="B17" s="167" t="s">
        <v>1358</v>
      </c>
      <c r="C17" s="184"/>
      <c r="D17" s="185"/>
      <c r="E17" s="184"/>
      <c r="F17" s="184"/>
      <c r="G17" s="171" t="s">
        <v>1355</v>
      </c>
    </row>
    <row r="18" s="143" customFormat="1" ht="13.5" hidden="1" customHeight="1" spans="1:7">
      <c r="A18" s="181" t="s">
        <v>1359</v>
      </c>
      <c r="B18" s="167" t="s">
        <v>1360</v>
      </c>
      <c r="C18" s="172">
        <v>0</v>
      </c>
      <c r="D18" s="182"/>
      <c r="E18" s="170"/>
      <c r="F18" s="173">
        <v>0.0305</v>
      </c>
      <c r="G18" s="171" t="s">
        <v>1361</v>
      </c>
    </row>
    <row r="19" s="144" customFormat="1" ht="13.5" customHeight="1" spans="1:7">
      <c r="A19" s="161" t="s">
        <v>1362</v>
      </c>
      <c r="B19" s="162" t="s">
        <v>1363</v>
      </c>
      <c r="C19" s="163" t="str">
        <f ca="1">IF(G19="已包含在土地取得成本中","0",ROUND(D19*E19/10000,0))</f>
        <v>0</v>
      </c>
      <c r="D19" s="187">
        <f ca="1">D9+D10</f>
        <v>24827.5</v>
      </c>
      <c r="E19" s="163">
        <f>'数据-取费表'!B31</f>
        <v>200</v>
      </c>
      <c r="F19" s="188"/>
      <c r="G19" s="797" t="s">
        <v>1364</v>
      </c>
    </row>
    <row r="20" s="143" customFormat="1" ht="13.5" customHeight="1" spans="1:7">
      <c r="A20" s="161" t="s">
        <v>1365</v>
      </c>
      <c r="B20" s="162" t="s">
        <v>1366</v>
      </c>
      <c r="C20" s="189">
        <f ca="1">ROUND((C5+C19)*F20,0)</f>
        <v>236</v>
      </c>
      <c r="D20" s="189"/>
      <c r="E20" s="189"/>
      <c r="F20" s="190">
        <f>'数据-取费表'!B37</f>
        <v>0.01</v>
      </c>
      <c r="G20" s="194" t="s">
        <v>1367</v>
      </c>
    </row>
    <row r="21" s="143" customFormat="1" ht="13.5" customHeight="1" spans="1:7">
      <c r="A21" s="161" t="s">
        <v>1368</v>
      </c>
      <c r="B21" s="162" t="s">
        <v>1369</v>
      </c>
      <c r="C21" s="192">
        <f>F21</f>
        <v>0.01</v>
      </c>
      <c r="D21" s="193" t="s">
        <v>1370</v>
      </c>
      <c r="E21" s="189"/>
      <c r="F21" s="190">
        <f>'数据-取费表'!B38</f>
        <v>0.01</v>
      </c>
      <c r="G21" s="194" t="s">
        <v>1371</v>
      </c>
    </row>
    <row r="22" s="143" customFormat="1" ht="13.5" customHeight="1" spans="1:7">
      <c r="A22" s="161" t="s">
        <v>1372</v>
      </c>
      <c r="B22" s="162" t="s">
        <v>1373</v>
      </c>
      <c r="C22" s="195">
        <f ca="1">ROUND(SUM(C23:C25),0)</f>
        <v>2110</v>
      </c>
      <c r="D22" s="192">
        <f ca="1">C26</f>
        <v>0.0004</v>
      </c>
      <c r="E22" s="193" t="s">
        <v>1370</v>
      </c>
      <c r="F22" s="196">
        <f ca="1">'数据-取费表'!B40</f>
        <v>0.0435</v>
      </c>
      <c r="G22" s="194" t="str">
        <f>IF('数据-取费表'!B22&lt;=1,"单利计息","复利计息")</f>
        <v>复利计息</v>
      </c>
    </row>
    <row r="23" s="143" customFormat="1" ht="13.5" customHeight="1" spans="1:7">
      <c r="A23" s="197" t="s">
        <v>1333</v>
      </c>
      <c r="B23" s="167" t="s">
        <v>1374</v>
      </c>
      <c r="C23" s="198">
        <f ca="1">ROUND(IF('数据-取费表'!B22&lt;=1,C5*F22*'数据-取费表'!B23,C5*(POWER((1+F22),'数据-取费表'!B23)-1)),0)</f>
        <v>2100</v>
      </c>
      <c r="D23" s="199"/>
      <c r="E23" s="199"/>
      <c r="F23" s="200"/>
      <c r="G23" s="201" t="s">
        <v>1375</v>
      </c>
    </row>
    <row r="24" s="143" customFormat="1" ht="13.5" customHeight="1" spans="1:7">
      <c r="A24" s="197" t="s">
        <v>1335</v>
      </c>
      <c r="B24" s="167" t="s">
        <v>1376</v>
      </c>
      <c r="C24" s="198">
        <f ca="1">ROUND(IF('数据-取费表'!B22&lt;=1,C19*F22*('数据-取费表'!B19/2+'数据-取费表'!B21),C19*(POWER((1+F22),('数据-取费表'!B19/2+'数据-取费表'!B21))-1)),0)</f>
        <v>0</v>
      </c>
      <c r="D24" s="199"/>
      <c r="E24" s="199"/>
      <c r="F24" s="200"/>
      <c r="G24" s="201" t="s">
        <v>1377</v>
      </c>
    </row>
    <row r="25" s="143" customFormat="1" ht="24" spans="1:7">
      <c r="A25" s="197" t="s">
        <v>1337</v>
      </c>
      <c r="B25" s="167" t="s">
        <v>1378</v>
      </c>
      <c r="C25" s="198">
        <f ca="1">ROUND(IF('数据-取费表'!B22&lt;=1,C20*F22*'数据-取费表'!B23/2,C20*(POWER((1+F22),'数据-取费表'!B23/2)-1)),0)</f>
        <v>10</v>
      </c>
      <c r="D25" s="199"/>
      <c r="E25" s="202"/>
      <c r="F25" s="200"/>
      <c r="G25" s="203" t="s">
        <v>1379</v>
      </c>
    </row>
    <row r="26" s="143" customFormat="1" spans="1:7">
      <c r="A26" s="197" t="s">
        <v>1380</v>
      </c>
      <c r="B26" s="167" t="s">
        <v>1381</v>
      </c>
      <c r="C26" s="199">
        <f ca="1">ROUND(IF('数据-取费表'!B22&lt;=1,F21*F22*'数据-取费表'!B23/2,F21*(POWER((1+F22),'数据-取费表'!B23/2)-1)),4)</f>
        <v>0.0004</v>
      </c>
      <c r="D26" s="199"/>
      <c r="E26" s="202"/>
      <c r="F26" s="200"/>
      <c r="G26" s="204"/>
    </row>
    <row r="27" s="143" customFormat="1" ht="24.75" spans="1:7">
      <c r="A27" s="161" t="s">
        <v>1382</v>
      </c>
      <c r="B27" s="205" t="s">
        <v>1383</v>
      </c>
      <c r="C27" s="206">
        <f ca="1">C28</f>
        <v>3578</v>
      </c>
      <c r="D27" s="192">
        <f ca="1">C29</f>
        <v>0.0015</v>
      </c>
      <c r="E27" s="193" t="s">
        <v>1370</v>
      </c>
      <c r="F27" s="207">
        <f ca="1">IF(B1="",'数据-取费表'!Q16,INDIRECT("'数据-取费表'!q"&amp;$G$1))</f>
        <v>0.15</v>
      </c>
      <c r="G27" s="208" t="s">
        <v>1384</v>
      </c>
    </row>
    <row r="28" s="143" customFormat="1" ht="13.5" customHeight="1" spans="1:7">
      <c r="A28" s="197" t="s">
        <v>1333</v>
      </c>
      <c r="B28" s="209" t="s">
        <v>1385</v>
      </c>
      <c r="C28" s="210">
        <f ca="1">ROUND((C5+C19+C20)*F27*'数据-取费表'!B21/'数据-取费表'!B20,0)</f>
        <v>3578</v>
      </c>
      <c r="D28" s="192"/>
      <c r="E28" s="193"/>
      <c r="F28" s="207"/>
      <c r="G28" s="208"/>
    </row>
    <row r="29" s="143" customFormat="1" ht="13.5" customHeight="1" spans="1:7">
      <c r="A29" s="197" t="s">
        <v>1335</v>
      </c>
      <c r="B29" s="209" t="s">
        <v>1386</v>
      </c>
      <c r="C29" s="199">
        <f ca="1">ROUND(C21*F27*'数据-取费表'!B21/'数据-取费表'!B20,4)</f>
        <v>0.0015</v>
      </c>
      <c r="D29" s="192"/>
      <c r="E29" s="193"/>
      <c r="F29" s="207"/>
      <c r="G29" s="208"/>
    </row>
    <row r="30" s="143" customFormat="1" ht="13.5" customHeight="1" spans="1:7">
      <c r="A30" s="161" t="s">
        <v>1387</v>
      </c>
      <c r="B30" s="162" t="s">
        <v>1388</v>
      </c>
      <c r="C30" s="192">
        <f>ROUND(F30/(1+'数据-取费表'!C42),4)</f>
        <v>0.0533</v>
      </c>
      <c r="D30" s="193" t="s">
        <v>1370</v>
      </c>
      <c r="E30" s="202"/>
      <c r="F30" s="196">
        <f>'数据-取费表'!B41</f>
        <v>0.056</v>
      </c>
      <c r="G30" s="194" t="s">
        <v>1389</v>
      </c>
    </row>
    <row r="31" ht="16.5" customHeight="1" spans="1:7">
      <c r="A31" s="211">
        <v>1</v>
      </c>
      <c r="B31" s="162" t="s">
        <v>1390</v>
      </c>
      <c r="C31" s="163">
        <f ca="1">ROUND((C5+C19+C20+C22+C27)/(1-C21-D22-D27-C30),0)</f>
        <v>31605</v>
      </c>
      <c r="D31" s="212"/>
      <c r="E31" s="163"/>
      <c r="F31" s="213"/>
      <c r="G31" s="194" t="s">
        <v>1391</v>
      </c>
    </row>
    <row r="32" s="142" customFormat="1" ht="15.75" spans="1:7">
      <c r="A32" s="214" t="s">
        <v>1392</v>
      </c>
      <c r="B32" s="215"/>
      <c r="C32" s="215"/>
      <c r="D32" s="215"/>
      <c r="E32" s="215"/>
      <c r="F32" s="215"/>
      <c r="G32" s="216"/>
    </row>
    <row r="33" s="143" customFormat="1" ht="13.5" customHeight="1" spans="1:7">
      <c r="A33" s="161" t="s">
        <v>1329</v>
      </c>
      <c r="B33" s="162" t="s">
        <v>1393</v>
      </c>
      <c r="C33" s="217">
        <f ca="1">SUM(C34:C38)</f>
        <v>8620</v>
      </c>
      <c r="D33" s="189"/>
      <c r="E33" s="164"/>
      <c r="F33" s="202"/>
      <c r="G33" s="194"/>
    </row>
    <row r="34" s="145" customFormat="1" ht="13.5" customHeight="1" spans="1:7">
      <c r="A34" s="197" t="s">
        <v>1333</v>
      </c>
      <c r="B34" s="167" t="s">
        <v>1394</v>
      </c>
      <c r="C34" s="172">
        <f ca="1">IF(B1="",IF(F34=100%,'数据-取费表'!M16,'数据-取费表'!O16),IF(F34=100%,INDIRECT("'数据-取费表'!m"&amp;$G$1)+INDIRECT("'数据-取费表'!t"&amp;$G$1),INDIRECT("'数据-取费表'!o"&amp;$G$1)+INDIRECT("'数据-取费表'!aq"&amp;$G$1)))</f>
        <v>7773</v>
      </c>
      <c r="D34" s="169"/>
      <c r="E34" s="172"/>
      <c r="F34" s="218">
        <f ca="1">IF('数据-取费表'!B24=0,1,IF(B1="",'数据-取费表'!N16,INDIRECT("'数据-取费表'!n"&amp;$G$1)))</f>
        <v>1</v>
      </c>
      <c r="G34" s="171" t="s">
        <v>1395</v>
      </c>
    </row>
    <row r="35" ht="13.5" customHeight="1" spans="1:7">
      <c r="A35" s="197" t="s">
        <v>1335</v>
      </c>
      <c r="B35" s="167" t="s">
        <v>1396</v>
      </c>
      <c r="C35" s="172">
        <f ca="1">ROUND(C34*F35,0)</f>
        <v>233</v>
      </c>
      <c r="D35" s="172"/>
      <c r="E35" s="172"/>
      <c r="F35" s="219">
        <f>'数据-取费表'!B33</f>
        <v>0.03</v>
      </c>
      <c r="G35" s="171" t="s">
        <v>1397</v>
      </c>
    </row>
    <row r="36" ht="24" spans="1:7">
      <c r="A36" s="197" t="s">
        <v>1337</v>
      </c>
      <c r="B36" s="167" t="s">
        <v>1398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1399</v>
      </c>
    </row>
    <row r="37" s="145" customFormat="1" ht="13.5" customHeight="1" spans="1:7">
      <c r="A37" s="197" t="s">
        <v>1380</v>
      </c>
      <c r="B37" s="167" t="s">
        <v>1400</v>
      </c>
      <c r="C37" s="210">
        <f ca="1">ROUND(E37*D37*F34/10000,0)</f>
        <v>497</v>
      </c>
      <c r="D37" s="169">
        <f ca="1">D19</f>
        <v>24827.5</v>
      </c>
      <c r="E37" s="210">
        <f>'数据-取费表'!B35</f>
        <v>200</v>
      </c>
      <c r="F37" s="219"/>
      <c r="G37" s="221" t="s">
        <v>1401</v>
      </c>
    </row>
    <row r="38" ht="13.5" customHeight="1" spans="1:7">
      <c r="A38" s="197" t="s">
        <v>1402</v>
      </c>
      <c r="B38" s="167" t="s">
        <v>1081</v>
      </c>
      <c r="C38" s="172">
        <f ca="1">ROUND(C34*F38,0)</f>
        <v>117</v>
      </c>
      <c r="D38" s="172"/>
      <c r="E38" s="172"/>
      <c r="F38" s="219">
        <f>'数据-取费表'!B36</f>
        <v>0.015</v>
      </c>
      <c r="G38" s="171" t="s">
        <v>1397</v>
      </c>
    </row>
    <row r="39" s="143" customFormat="1" ht="13.5" customHeight="1" spans="1:7">
      <c r="A39" s="161" t="s">
        <v>1362</v>
      </c>
      <c r="B39" s="162" t="s">
        <v>1366</v>
      </c>
      <c r="C39" s="189">
        <f ca="1">ROUND(C33*F20,0)</f>
        <v>86</v>
      </c>
      <c r="D39" s="189"/>
      <c r="E39" s="189"/>
      <c r="F39" s="800">
        <f>F20</f>
        <v>0.01</v>
      </c>
      <c r="G39" s="194" t="s">
        <v>1403</v>
      </c>
    </row>
    <row r="40" s="143" customFormat="1" ht="13.5" customHeight="1" spans="1:7">
      <c r="A40" s="161" t="s">
        <v>1365</v>
      </c>
      <c r="B40" s="162" t="s">
        <v>1369</v>
      </c>
      <c r="C40" s="801">
        <f>F21</f>
        <v>0.01</v>
      </c>
      <c r="D40" s="193" t="s">
        <v>1404</v>
      </c>
      <c r="E40" s="189"/>
      <c r="F40" s="800">
        <f>F21</f>
        <v>0.01</v>
      </c>
      <c r="G40" s="194" t="s">
        <v>1405</v>
      </c>
    </row>
    <row r="41" s="143" customFormat="1" ht="13.5" customHeight="1" spans="1:7">
      <c r="A41" s="161" t="s">
        <v>1368</v>
      </c>
      <c r="B41" s="162" t="s">
        <v>1373</v>
      </c>
      <c r="C41" s="189">
        <f ca="1">ROUND(SUM(C42:C43),0)</f>
        <v>379</v>
      </c>
      <c r="D41" s="192">
        <f ca="1">C44</f>
        <v>0.0004</v>
      </c>
      <c r="E41" s="193" t="s">
        <v>1404</v>
      </c>
      <c r="F41" s="802">
        <f ca="1">F22</f>
        <v>0.0435</v>
      </c>
      <c r="G41" s="194" t="str">
        <f>IF('数据-取费表'!B22&lt;=1,"单利计息","复利计息")</f>
        <v>复利计息</v>
      </c>
    </row>
    <row r="42" ht="13.5" customHeight="1" spans="1:7">
      <c r="A42" s="197" t="s">
        <v>1333</v>
      </c>
      <c r="B42" s="167" t="s">
        <v>1374</v>
      </c>
      <c r="C42" s="199">
        <f ca="1">ROUND(IF('数据-取费表'!B22&lt;=1,C33*F22*'数据-取费表'!B21/2,C33*(POWER((1+F22),'数据-取费表'!B21/2)-1)),0)</f>
        <v>375</v>
      </c>
      <c r="D42" s="199"/>
      <c r="E42" s="199"/>
      <c r="F42" s="200"/>
      <c r="G42" s="223" t="s">
        <v>1406</v>
      </c>
    </row>
    <row r="43" ht="13.5" customHeight="1" spans="1:7">
      <c r="A43" s="197" t="s">
        <v>1335</v>
      </c>
      <c r="B43" s="167" t="s">
        <v>1376</v>
      </c>
      <c r="C43" s="199">
        <f ca="1">ROUND(IF('数据-取费表'!B22&lt;=1,C39*F22*'数据-取费表'!B21/2,C39*(POWER((1+F22),'数据-取费表'!B21/2)-1)),0)</f>
        <v>4</v>
      </c>
      <c r="D43" s="199"/>
      <c r="E43" s="199"/>
      <c r="F43" s="200"/>
      <c r="G43" s="224"/>
    </row>
    <row r="44" ht="13.5" customHeight="1" spans="1:7">
      <c r="A44" s="197" t="s">
        <v>1337</v>
      </c>
      <c r="B44" s="167" t="s">
        <v>1378</v>
      </c>
      <c r="C44" s="199">
        <f ca="1">ROUND(IF('数据-取费表'!B22&lt;=1,C40*F22*'数据-取费表'!B21/2,C40*(POWER((1+F22),'数据-取费表'!B21/2)-1)),4)</f>
        <v>0.0004</v>
      </c>
      <c r="D44" s="199"/>
      <c r="E44" s="199"/>
      <c r="F44" s="200"/>
      <c r="G44" s="225"/>
    </row>
    <row r="45" s="143" customFormat="1" ht="13.5" customHeight="1" spans="1:7">
      <c r="A45" s="161" t="s">
        <v>1372</v>
      </c>
      <c r="B45" s="205" t="s">
        <v>1383</v>
      </c>
      <c r="C45" s="206">
        <f ca="1">C46</f>
        <v>1306</v>
      </c>
      <c r="D45" s="192">
        <f ca="1">C47</f>
        <v>0.0015</v>
      </c>
      <c r="E45" s="193" t="s">
        <v>1404</v>
      </c>
      <c r="F45" s="803">
        <f ca="1">F27</f>
        <v>0.15</v>
      </c>
      <c r="G45" s="208" t="s">
        <v>1407</v>
      </c>
    </row>
    <row r="46" s="143" customFormat="1" ht="13.5" customHeight="1" spans="1:7">
      <c r="A46" s="197" t="s">
        <v>1333</v>
      </c>
      <c r="B46" s="209" t="s">
        <v>1408</v>
      </c>
      <c r="C46" s="210">
        <f ca="1">ROUND((C33+C39)*F27,0)</f>
        <v>1306</v>
      </c>
      <c r="D46" s="226"/>
      <c r="E46" s="193"/>
      <c r="F46" s="207"/>
      <c r="G46" s="208"/>
    </row>
    <row r="47" s="143" customFormat="1" ht="13.5" customHeight="1" spans="1:7">
      <c r="A47" s="197" t="s">
        <v>1335</v>
      </c>
      <c r="B47" s="209" t="s">
        <v>1409</v>
      </c>
      <c r="C47" s="199">
        <f ca="1">ROUND(C40*F27,4)</f>
        <v>0.0015</v>
      </c>
      <c r="D47" s="226"/>
      <c r="E47" s="193"/>
      <c r="F47" s="207"/>
      <c r="G47" s="208"/>
    </row>
    <row r="48" s="143" customFormat="1" ht="13.5" customHeight="1" spans="1:7">
      <c r="A48" s="161" t="s">
        <v>1382</v>
      </c>
      <c r="B48" s="162" t="s">
        <v>1388</v>
      </c>
      <c r="C48" s="801">
        <f>ROUND(F30/(1+'数据-取费表'!C42),4)</f>
        <v>0.0533</v>
      </c>
      <c r="D48" s="193" t="s">
        <v>1404</v>
      </c>
      <c r="E48" s="189"/>
      <c r="F48" s="802">
        <f>F30</f>
        <v>0.056</v>
      </c>
      <c r="G48" s="194" t="s">
        <v>1410</v>
      </c>
    </row>
    <row r="49" ht="16.5" customHeight="1" spans="1:7">
      <c r="A49" s="161" t="s">
        <v>1387</v>
      </c>
      <c r="B49" s="162" t="s">
        <v>1411</v>
      </c>
      <c r="C49" s="189">
        <f ca="1">ROUND((C33+C39+C41+C45)/(1-C40-D41-D45-C48),0)</f>
        <v>11116</v>
      </c>
      <c r="D49" s="189"/>
      <c r="E49" s="189"/>
      <c r="F49" s="227"/>
      <c r="G49" s="194" t="s">
        <v>1412</v>
      </c>
    </row>
    <row r="50" s="145" customFormat="1" ht="24" spans="1:7">
      <c r="A50" s="161" t="s">
        <v>1413</v>
      </c>
      <c r="B50" s="162" t="s">
        <v>1414</v>
      </c>
      <c r="C50" s="189"/>
      <c r="D50" s="189"/>
      <c r="E50" s="189"/>
      <c r="F50" s="227">
        <f>IF('数据-取费表'!B24=0,'数据-取费表'!N16,1)</f>
        <v>0.95</v>
      </c>
      <c r="G50" s="208" t="s">
        <v>1415</v>
      </c>
    </row>
    <row r="51" ht="16.5" customHeight="1" spans="1:7">
      <c r="A51" s="161" t="s">
        <v>1416</v>
      </c>
      <c r="B51" s="162" t="s">
        <v>1417</v>
      </c>
      <c r="C51" s="189">
        <f ca="1">ROUND(C49*F50,0)</f>
        <v>10560</v>
      </c>
      <c r="D51" s="189"/>
      <c r="E51" s="189"/>
      <c r="F51" s="227"/>
      <c r="G51" s="194" t="s">
        <v>1418</v>
      </c>
    </row>
    <row r="52" s="142" customFormat="1" ht="16.5" spans="1:7">
      <c r="A52" s="228" t="s">
        <v>1419</v>
      </c>
      <c r="B52" s="229"/>
      <c r="C52" s="230">
        <f ca="1">C31+C51</f>
        <v>42165</v>
      </c>
      <c r="D52" s="229"/>
      <c r="E52" s="229"/>
      <c r="F52" s="229"/>
      <c r="G52" s="231"/>
    </row>
    <row r="55" ht="15" spans="2:3">
      <c r="B55" s="232" t="s">
        <v>1420</v>
      </c>
      <c r="C55" s="233"/>
    </row>
    <row r="56" spans="2:3">
      <c r="B56" s="234" t="s">
        <v>1421</v>
      </c>
      <c r="C56" s="236">
        <f ca="1">1-C57</f>
        <v>0.75</v>
      </c>
    </row>
    <row r="57" spans="2:3">
      <c r="B57" s="234" t="s">
        <v>1422</v>
      </c>
      <c r="C57" s="235">
        <f ca="1">ROUND(C51/C52,3)</f>
        <v>0.25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4" workbookViewId="0">
      <selection activeCell="P46" sqref="P46"/>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1423</v>
      </c>
      <c r="B1" s="150"/>
      <c r="C1" s="153" t="s">
        <v>1147</v>
      </c>
      <c r="D1" s="456">
        <f>SUM(D29:D30,D33:D39)</f>
        <v>24827.5</v>
      </c>
      <c r="E1" s="457"/>
      <c r="F1" s="457"/>
      <c r="G1" s="457"/>
      <c r="H1" s="457"/>
      <c r="I1" s="457"/>
      <c r="J1" s="457"/>
      <c r="K1" s="449"/>
      <c r="L1" s="640" t="s">
        <v>1424</v>
      </c>
      <c r="M1" s="641">
        <f>SUMPRODUCT((区片价!B5:B9=I2)*(区片价!C3:F3=E2)*(区片价!C5:F9))</f>
        <v>0</v>
      </c>
      <c r="N1" s="642">
        <f>SUMPRODUCT((因素修正幅度!B5:B9=I2)*(因素修正幅度!C3:F3=E2)*(因素修正幅度!C5:F9))</f>
        <v>0</v>
      </c>
      <c r="O1" s="450"/>
      <c r="P1" s="450"/>
      <c r="Q1" s="449"/>
      <c r="R1" s="723" t="s">
        <v>1425</v>
      </c>
      <c r="S1" s="723" t="s">
        <v>1426</v>
      </c>
      <c r="T1" s="723" t="s">
        <v>1427</v>
      </c>
      <c r="U1" s="723" t="s">
        <v>1428</v>
      </c>
      <c r="V1" s="723" t="s">
        <v>1429</v>
      </c>
      <c r="W1" s="724"/>
      <c r="X1" s="724"/>
      <c r="Y1" s="724"/>
      <c r="Z1" s="724"/>
      <c r="AA1" s="724"/>
      <c r="AB1" s="724"/>
      <c r="AC1" s="734"/>
      <c r="AD1" s="735"/>
      <c r="AE1" s="735"/>
      <c r="AF1" s="735"/>
      <c r="AG1" s="735"/>
      <c r="AH1" s="735"/>
      <c r="AI1" s="735"/>
      <c r="AJ1" s="745"/>
    </row>
    <row r="2" ht="15.75" spans="1:36">
      <c r="A2" s="153" t="s">
        <v>1144</v>
      </c>
      <c r="B2" s="157">
        <f>C26</f>
        <v>22439</v>
      </c>
      <c r="C2" s="458" t="s">
        <v>1145</v>
      </c>
      <c r="D2" s="459" t="s">
        <v>1430</v>
      </c>
      <c r="E2" s="460" t="s">
        <v>459</v>
      </c>
      <c r="F2" s="459" t="s">
        <v>1431</v>
      </c>
      <c r="G2" s="461" t="str">
        <f>IF(E2="商业",项目基本情况!B37,IF(E2="办公",项目基本情况!C37,IF(E2="住宅",项目基本情况!D37,项目基本情况!E37)))</f>
        <v>七级</v>
      </c>
      <c r="H2" s="459" t="s">
        <v>1432</v>
      </c>
      <c r="I2" s="461" t="str">
        <f>IF(E2="商业",项目基本情况!B38,IF(E2="办公",项目基本情况!C38,IF(E2="住宅",项目基本情况!D38,项目基本情况!E38)))</f>
        <v>Ⅶ-房1</v>
      </c>
      <c r="J2" s="643"/>
      <c r="K2" s="449"/>
      <c r="L2" s="644" t="s">
        <v>1433</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ROUND(T2*U2/10000,0)</f>
        <v>0</v>
      </c>
      <c r="W2" s="724"/>
      <c r="X2" s="724"/>
      <c r="Y2" s="724"/>
      <c r="Z2" s="724"/>
      <c r="AA2" s="724"/>
      <c r="AB2" s="724"/>
      <c r="AC2" s="734"/>
      <c r="AD2" s="735"/>
      <c r="AE2" s="735"/>
      <c r="AF2" s="735"/>
      <c r="AG2" s="735"/>
      <c r="AH2" s="735"/>
      <c r="AI2" s="735"/>
      <c r="AJ2" s="745"/>
    </row>
    <row r="3" ht="15.75" spans="1:36">
      <c r="A3" s="156" t="s">
        <v>1146</v>
      </c>
      <c r="B3" s="157">
        <f>ROUND(B2*10000/D1,0)</f>
        <v>9038</v>
      </c>
      <c r="C3" s="458" t="s">
        <v>1327</v>
      </c>
      <c r="D3" s="459" t="s">
        <v>1434</v>
      </c>
      <c r="E3" s="462" t="s">
        <v>1435</v>
      </c>
      <c r="F3" s="463" t="s">
        <v>1436</v>
      </c>
      <c r="G3" s="464">
        <f>IF(F3="宗地容积率",'数据-汇总表'!I4,IF(F3="估价对象容积率",'数据-汇总表'!I6,'数据-汇总表'!I7))</f>
        <v>2.5</v>
      </c>
      <c r="H3" s="465" t="s">
        <v>1437</v>
      </c>
      <c r="I3" s="646"/>
      <c r="J3" s="643" t="s">
        <v>1438</v>
      </c>
      <c r="K3" s="449"/>
      <c r="L3" s="644" t="s">
        <v>1439</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13269</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1440</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1046</v>
      </c>
      <c r="B5" s="470" t="s">
        <v>1441</v>
      </c>
      <c r="C5" s="471">
        <f>ROUND(IF(E2="商业",C6*C7+C16,(IF(E2="住宅",C6*C12+C16,C6+C16))),0)</f>
        <v>7210</v>
      </c>
      <c r="D5" s="472">
        <f>ROUND(C6+C16,0)</f>
        <v>7210</v>
      </c>
      <c r="E5" s="472"/>
      <c r="F5" s="473"/>
      <c r="G5" s="474"/>
      <c r="H5" s="474"/>
      <c r="I5" s="474"/>
      <c r="J5" s="648"/>
      <c r="K5" s="649"/>
      <c r="L5" s="644" t="s">
        <v>1442</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1329</v>
      </c>
      <c r="B6" s="476" t="s">
        <v>1443</v>
      </c>
      <c r="C6" s="477">
        <f>SUMIF(L1:L12,G2,M1:M12)</f>
        <v>7210</v>
      </c>
      <c r="D6" s="478" t="s">
        <v>1444</v>
      </c>
      <c r="E6" s="479"/>
      <c r="F6" s="479"/>
      <c r="G6" s="480"/>
      <c r="H6" s="480"/>
      <c r="I6" s="480"/>
      <c r="J6" s="650"/>
      <c r="K6" s="651"/>
      <c r="L6" s="644" t="s">
        <v>1445</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1446</v>
      </c>
      <c r="C7" s="483">
        <f>IF(C8="不临58条商业街",1,ROUND(1+(1.6*E8+1.2*E9+0.8*E10+0.4*E11)*C9,4))</f>
        <v>1</v>
      </c>
      <c r="D7" s="484" t="s">
        <v>1447</v>
      </c>
      <c r="E7" s="485"/>
      <c r="F7" s="486"/>
      <c r="G7" s="487"/>
      <c r="H7" s="487"/>
      <c r="I7" s="487"/>
      <c r="J7" s="652"/>
      <c r="K7" s="651"/>
      <c r="L7" s="644" t="s">
        <v>1448</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1449</v>
      </c>
      <c r="X7" s="727" t="str">
        <f>G2</f>
        <v>七级</v>
      </c>
      <c r="Y7" s="727" t="s">
        <v>1450</v>
      </c>
      <c r="Z7" s="738">
        <f>G3</f>
        <v>2.5</v>
      </c>
      <c r="AA7" s="724"/>
      <c r="AB7" s="724"/>
      <c r="AC7" s="734"/>
      <c r="AD7" s="735"/>
      <c r="AE7" s="735"/>
      <c r="AF7" s="735"/>
      <c r="AG7" s="735"/>
      <c r="AH7" s="735"/>
      <c r="AI7" s="735"/>
      <c r="AJ7" s="745"/>
    </row>
    <row r="8" ht="24.75" spans="1:36">
      <c r="A8" s="488"/>
      <c r="B8" s="465" t="s">
        <v>1451</v>
      </c>
      <c r="C8" s="489" t="s">
        <v>1452</v>
      </c>
      <c r="D8" s="490" t="s">
        <v>1453</v>
      </c>
      <c r="E8" s="491" t="e">
        <f>ROUND(C11/E7,4)</f>
        <v>#DIV/0!</v>
      </c>
      <c r="F8" s="492" t="s">
        <v>1454</v>
      </c>
      <c r="G8" s="493"/>
      <c r="H8" s="493"/>
      <c r="I8" s="493"/>
      <c r="J8" s="653"/>
      <c r="K8" s="449"/>
      <c r="L8" s="644" t="s">
        <v>1455</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1456</v>
      </c>
      <c r="X8" s="729"/>
      <c r="Y8" s="739" t="s">
        <v>1457</v>
      </c>
      <c r="Z8" s="739" t="s">
        <v>1458</v>
      </c>
      <c r="AA8" s="739" t="s">
        <v>1459</v>
      </c>
      <c r="AB8" s="739" t="s">
        <v>1460</v>
      </c>
      <c r="AC8" s="739" t="s">
        <v>1461</v>
      </c>
      <c r="AD8" s="739" t="s">
        <v>1462</v>
      </c>
      <c r="AE8" s="739" t="s">
        <v>1463</v>
      </c>
      <c r="AF8" s="739" t="s">
        <v>1464</v>
      </c>
      <c r="AG8" s="739" t="s">
        <v>1465</v>
      </c>
      <c r="AH8" s="739" t="s">
        <v>1466</v>
      </c>
      <c r="AI8" s="739" t="s">
        <v>1467</v>
      </c>
      <c r="AJ8" s="739" t="s">
        <v>1468</v>
      </c>
    </row>
    <row r="9" ht="15" spans="1:36">
      <c r="A9" s="488"/>
      <c r="B9" s="465" t="s">
        <v>1469</v>
      </c>
      <c r="C9" s="494">
        <f>SUMIF(修正!C59:C119,C8,修正!E59:E119)</f>
        <v>0</v>
      </c>
      <c r="D9" s="495" t="s">
        <v>1470</v>
      </c>
      <c r="E9" s="495" t="e">
        <f>ROUND(C11/E7,4)</f>
        <v>#DIV/0!</v>
      </c>
      <c r="F9" s="492" t="s">
        <v>1471</v>
      </c>
      <c r="G9" s="493"/>
      <c r="H9" s="493"/>
      <c r="I9" s="493"/>
      <c r="J9" s="653"/>
      <c r="K9" s="449"/>
      <c r="L9" s="644" t="s">
        <v>1472</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1473</v>
      </c>
      <c r="X9" s="730" t="s">
        <v>1474</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1475</v>
      </c>
      <c r="C10" s="495">
        <f>SUMIF(修正!C59:C119,C8,修正!F59:F119)</f>
        <v>0</v>
      </c>
      <c r="D10" s="495" t="s">
        <v>1476</v>
      </c>
      <c r="E10" s="495" t="e">
        <f>ROUND(C11/E7,4)</f>
        <v>#DIV/0!</v>
      </c>
      <c r="F10" s="492" t="s">
        <v>1477</v>
      </c>
      <c r="G10" s="493"/>
      <c r="H10" s="493"/>
      <c r="I10" s="493"/>
      <c r="J10" s="653"/>
      <c r="K10" s="449"/>
      <c r="L10" s="644" t="s">
        <v>1478</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1479</v>
      </c>
      <c r="C11" s="497">
        <f>C10/4</f>
        <v>0</v>
      </c>
      <c r="D11" s="497" t="s">
        <v>1480</v>
      </c>
      <c r="E11" s="497" t="e">
        <f>ROUND(C11/E7,4)</f>
        <v>#DIV/0!</v>
      </c>
      <c r="F11" s="498" t="s">
        <v>1481</v>
      </c>
      <c r="G11" s="499"/>
      <c r="H11" s="499"/>
      <c r="I11" s="499"/>
      <c r="J11" s="654"/>
      <c r="K11" s="449"/>
      <c r="L11" s="644" t="s">
        <v>1482</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1483</v>
      </c>
      <c r="X11" s="731" t="s">
        <v>1450</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1484</v>
      </c>
      <c r="B12" s="500" t="s">
        <v>1485</v>
      </c>
      <c r="C12" s="483">
        <f>ROUND(C15*D15*E15*F15*G15*H15*I15*J15,4)</f>
        <v>1</v>
      </c>
      <c r="D12" s="501" t="s">
        <v>1486</v>
      </c>
      <c r="E12" s="502"/>
      <c r="F12" s="502"/>
      <c r="G12" s="503"/>
      <c r="H12" s="503"/>
      <c r="I12" s="503"/>
      <c r="J12" s="655"/>
      <c r="K12" s="449"/>
      <c r="L12" s="656" t="s">
        <v>1487</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1488</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1489</v>
      </c>
      <c r="C13" s="506" t="s">
        <v>1490</v>
      </c>
      <c r="D13" s="507" t="s">
        <v>1491</v>
      </c>
      <c r="E13" s="507" t="s">
        <v>1492</v>
      </c>
      <c r="F13" s="508" t="s">
        <v>1493</v>
      </c>
      <c r="G13" s="509" t="s">
        <v>1494</v>
      </c>
      <c r="H13" s="509" t="s">
        <v>1494</v>
      </c>
      <c r="I13" s="509" t="s">
        <v>1494</v>
      </c>
      <c r="J13" s="658" t="s">
        <v>1494</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1495</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1283</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1496</v>
      </c>
      <c r="B16" s="482" t="s">
        <v>1497</v>
      </c>
      <c r="C16" s="520">
        <f>ROUND(IF(F17="与级别开发程度一致",0,(G17-E17)/C17),0)</f>
        <v>0</v>
      </c>
      <c r="D16" s="521" t="s">
        <v>1498</v>
      </c>
      <c r="E16" s="522"/>
      <c r="F16" s="521" t="s">
        <v>1499</v>
      </c>
      <c r="G16" s="522"/>
      <c r="H16" s="523" t="s">
        <v>1500</v>
      </c>
      <c r="I16" s="523" t="s">
        <v>1501</v>
      </c>
      <c r="J16" s="662" t="s">
        <v>1502</v>
      </c>
      <c r="K16" s="523" t="s">
        <v>1503</v>
      </c>
      <c r="L16" s="523" t="s">
        <v>1504</v>
      </c>
      <c r="M16" s="523" t="s">
        <v>1505</v>
      </c>
      <c r="N16" s="523" t="s">
        <v>1506</v>
      </c>
      <c r="O16" s="663" t="s">
        <v>1507</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1508</v>
      </c>
      <c r="C17" s="526">
        <f>SUMPRODUCT((修正!A2:A5=E2)*(修正!B1:M1=G2)*(修正!B2:M5))</f>
        <v>2.5</v>
      </c>
      <c r="D17" s="518" t="str">
        <f>IF(OR(G2="八级",G2="九级",G2="十级",G2="十一级",G2="十二级"),"五通一平","七通一平")</f>
        <v>七通一平</v>
      </c>
      <c r="E17" s="527">
        <f>SUMPRODUCT((修正!B1:M1=G2)*(修正!B15:M15))</f>
        <v>300</v>
      </c>
      <c r="F17" s="528" t="s">
        <v>1509</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1057</v>
      </c>
      <c r="B18" s="531" t="s">
        <v>1510</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1062</v>
      </c>
      <c r="B19" s="536" t="s">
        <v>1511</v>
      </c>
      <c r="C19" s="537">
        <f>ROUND(IF(H19="按公示增长率计算",SUMPRODUCT((地价!A3:A35=YEAR(G19)&amp;"-"&amp;ROUNDUP(MONTH(G19)/3,0))*(地价!X2:AB2=E2)*(地价!X3:AB35)),IF(H19="地价指数",M20/M19,(1+I19)^O19)),4)</f>
        <v>1.3588</v>
      </c>
      <c r="D19" s="538" t="s">
        <v>1512</v>
      </c>
      <c r="E19" s="539">
        <v>41640</v>
      </c>
      <c r="F19" s="538" t="s">
        <v>1513</v>
      </c>
      <c r="G19" s="540">
        <f>'数据-取费表'!B2</f>
        <v>44461</v>
      </c>
      <c r="H19" s="541" t="s">
        <v>1514</v>
      </c>
      <c r="I19" s="670" t="str">
        <f>IF(H19="季度增幅（自定义）",SUMIF(N21:N24,E2,O21:O24),"")</f>
        <v/>
      </c>
      <c r="J19" s="671"/>
      <c r="K19" s="667"/>
      <c r="L19" s="672" t="s">
        <v>1515</v>
      </c>
      <c r="M19" s="673">
        <f>ROUND(SUMIF(地价!B2:F2,E2,地价!B35:F35),0)</f>
        <v>258</v>
      </c>
      <c r="N19" s="674" t="s">
        <v>1516</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1065</v>
      </c>
      <c r="B20" s="543" t="s">
        <v>1517</v>
      </c>
      <c r="C20" s="544">
        <f>ROUND(POWER(1+G20,J20-I20)*(POWER(1+G20,I20)-1)/(POWER(1+G20,J20)-1),4)</f>
        <v>1</v>
      </c>
      <c r="D20" s="545" t="s">
        <v>1518</v>
      </c>
      <c r="E20" s="546">
        <f>存贷款利率!E18/100</f>
        <v>0.0435</v>
      </c>
      <c r="F20" s="545" t="s">
        <v>1519</v>
      </c>
      <c r="G20" s="547">
        <f>SUMIF(M26:P26,E2,M28:P28)</f>
        <v>0.054</v>
      </c>
      <c r="H20" s="545" t="s">
        <v>1520</v>
      </c>
      <c r="I20" s="521">
        <f>SUMIF('数据-取费表'!C6:C15,E2,'数据-取费表'!F6:F15)/COUNTIF('数据-取费表'!C6:C15,E2)</f>
        <v>40</v>
      </c>
      <c r="J20" s="677">
        <f>IF(E2="住宅",70,IF(E2="商业",40,50))</f>
        <v>40</v>
      </c>
      <c r="K20" s="667"/>
      <c r="L20" s="678" t="s">
        <v>1521</v>
      </c>
      <c r="M20" s="679">
        <f>ROUND(SUMPRODUCT((地价!A4:A35=YEAR(G19)&amp;"-"&amp;ROUNDUP(MONTH(G19)/3,0))*(地价!B2:F2=E2)*(地价!B4:F35)),0)</f>
        <v>350</v>
      </c>
      <c r="N20" s="680" t="s">
        <v>1522</v>
      </c>
      <c r="O20" s="681" t="s">
        <v>1523</v>
      </c>
      <c r="P20" s="682" t="s">
        <v>1524</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1087</v>
      </c>
      <c r="B21" s="549" t="s">
        <v>1525</v>
      </c>
      <c r="C21" s="550">
        <f>IF(B21="容积率修正",IF(G3&lt;=10,D22,J22),C23)</f>
        <v>1</v>
      </c>
      <c r="D21" s="551"/>
      <c r="E21" s="551"/>
      <c r="F21" s="551"/>
      <c r="G21" s="551"/>
      <c r="H21" s="551"/>
      <c r="I21" s="551"/>
      <c r="J21" s="683"/>
      <c r="K21" s="667"/>
      <c r="L21" s="668"/>
      <c r="M21" s="668"/>
      <c r="N21" s="684" t="s">
        <v>1526</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1527</v>
      </c>
      <c r="B22" s="553" t="s">
        <v>1528</v>
      </c>
      <c r="C22" s="554" t="s">
        <v>1529</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1530</v>
      </c>
      <c r="J22" s="687" t="str">
        <f>IF(G3&gt;10,D113,"——")</f>
        <v>——</v>
      </c>
      <c r="K22" s="667"/>
      <c r="L22" s="668"/>
      <c r="M22" s="668"/>
      <c r="N22" s="684" t="s">
        <v>1531</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1532</v>
      </c>
      <c r="B23" s="555" t="s">
        <v>1533</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1534</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1535</v>
      </c>
      <c r="B24" s="536" t="s">
        <v>1536</v>
      </c>
      <c r="C24" s="537">
        <f>SUMIF(A45:A88,E2,B45:B88)</f>
        <v>1.0129</v>
      </c>
      <c r="D24" s="560"/>
      <c r="E24" s="561"/>
      <c r="F24" s="561"/>
      <c r="G24" s="561"/>
      <c r="H24" s="561"/>
      <c r="I24" s="561"/>
      <c r="J24" s="690"/>
      <c r="K24" s="667"/>
      <c r="L24" s="668"/>
      <c r="M24" s="668"/>
      <c r="N24" s="691" t="s">
        <v>1537</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1538</v>
      </c>
      <c r="B25" s="562" t="s">
        <v>1539</v>
      </c>
      <c r="C25" s="563"/>
      <c r="D25" s="487"/>
      <c r="E25" s="487"/>
      <c r="F25" s="564"/>
      <c r="G25" s="487"/>
      <c r="H25" s="487"/>
      <c r="I25" s="487"/>
      <c r="J25" s="652"/>
      <c r="K25" s="449"/>
      <c r="L25" s="450"/>
      <c r="M25" s="450"/>
      <c r="N25" s="694" t="s">
        <v>1540</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1541</v>
      </c>
      <c r="C26" s="566">
        <f>IF(B21="容积率修正",E29+SUM(E33:E39),SUM(V2:V16)+SUM(E33:E39))</f>
        <v>22439</v>
      </c>
      <c r="D26" s="567"/>
      <c r="E26" s="515"/>
      <c r="F26" s="568"/>
      <c r="G26" s="515"/>
      <c r="H26" s="515"/>
      <c r="I26" s="515"/>
      <c r="J26" s="697"/>
      <c r="K26" s="449"/>
      <c r="L26" s="698" t="s">
        <v>1430</v>
      </c>
      <c r="M26" s="484" t="s">
        <v>1542</v>
      </c>
      <c r="N26" s="484" t="s">
        <v>1543</v>
      </c>
      <c r="O26" s="484" t="s">
        <v>1544</v>
      </c>
      <c r="P26" s="699" t="s">
        <v>1545</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1546</v>
      </c>
      <c r="C27" s="570">
        <f>E30+SUM(I33:I39)</f>
        <v>1282</v>
      </c>
      <c r="D27" s="571"/>
      <c r="E27" s="572"/>
      <c r="F27" s="573"/>
      <c r="G27" s="572"/>
      <c r="H27" s="572"/>
      <c r="I27" s="572"/>
      <c r="J27" s="700"/>
      <c r="K27" s="449"/>
      <c r="L27" s="701" t="s">
        <v>1547</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1548</v>
      </c>
      <c r="C28" s="576" t="s">
        <v>1549</v>
      </c>
      <c r="D28" s="576" t="s">
        <v>514</v>
      </c>
      <c r="E28" s="577" t="s">
        <v>1550</v>
      </c>
      <c r="F28" s="578"/>
      <c r="G28" s="503"/>
      <c r="H28" s="503"/>
      <c r="I28" s="503"/>
      <c r="J28" s="655"/>
      <c r="K28" s="449"/>
      <c r="L28" s="703" t="s">
        <v>1519</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1551</v>
      </c>
      <c r="C29" s="581">
        <f>ROUND(C5*C18*C19*C20*C21*C24,0)</f>
        <v>9923</v>
      </c>
      <c r="D29" s="582">
        <f>'数据-汇总表'!F19</f>
        <v>17447.8</v>
      </c>
      <c r="E29" s="583">
        <f>ROUND(C29*D29/10000,0)</f>
        <v>17313</v>
      </c>
      <c r="F29" s="584" t="s">
        <v>1552</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1553</v>
      </c>
      <c r="C30" s="518">
        <f>ROUND(IF(E2="工业",C29*M39,C29*M38),0)</f>
        <v>2481</v>
      </c>
      <c r="D30" s="588"/>
      <c r="E30" s="583">
        <f>ROUND(C30*D30/10000,0)</f>
        <v>0</v>
      </c>
      <c r="F30" s="589" t="s">
        <v>1554</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1555</v>
      </c>
      <c r="C31" s="593" t="s">
        <v>1556</v>
      </c>
      <c r="D31" s="503"/>
      <c r="E31" s="593"/>
      <c r="F31" s="593"/>
      <c r="G31" s="501" t="s">
        <v>1554</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1549</v>
      </c>
      <c r="D32" s="596" t="s">
        <v>514</v>
      </c>
      <c r="E32" s="596" t="s">
        <v>1550</v>
      </c>
      <c r="F32" s="456" t="s">
        <v>1557</v>
      </c>
      <c r="G32" s="597" t="s">
        <v>1549</v>
      </c>
      <c r="H32" s="597" t="s">
        <v>514</v>
      </c>
      <c r="I32" s="597" t="s">
        <v>1550</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1558</v>
      </c>
      <c r="C33" s="581">
        <f>ROUND(D5*C19*C20*C24*F33,0)</f>
        <v>6946</v>
      </c>
      <c r="D33" s="582">
        <f>'数据-基础表'!K5</f>
        <v>7379.7</v>
      </c>
      <c r="E33" s="495">
        <f>ROUND(C33*D33/10000,0)</f>
        <v>5126</v>
      </c>
      <c r="F33" s="495">
        <f>SUMIF(修正!A45:A56,G2,修正!B45:B56)</f>
        <v>0.7</v>
      </c>
      <c r="G33" s="495">
        <f t="shared" ref="G33" si="6">ROUND(IF(E2="工业",C33*$M$39,C33*$M$38),0)</f>
        <v>1737</v>
      </c>
      <c r="H33" s="495">
        <f>D33</f>
        <v>7379.7</v>
      </c>
      <c r="I33" s="495">
        <f>ROUND(G33*H33/10000,0)</f>
        <v>1282</v>
      </c>
      <c r="J33" s="709" t="s">
        <v>1559</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1560</v>
      </c>
      <c r="C34" s="581">
        <f>ROUND(D5*C19*C20*C24*F34,0)</f>
        <v>3969</v>
      </c>
      <c r="D34" s="582"/>
      <c r="E34" s="495">
        <f t="shared" ref="E34:E39" si="7">ROUND(C34*D34/10000,0)</f>
        <v>0</v>
      </c>
      <c r="F34" s="495">
        <f>SUMIF(修正!A45:A56,G2,修正!C45:C56)</f>
        <v>0.4</v>
      </c>
      <c r="G34" s="495">
        <f>ROUND(IF(E2="工业",C34*$M$39,C34*$M$38),0)</f>
        <v>992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1561</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1562</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1563</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1564</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1565</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1566</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1567</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1545</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1568</v>
      </c>
      <c r="C41" s="456">
        <f>ROUND(POWER(1+E41,H41-G41)*(POWER(1+E41,G41)-1)/(POWER(1+E41,H41)-1),4)</f>
        <v>0</v>
      </c>
      <c r="D41" s="495" t="s">
        <v>1519</v>
      </c>
      <c r="E41" s="607">
        <f>G20</f>
        <v>0.054</v>
      </c>
      <c r="F41" s="495" t="s">
        <v>1520</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1569</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1570</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1571</v>
      </c>
      <c r="B47" s="621" t="s">
        <v>1572</v>
      </c>
      <c r="C47" s="621" t="s">
        <v>1573</v>
      </c>
      <c r="D47" s="621" t="s">
        <v>1574</v>
      </c>
      <c r="E47" s="622" t="s">
        <v>1575</v>
      </c>
      <c r="F47" s="623" t="s">
        <v>1576</v>
      </c>
      <c r="G47" s="621" t="s">
        <v>1283</v>
      </c>
      <c r="H47" s="624" t="s">
        <v>1577</v>
      </c>
      <c r="I47" s="621" t="s">
        <v>1578</v>
      </c>
      <c r="J47" s="719" t="s">
        <v>1212</v>
      </c>
      <c r="K47" s="719" t="s">
        <v>1213</v>
      </c>
      <c r="L47" s="719" t="s">
        <v>1214</v>
      </c>
      <c r="M47" s="719" t="s">
        <v>1215</v>
      </c>
      <c r="N47" s="719" t="s">
        <v>1216</v>
      </c>
      <c r="AA47" s="605"/>
      <c r="AB47" s="605"/>
      <c r="AC47" s="605"/>
      <c r="AD47" s="605"/>
      <c r="AE47" s="605"/>
      <c r="AF47" s="605"/>
      <c r="AG47" s="605"/>
      <c r="AH47" s="605"/>
      <c r="AI47" s="605"/>
      <c r="AJ47" s="605"/>
      <c r="AK47" s="605"/>
    </row>
    <row r="48" s="449" customFormat="1" ht="36.75" spans="1:37">
      <c r="A48" s="620" t="s">
        <v>1579</v>
      </c>
      <c r="B48" s="625" t="str">
        <f>估价对象房地状况!C4</f>
        <v>估价对象位于XX商圈，周边商业氛围成熟，人流量大，商业繁华度好</v>
      </c>
      <c r="C48" s="512" t="s">
        <v>1250</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N56" si="14">L48-$G48</f>
        <v>-0.0214</v>
      </c>
      <c r="N48" s="721">
        <f t="shared" si="14"/>
        <v>-0.0428</v>
      </c>
      <c r="AA48" s="605"/>
      <c r="AB48" s="605"/>
      <c r="AC48" s="605"/>
      <c r="AD48" s="605"/>
      <c r="AE48" s="605"/>
      <c r="AF48" s="605"/>
      <c r="AG48" s="605"/>
      <c r="AH48" s="605"/>
      <c r="AI48" s="605"/>
      <c r="AJ48" s="605"/>
      <c r="AK48" s="605"/>
    </row>
    <row r="49" s="449" customFormat="1" ht="48" spans="1:37">
      <c r="A49" s="620" t="s">
        <v>1580</v>
      </c>
      <c r="B49" s="631" t="str">
        <f>估价对象房地状况!C18</f>
        <v>估价对象周边道路状况、公共交通通达情况、停车便捷程度，综合评价交通便捷度较好</v>
      </c>
      <c r="C49" s="512" t="s">
        <v>1250</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4"/>
        <v>-0.0324</v>
      </c>
      <c r="AA49" s="605"/>
      <c r="AB49" s="605"/>
      <c r="AC49" s="605"/>
      <c r="AD49" s="605"/>
      <c r="AE49" s="605"/>
      <c r="AF49" s="605"/>
      <c r="AG49" s="605"/>
      <c r="AH49" s="605"/>
      <c r="AI49" s="605"/>
      <c r="AJ49" s="605"/>
      <c r="AK49" s="605"/>
    </row>
    <row r="50" s="449" customFormat="1" ht="24" spans="1:37">
      <c r="A50" s="620" t="s">
        <v>1581</v>
      </c>
      <c r="B50" s="631">
        <f>估价对象房地状况!C19</f>
        <v>0</v>
      </c>
      <c r="C50" s="512" t="s">
        <v>1250</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4"/>
        <v>-0.0064</v>
      </c>
      <c r="AA50" s="605"/>
      <c r="AB50" s="605"/>
      <c r="AC50" s="605"/>
      <c r="AD50" s="605"/>
      <c r="AE50" s="605"/>
      <c r="AF50" s="605"/>
      <c r="AG50" s="605"/>
      <c r="AH50" s="605"/>
      <c r="AI50" s="605"/>
      <c r="AJ50" s="605"/>
      <c r="AK50" s="605"/>
    </row>
    <row r="51" s="449" customFormat="1" ht="36.75" spans="1:37">
      <c r="A51" s="620" t="s">
        <v>1582</v>
      </c>
      <c r="B51" s="633" t="s">
        <v>1583</v>
      </c>
      <c r="C51" s="512" t="s">
        <v>1251</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4"/>
        <v>-0.0064</v>
      </c>
      <c r="AA51" s="605"/>
      <c r="AB51" s="605"/>
      <c r="AC51" s="605"/>
      <c r="AD51" s="605"/>
      <c r="AE51" s="605"/>
      <c r="AF51" s="605"/>
      <c r="AG51" s="605"/>
      <c r="AH51" s="605"/>
      <c r="AI51" s="605"/>
      <c r="AJ51" s="605"/>
      <c r="AK51" s="605"/>
    </row>
    <row r="52" s="449" customFormat="1" ht="24" spans="1:37">
      <c r="A52" s="620" t="s">
        <v>1584</v>
      </c>
      <c r="B52" s="631">
        <f>估价对象房地状况!C24</f>
        <v>0</v>
      </c>
      <c r="C52" s="512" t="s">
        <v>1585</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4"/>
        <v>-0.0104</v>
      </c>
      <c r="AA52" s="605"/>
      <c r="AB52" s="605"/>
      <c r="AC52" s="605"/>
      <c r="AD52" s="605"/>
      <c r="AE52" s="605"/>
      <c r="AF52" s="605"/>
      <c r="AG52" s="605"/>
      <c r="AH52" s="605"/>
      <c r="AI52" s="605"/>
      <c r="AJ52" s="605"/>
      <c r="AK52" s="605"/>
    </row>
    <row r="53" s="449" customFormat="1" ht="24" spans="1:37">
      <c r="A53" s="620" t="s">
        <v>1586</v>
      </c>
      <c r="B53" s="634" t="s">
        <v>1587</v>
      </c>
      <c r="C53" s="512" t="s">
        <v>1251</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4"/>
        <v>-0.0038</v>
      </c>
      <c r="AA53" s="605"/>
      <c r="AB53" s="605"/>
      <c r="AC53" s="605"/>
      <c r="AD53" s="605"/>
      <c r="AE53" s="605"/>
      <c r="AF53" s="605"/>
      <c r="AG53" s="605"/>
      <c r="AH53" s="605"/>
      <c r="AI53" s="605"/>
      <c r="AJ53" s="605"/>
      <c r="AK53" s="605"/>
    </row>
    <row r="54" s="449" customFormat="1" ht="24" spans="1:37">
      <c r="A54" s="635" t="s">
        <v>1588</v>
      </c>
      <c r="B54" s="636" t="str">
        <f>估价对象房地状况!C21</f>
        <v>估价对象所在区域公共配套设施齐备情况</v>
      </c>
      <c r="C54" s="512" t="s">
        <v>1250</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4"/>
        <v>-0.0064</v>
      </c>
      <c r="AA54" s="605"/>
      <c r="AB54" s="605"/>
      <c r="AC54" s="605"/>
      <c r="AD54" s="605"/>
      <c r="AE54" s="605"/>
      <c r="AF54" s="605"/>
      <c r="AG54" s="605"/>
      <c r="AH54" s="605"/>
      <c r="AI54" s="605"/>
      <c r="AJ54" s="605"/>
      <c r="AK54" s="605"/>
    </row>
    <row r="55" s="449" customFormat="1" ht="24" spans="1:37">
      <c r="A55" s="635" t="s">
        <v>1589</v>
      </c>
      <c r="B55" s="631" t="str">
        <f>估价对象房地状况!C22</f>
        <v>估价对象所在区域基础设施水平</v>
      </c>
      <c r="C55" s="512" t="s">
        <v>1274</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4"/>
        <v>-0.013</v>
      </c>
      <c r="AA55" s="605"/>
      <c r="AB55" s="605"/>
      <c r="AC55" s="605"/>
      <c r="AD55" s="605"/>
      <c r="AE55" s="605"/>
      <c r="AF55" s="605"/>
      <c r="AG55" s="605"/>
      <c r="AH55" s="605"/>
      <c r="AI55" s="605"/>
      <c r="AJ55" s="605"/>
      <c r="AK55" s="605"/>
    </row>
    <row r="56" s="449" customFormat="1" ht="36.75" spans="1:37">
      <c r="A56" s="637" t="s">
        <v>1590</v>
      </c>
      <c r="B56" s="638" t="str">
        <f>估价对象房地状况!C20</f>
        <v>区域自然环境：；人文环境；综合评价环境状况一般</v>
      </c>
      <c r="C56" s="512" t="s">
        <v>1250</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4"/>
        <v>-0.0078</v>
      </c>
      <c r="AA56" s="605"/>
      <c r="AB56" s="605"/>
      <c r="AC56" s="605"/>
      <c r="AD56" s="605"/>
      <c r="AE56" s="605"/>
      <c r="AF56" s="605"/>
      <c r="AG56" s="605"/>
      <c r="AH56" s="605"/>
      <c r="AI56" s="605"/>
      <c r="AJ56" s="605"/>
      <c r="AK56" s="605"/>
    </row>
    <row r="57" s="449" customFormat="1" ht="15" spans="1:37">
      <c r="A57" s="614" t="s">
        <v>1591</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1571</v>
      </c>
      <c r="B58" s="621"/>
      <c r="C58" s="621" t="s">
        <v>1573</v>
      </c>
      <c r="D58" s="621" t="s">
        <v>1574</v>
      </c>
      <c r="E58" s="622" t="s">
        <v>1575</v>
      </c>
      <c r="F58" s="623" t="s">
        <v>1592</v>
      </c>
      <c r="G58" s="621" t="s">
        <v>1283</v>
      </c>
      <c r="H58" s="624" t="s">
        <v>1577</v>
      </c>
      <c r="I58" s="621" t="s">
        <v>1578</v>
      </c>
      <c r="J58" s="719" t="s">
        <v>1212</v>
      </c>
      <c r="K58" s="719" t="s">
        <v>1213</v>
      </c>
      <c r="L58" s="719" t="s">
        <v>1214</v>
      </c>
      <c r="M58" s="719" t="s">
        <v>1215</v>
      </c>
      <c r="N58" s="719" t="s">
        <v>1216</v>
      </c>
      <c r="AA58" s="605"/>
      <c r="AB58" s="605"/>
      <c r="AC58" s="605"/>
      <c r="AD58" s="605"/>
      <c r="AE58" s="605"/>
      <c r="AF58" s="605"/>
      <c r="AG58" s="605"/>
      <c r="AH58" s="605"/>
      <c r="AI58" s="605"/>
      <c r="AJ58" s="605"/>
      <c r="AK58" s="605"/>
    </row>
    <row r="59" s="449" customFormat="1" ht="36.75" spans="1:37">
      <c r="A59" s="620" t="s">
        <v>1593</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1580</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1581</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1582</v>
      </c>
      <c r="B62" s="633" t="s">
        <v>1583</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1584</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1586</v>
      </c>
      <c r="B64" s="634" t="s">
        <v>1587</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1588</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1589</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1590</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1594</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1571</v>
      </c>
      <c r="B69" s="621"/>
      <c r="C69" s="621" t="s">
        <v>1573</v>
      </c>
      <c r="D69" s="621" t="s">
        <v>1574</v>
      </c>
      <c r="E69" s="622" t="s">
        <v>1575</v>
      </c>
      <c r="F69" s="623" t="s">
        <v>1592</v>
      </c>
      <c r="G69" s="621" t="s">
        <v>1283</v>
      </c>
      <c r="H69" s="624" t="s">
        <v>1577</v>
      </c>
      <c r="I69" s="621" t="s">
        <v>1578</v>
      </c>
      <c r="J69" s="719" t="s">
        <v>1212</v>
      </c>
      <c r="K69" s="719" t="s">
        <v>1213</v>
      </c>
      <c r="L69" s="719" t="s">
        <v>1214</v>
      </c>
      <c r="M69" s="719" t="s">
        <v>1215</v>
      </c>
      <c r="N69" s="719" t="s">
        <v>1216</v>
      </c>
      <c r="AA69" s="605"/>
      <c r="AB69" s="605"/>
      <c r="AC69" s="605"/>
      <c r="AD69" s="605"/>
      <c r="AE69" s="605"/>
      <c r="AF69" s="605"/>
      <c r="AG69" s="605"/>
      <c r="AH69" s="605"/>
      <c r="AI69" s="605"/>
      <c r="AJ69" s="605"/>
      <c r="AK69" s="605"/>
    </row>
    <row r="70" s="449" customFormat="1" ht="48" spans="1:37">
      <c r="A70" s="620" t="s">
        <v>1595</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1580</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1581</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1596</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1588</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1589</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1586</v>
      </c>
      <c r="B76" s="634" t="s">
        <v>1587</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1590</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1597</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1598</v>
      </c>
      <c r="B79" s="615">
        <f>1+E81</f>
        <v>1</v>
      </c>
      <c r="C79" s="617"/>
      <c r="D79" s="617"/>
      <c r="E79" s="618"/>
      <c r="F79" s="619"/>
      <c r="G79" s="613"/>
      <c r="H79" s="613"/>
      <c r="I79" s="613"/>
      <c r="J79" s="612"/>
      <c r="K79" s="612"/>
      <c r="L79" s="612"/>
      <c r="M79" s="612"/>
      <c r="N79" s="612"/>
      <c r="Z79" s="453"/>
      <c r="AA79" s="451"/>
      <c r="AG79" s="455"/>
      <c r="AK79" s="451"/>
    </row>
    <row r="80" ht="24.75" spans="1:37">
      <c r="A80" s="620" t="s">
        <v>1571</v>
      </c>
      <c r="B80" s="621"/>
      <c r="C80" s="621" t="s">
        <v>1573</v>
      </c>
      <c r="D80" s="621" t="s">
        <v>1574</v>
      </c>
      <c r="E80" s="622" t="s">
        <v>1575</v>
      </c>
      <c r="F80" s="623" t="s">
        <v>1592</v>
      </c>
      <c r="G80" s="621" t="s">
        <v>1283</v>
      </c>
      <c r="H80" s="624" t="s">
        <v>1577</v>
      </c>
      <c r="I80" s="621" t="s">
        <v>1578</v>
      </c>
      <c r="J80" s="719" t="s">
        <v>1212</v>
      </c>
      <c r="K80" s="719" t="s">
        <v>1213</v>
      </c>
      <c r="L80" s="719" t="s">
        <v>1214</v>
      </c>
      <c r="M80" s="719" t="s">
        <v>1215</v>
      </c>
      <c r="N80" s="719" t="s">
        <v>1216</v>
      </c>
      <c r="Z80" s="453"/>
      <c r="AA80" s="451"/>
      <c r="AG80" s="455"/>
      <c r="AK80" s="451"/>
    </row>
    <row r="81" ht="38.25" spans="1:37">
      <c r="A81" s="620" t="s">
        <v>1599</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1580</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1581</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1596</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1588</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1589</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1586</v>
      </c>
      <c r="B87" s="634" t="s">
        <v>1600</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1601</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1602</v>
      </c>
      <c r="B90" s="757"/>
      <c r="C90" s="757"/>
      <c r="D90" s="757"/>
      <c r="E90" s="757"/>
      <c r="F90" s="757"/>
      <c r="G90" s="757"/>
      <c r="H90" s="757"/>
      <c r="I90" s="757"/>
      <c r="J90" s="757"/>
      <c r="K90" s="757"/>
      <c r="L90" s="757"/>
      <c r="M90" s="757"/>
      <c r="N90" s="757"/>
    </row>
    <row r="91" spans="1:14">
      <c r="A91" s="583" t="s">
        <v>1603</v>
      </c>
      <c r="B91" s="583" t="s">
        <v>1604</v>
      </c>
      <c r="C91" s="584" t="s">
        <v>1605</v>
      </c>
      <c r="D91" s="585"/>
      <c r="E91" s="585"/>
      <c r="F91" s="585"/>
      <c r="G91" s="585"/>
      <c r="H91" s="585"/>
      <c r="I91" s="585"/>
      <c r="J91" s="782"/>
      <c r="K91" s="783"/>
      <c r="L91" s="783"/>
      <c r="M91" s="783"/>
      <c r="N91" s="783"/>
    </row>
    <row r="92" spans="1:14">
      <c r="A92" s="583"/>
      <c r="B92" s="583"/>
      <c r="C92" s="583" t="s">
        <v>1457</v>
      </c>
      <c r="D92" s="583" t="s">
        <v>1458</v>
      </c>
      <c r="E92" s="583" t="s">
        <v>1459</v>
      </c>
      <c r="F92" s="583" t="s">
        <v>1460</v>
      </c>
      <c r="G92" s="583" t="s">
        <v>1461</v>
      </c>
      <c r="H92" s="583" t="s">
        <v>1462</v>
      </c>
      <c r="I92" s="583" t="s">
        <v>1463</v>
      </c>
      <c r="J92" s="583" t="s">
        <v>1464</v>
      </c>
      <c r="K92" s="583" t="s">
        <v>1465</v>
      </c>
      <c r="L92" s="583" t="s">
        <v>1466</v>
      </c>
      <c r="M92" s="583" t="s">
        <v>1467</v>
      </c>
      <c r="N92" s="583" t="s">
        <v>1468</v>
      </c>
    </row>
    <row r="93" spans="1:14">
      <c r="A93" s="758" t="s">
        <v>1606</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1474</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1607</v>
      </c>
      <c r="B101" s="765" t="s">
        <v>1608</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1488</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1609</v>
      </c>
      <c r="B110" s="768"/>
      <c r="C110" s="768"/>
      <c r="D110" s="768"/>
      <c r="E110" s="768"/>
      <c r="F110" s="768"/>
      <c r="G110" s="768"/>
      <c r="H110" s="768"/>
      <c r="I110" s="768"/>
      <c r="J110" s="768"/>
      <c r="K110" s="768"/>
      <c r="L110" s="768"/>
      <c r="M110" s="768"/>
      <c r="N110" s="768"/>
    </row>
    <row r="112" ht="13.5"/>
    <row r="113" ht="25.5" spans="1:13">
      <c r="A113" s="769" t="s">
        <v>1610</v>
      </c>
      <c r="B113" s="770">
        <f>G3</f>
        <v>2.5</v>
      </c>
      <c r="C113" s="771" t="s">
        <v>1611</v>
      </c>
      <c r="D113" s="772">
        <f>SUMPRODUCT((A115:A118=F113)*(B114:M114=H113)*B115:M118)</f>
        <v>0.8059</v>
      </c>
      <c r="E113" s="461" t="s">
        <v>1430</v>
      </c>
      <c r="F113" s="773" t="str">
        <f>E2</f>
        <v>商业</v>
      </c>
      <c r="G113" s="461" t="s">
        <v>1431</v>
      </c>
      <c r="H113" s="773" t="str">
        <f>G2</f>
        <v>七级</v>
      </c>
      <c r="I113" s="461"/>
      <c r="J113" s="784"/>
      <c r="K113" s="784"/>
      <c r="L113" s="784"/>
      <c r="M113" s="784"/>
    </row>
    <row r="114" spans="1:13">
      <c r="A114" s="774"/>
      <c r="B114" s="775" t="s">
        <v>1612</v>
      </c>
      <c r="C114" s="775" t="s">
        <v>1613</v>
      </c>
      <c r="D114" s="775" t="s">
        <v>1614</v>
      </c>
      <c r="E114" s="776" t="s">
        <v>1615</v>
      </c>
      <c r="F114" s="776" t="s">
        <v>1616</v>
      </c>
      <c r="G114" s="776" t="s">
        <v>1617</v>
      </c>
      <c r="H114" s="777" t="s">
        <v>1618</v>
      </c>
      <c r="I114" s="777" t="s">
        <v>1619</v>
      </c>
      <c r="J114" s="785" t="s">
        <v>1620</v>
      </c>
      <c r="K114" s="785" t="s">
        <v>1621</v>
      </c>
      <c r="L114" s="785" t="s">
        <v>1622</v>
      </c>
      <c r="M114" s="786" t="s">
        <v>1623</v>
      </c>
    </row>
    <row r="115" spans="1:13">
      <c r="A115" s="778" t="s">
        <v>1542</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1543</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1544</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1545</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8" sqref="L8"/>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923</v>
      </c>
      <c r="B1" s="1927"/>
      <c r="C1" s="1928" t="s">
        <v>554</v>
      </c>
      <c r="D1" s="1927"/>
      <c r="E1" s="1927"/>
      <c r="F1" s="1929" t="s">
        <v>924</v>
      </c>
      <c r="G1" s="1930" t="s">
        <v>925</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926</v>
      </c>
      <c r="B3" s="1614"/>
      <c r="C3" s="1614"/>
      <c r="D3" s="1614"/>
      <c r="E3" s="1614"/>
      <c r="F3" s="1614"/>
      <c r="G3" s="1614"/>
      <c r="H3" s="1614"/>
      <c r="I3" s="1614"/>
    </row>
    <row r="4" ht="14.25" spans="1:12">
      <c r="A4" s="1935" t="s">
        <v>927</v>
      </c>
      <c r="B4" s="1936" t="s">
        <v>928</v>
      </c>
      <c r="C4" s="1937" t="s">
        <v>307</v>
      </c>
      <c r="D4" s="1937" t="s">
        <v>309</v>
      </c>
      <c r="E4" s="1938" t="s">
        <v>931</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932</v>
      </c>
      <c r="B5" s="1051">
        <v>25</v>
      </c>
      <c r="C5" s="1941"/>
      <c r="D5" s="1942"/>
      <c r="E5" s="1602" t="s">
        <v>933</v>
      </c>
      <c r="F5" s="1943"/>
      <c r="G5" s="1943"/>
      <c r="H5" s="1943"/>
      <c r="I5" s="1819"/>
    </row>
    <row r="6" ht="13.5" spans="1:9">
      <c r="A6" s="1940"/>
      <c r="B6" s="1051"/>
      <c r="C6" s="1944"/>
      <c r="D6" s="1942"/>
      <c r="E6" s="1602" t="s">
        <v>934</v>
      </c>
      <c r="F6" s="1943"/>
      <c r="G6" s="1943"/>
      <c r="H6" s="1943"/>
      <c r="I6" s="1819"/>
    </row>
    <row r="7" ht="13.5" spans="1:9">
      <c r="A7" s="1940"/>
      <c r="B7" s="1051"/>
      <c r="C7" s="1945"/>
      <c r="D7" s="1942"/>
      <c r="E7" s="1602" t="s">
        <v>935</v>
      </c>
      <c r="F7" s="1943"/>
      <c r="G7" s="1943"/>
      <c r="H7" s="1943"/>
      <c r="I7" s="1819"/>
    </row>
    <row r="8" ht="13.5" spans="1:9">
      <c r="A8" s="1940" t="s">
        <v>936</v>
      </c>
      <c r="B8" s="1051">
        <v>15</v>
      </c>
      <c r="C8" s="1941"/>
      <c r="D8" s="1942"/>
      <c r="E8" s="1602" t="s">
        <v>937</v>
      </c>
      <c r="F8" s="1943"/>
      <c r="G8" s="1943"/>
      <c r="H8" s="1943"/>
      <c r="I8" s="1819"/>
    </row>
    <row r="9" ht="13.5" spans="1:9">
      <c r="A9" s="1940"/>
      <c r="B9" s="1051"/>
      <c r="C9" s="1945"/>
      <c r="D9" s="1942"/>
      <c r="E9" s="1602" t="s">
        <v>938</v>
      </c>
      <c r="F9" s="1943"/>
      <c r="G9" s="1943"/>
      <c r="H9" s="1943"/>
      <c r="I9" s="1819"/>
    </row>
    <row r="10" ht="13.5" spans="1:9">
      <c r="A10" s="1940" t="s">
        <v>939</v>
      </c>
      <c r="B10" s="1051">
        <v>15</v>
      </c>
      <c r="C10" s="1941"/>
      <c r="D10" s="1942"/>
      <c r="E10" s="1602" t="s">
        <v>940</v>
      </c>
      <c r="F10" s="1943"/>
      <c r="G10" s="1943"/>
      <c r="H10" s="1943"/>
      <c r="I10" s="1819"/>
    </row>
    <row r="11" ht="13.5" spans="1:9">
      <c r="A11" s="1940"/>
      <c r="B11" s="1051"/>
      <c r="C11" s="1945"/>
      <c r="D11" s="1942"/>
      <c r="E11" s="1602" t="s">
        <v>941</v>
      </c>
      <c r="F11" s="1943"/>
      <c r="G11" s="1943"/>
      <c r="H11" s="1943"/>
      <c r="I11" s="1819"/>
    </row>
    <row r="12" ht="13.5" spans="1:9">
      <c r="A12" s="1940" t="s">
        <v>942</v>
      </c>
      <c r="B12" s="1051">
        <v>15</v>
      </c>
      <c r="C12" s="1941"/>
      <c r="D12" s="1942"/>
      <c r="E12" s="1602" t="s">
        <v>943</v>
      </c>
      <c r="F12" s="1943"/>
      <c r="G12" s="1943"/>
      <c r="H12" s="1943"/>
      <c r="I12" s="1819"/>
    </row>
    <row r="13" ht="13.5" spans="1:9">
      <c r="A13" s="1940"/>
      <c r="B13" s="1051"/>
      <c r="C13" s="1945"/>
      <c r="D13" s="1942"/>
      <c r="E13" s="1602" t="s">
        <v>944</v>
      </c>
      <c r="F13" s="1943"/>
      <c r="G13" s="1943"/>
      <c r="H13" s="1943"/>
      <c r="I13" s="1819"/>
    </row>
    <row r="14" ht="13.5" spans="1:9">
      <c r="A14" s="1940" t="s">
        <v>945</v>
      </c>
      <c r="B14" s="1051">
        <v>30</v>
      </c>
      <c r="C14" s="1941">
        <v>5</v>
      </c>
      <c r="D14" s="1942">
        <v>5</v>
      </c>
      <c r="E14" s="1602" t="s">
        <v>946</v>
      </c>
      <c r="F14" s="1943"/>
      <c r="G14" s="1943"/>
      <c r="H14" s="1943"/>
      <c r="I14" s="1819"/>
    </row>
    <row r="15" ht="13.5" spans="1:9">
      <c r="A15" s="1940"/>
      <c r="B15" s="1051"/>
      <c r="C15" s="1944"/>
      <c r="D15" s="1942"/>
      <c r="E15" s="1602" t="s">
        <v>947</v>
      </c>
      <c r="F15" s="1943"/>
      <c r="G15" s="1943"/>
      <c r="H15" s="1943"/>
      <c r="I15" s="1819"/>
    </row>
    <row r="16" ht="13.5" spans="1:9">
      <c r="A16" s="1940"/>
      <c r="B16" s="1051"/>
      <c r="C16" s="1945"/>
      <c r="D16" s="1942"/>
      <c r="E16" s="1602" t="s">
        <v>948</v>
      </c>
      <c r="F16" s="1943"/>
      <c r="G16" s="1943"/>
      <c r="H16" s="1943"/>
      <c r="I16" s="1819"/>
    </row>
    <row r="17" ht="14.25" spans="1:13">
      <c r="A17" s="1946" t="s">
        <v>949</v>
      </c>
      <c r="B17" s="1947"/>
      <c r="C17" s="1948">
        <f>SUM(C5:C16)</f>
        <v>5</v>
      </c>
      <c r="D17" s="1948">
        <f>SUM(D5:D16)</f>
        <v>5</v>
      </c>
      <c r="E17" s="1949"/>
      <c r="F17" s="1949"/>
      <c r="G17" s="1949"/>
      <c r="H17" s="1949"/>
      <c r="I17" s="1949"/>
      <c r="K17" s="1558"/>
      <c r="L17" s="1558" t="s">
        <v>950</v>
      </c>
      <c r="M17" s="1558" t="s">
        <v>951</v>
      </c>
    </row>
    <row r="18" ht="31.95" customHeight="1" spans="1:13">
      <c r="A18" s="1950" t="s">
        <v>952</v>
      </c>
      <c r="B18" s="1951"/>
      <c r="C18" s="1952">
        <f>ROUND(C17/SUM(C17:D17),2)</f>
        <v>0.5</v>
      </c>
      <c r="D18" s="1952">
        <f>1-C18</f>
        <v>0.5</v>
      </c>
      <c r="E18" s="1953" t="s">
        <v>953</v>
      </c>
      <c r="F18" s="1954"/>
      <c r="G18" s="1954"/>
      <c r="H18" s="1954"/>
      <c r="I18" s="1954"/>
      <c r="K18" s="1558" t="s">
        <v>367</v>
      </c>
      <c r="L18" s="1558">
        <f>IF(C1="",'数据-汇总表'!E3,SUMIF(项目类型,C1,'数据-汇总表'!E17:E26)+SUMIF(项目类型,C1,'数据-汇总表'!I17:I26))</f>
        <v>7767.62</v>
      </c>
      <c r="M18" s="1558">
        <f>IF(C1="",'数据-汇总表'!E3,SUMIF(项目类型,C1,'数据-汇总表'!E17:E26))</f>
        <v>7767.62</v>
      </c>
    </row>
    <row r="19" ht="14.25" spans="1:13">
      <c r="A19" s="1955" t="s">
        <v>954</v>
      </c>
      <c r="B19" s="1956" t="s">
        <v>955</v>
      </c>
      <c r="C19" s="1957">
        <f ca="1">SUMIF(INDIRECT("'"&amp;C4&amp;"'"&amp;"!A:A"),'结果表--酒店'!B19,INDIRECT("'"&amp;C4&amp;"'"&amp;"!B:B"))</f>
        <v>10602</v>
      </c>
      <c r="D19" s="1208">
        <f ca="1">SUMIF(INDIRECT("'"&amp;D4&amp;"'"&amp;"!A:A"),'结果表--酒店'!B19,INDIRECT("'"&amp;D4&amp;"'"&amp;"!B:B"))</f>
        <v>13432</v>
      </c>
      <c r="E19" s="1955" t="s">
        <v>956</v>
      </c>
      <c r="F19" s="1956" t="s">
        <v>955</v>
      </c>
      <c r="G19" s="1958">
        <f ca="1">ROUND(C19*$C$18+D19*$D$18,0)</f>
        <v>12017</v>
      </c>
      <c r="H19" s="1959" t="s">
        <v>957</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958</v>
      </c>
      <c r="C20" s="1962">
        <f ca="1">SUMIF(INDIRECT("'"&amp;C4&amp;"'"&amp;"!A:A"),'结果表--酒店'!B20,INDIRECT("'"&amp;C4&amp;"'"&amp;"!B:B"))</f>
        <v>13649</v>
      </c>
      <c r="D20" s="1963">
        <f ca="1">SUMIF(INDIRECT("'"&amp;D4&amp;"'"&amp;"!A:A"),'结果表--酒店'!B20,INDIRECT("'"&amp;D4&amp;"'"&amp;"!B:B"))</f>
        <v>17292</v>
      </c>
      <c r="E20" s="1960"/>
      <c r="F20" s="1961" t="s">
        <v>958</v>
      </c>
      <c r="G20" s="1964">
        <f ca="1">ROUND(C20*$C$18+D20*$D$18,0)</f>
        <v>15471</v>
      </c>
      <c r="H20" s="1720" t="s">
        <v>959</v>
      </c>
      <c r="I20" s="1949"/>
    </row>
    <row r="21" ht="15" customHeight="1" spans="1:9">
      <c r="A21" s="1902"/>
      <c r="B21" s="1965" t="s">
        <v>960</v>
      </c>
      <c r="C21" s="1966" t="e">
        <f ca="1">ROUND(C19*10000/L19,0)</f>
        <v>#DIV/0!</v>
      </c>
      <c r="D21" s="1967" t="e">
        <f ca="1">ROUND(D19*10000/L19,0)</f>
        <v>#DIV/0!</v>
      </c>
      <c r="E21" s="1902"/>
      <c r="F21" s="1965" t="s">
        <v>960</v>
      </c>
      <c r="G21" s="1968" t="e">
        <f ca="1">ROUND(G19*10000/L19,0)</f>
        <v>#DIV/0!</v>
      </c>
      <c r="H21" s="1969" t="s">
        <v>959</v>
      </c>
      <c r="I21" s="1949"/>
    </row>
    <row r="22" ht="15" spans="1:9">
      <c r="A22" s="1970" t="s">
        <v>961</v>
      </c>
      <c r="B22" s="1971"/>
      <c r="C22" s="1972"/>
      <c r="D22" s="1973">
        <f ca="1">IF(C19&lt;D19,D19/C19-1,C19/D19-1)</f>
        <v>0.266930767779664</v>
      </c>
      <c r="E22" s="1949"/>
      <c r="F22" s="1949"/>
      <c r="G22" s="1949"/>
      <c r="H22" s="1949"/>
      <c r="I22" s="1949"/>
    </row>
    <row r="23" ht="14.25" spans="1:9">
      <c r="A23" s="1927"/>
      <c r="B23" s="1927"/>
      <c r="C23" s="1927"/>
      <c r="D23" s="1927"/>
      <c r="E23" s="1949"/>
      <c r="F23" s="1949"/>
      <c r="G23" s="1949"/>
      <c r="H23" s="1949"/>
      <c r="I23" s="1949"/>
    </row>
    <row r="24" ht="14.25" spans="1:9">
      <c r="A24" s="1974" t="s">
        <v>962</v>
      </c>
      <c r="B24" s="1956" t="s">
        <v>955</v>
      </c>
      <c r="C24" s="1958">
        <f>IF(B30=0,0,D30)</f>
        <v>0</v>
      </c>
      <c r="D24" s="1975"/>
      <c r="E24" s="1949"/>
      <c r="F24" s="1949"/>
      <c r="G24" s="1949"/>
      <c r="H24" s="1949"/>
      <c r="I24" s="1949"/>
    </row>
    <row r="25" ht="14.25" spans="1:9">
      <c r="A25" s="1976"/>
      <c r="B25" s="1961" t="s">
        <v>958</v>
      </c>
      <c r="C25" s="1977">
        <f>IF(B30=0,0,C30)</f>
        <v>0</v>
      </c>
      <c r="D25" s="1978"/>
      <c r="E25" s="1949"/>
      <c r="F25" s="1949"/>
      <c r="G25" s="1949"/>
      <c r="H25" s="1949"/>
      <c r="I25" s="1949"/>
    </row>
    <row r="26" ht="13.5" customHeight="1" spans="1:9">
      <c r="A26" s="1979" t="s">
        <v>963</v>
      </c>
      <c r="B26" s="1980" t="s">
        <v>964</v>
      </c>
      <c r="C26" s="1980" t="s">
        <v>965</v>
      </c>
      <c r="D26" s="1981" t="s">
        <v>966</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967</v>
      </c>
      <c r="B30" s="1980"/>
      <c r="C30" s="1980"/>
      <c r="D30" s="1980"/>
      <c r="E30" s="1982" t="s">
        <v>968</v>
      </c>
      <c r="F30" s="1949"/>
      <c r="G30" s="1949"/>
      <c r="H30" s="1949"/>
      <c r="I30" s="1949"/>
    </row>
    <row r="31" s="1919" customFormat="1" ht="26.4" customHeight="1" spans="1:36">
      <c r="A31" s="1983"/>
      <c r="B31" s="1984"/>
      <c r="C31" s="1984"/>
      <c r="D31" s="1984"/>
      <c r="E31" s="1984"/>
      <c r="F31" s="1984"/>
      <c r="G31" s="1984"/>
      <c r="H31" s="1984"/>
      <c r="I31" s="2099" t="s">
        <v>969</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970</v>
      </c>
      <c r="B32" s="1986"/>
      <c r="C32" s="1987">
        <f ca="1">IF(D32="总价",G19-C24,G20-C25)</f>
        <v>15471</v>
      </c>
      <c r="D32" s="1988" t="s">
        <v>971</v>
      </c>
      <c r="E32" s="1949"/>
      <c r="F32" s="1949"/>
      <c r="G32" s="1949"/>
      <c r="H32" s="1949"/>
      <c r="I32" s="1949"/>
    </row>
    <row r="33" ht="15" spans="1:9">
      <c r="A33" s="1842" t="s">
        <v>972</v>
      </c>
      <c r="B33" s="1989"/>
      <c r="C33" s="1990"/>
      <c r="D33" s="1991"/>
      <c r="E33" s="1992" t="s">
        <v>973</v>
      </c>
      <c r="F33" s="1993" t="str">
        <f>IF(D32="楼面单价","取值（单价）","取值（总价）")</f>
        <v>取值（单价）</v>
      </c>
      <c r="G33" s="1949"/>
      <c r="H33" s="1949"/>
      <c r="I33" s="1949"/>
    </row>
    <row r="34" ht="15" spans="1:9">
      <c r="A34" s="1994"/>
      <c r="B34" s="1995" t="s">
        <v>974</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975</v>
      </c>
      <c r="F34" s="1999"/>
      <c r="G34" s="1949"/>
      <c r="H34" s="1949"/>
      <c r="I34" s="1949"/>
    </row>
    <row r="35" ht="15.75" spans="1:9">
      <c r="A35" s="2000"/>
      <c r="B35" s="2001" t="s">
        <v>976</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977</v>
      </c>
      <c r="F35" s="2005"/>
      <c r="G35" s="1949"/>
      <c r="H35" s="1949"/>
      <c r="I35" s="1949"/>
    </row>
    <row r="36" ht="15.75" spans="1:9">
      <c r="A36" s="2006" t="s">
        <v>978</v>
      </c>
      <c r="B36" s="2007" t="s">
        <v>979</v>
      </c>
      <c r="C36" s="2008"/>
      <c r="D36" s="2009"/>
      <c r="E36" s="2010"/>
      <c r="F36" s="2011"/>
      <c r="G36" s="1949"/>
      <c r="H36" s="1949"/>
      <c r="I36" s="1949"/>
    </row>
    <row r="37" ht="15.75" spans="1:9">
      <c r="A37" s="2012"/>
      <c r="B37" s="2013" t="s">
        <v>980</v>
      </c>
      <c r="C37" s="2014"/>
      <c r="D37" s="2015"/>
      <c r="E37" s="2015"/>
      <c r="F37" s="2011"/>
      <c r="G37" s="1949"/>
      <c r="H37" s="1949"/>
      <c r="I37" s="1949"/>
    </row>
    <row r="38" ht="15.75" spans="1:9">
      <c r="A38" s="2016"/>
      <c r="B38" s="2017" t="s">
        <v>981</v>
      </c>
      <c r="C38" s="2018"/>
      <c r="D38" s="2019" t="s">
        <v>982</v>
      </c>
      <c r="E38" s="2015"/>
      <c r="F38" s="2011"/>
      <c r="G38" s="1949"/>
      <c r="H38" s="1949"/>
      <c r="I38" s="1949"/>
    </row>
    <row r="39" ht="14.25" spans="1:9">
      <c r="A39" s="1960" t="s">
        <v>983</v>
      </c>
      <c r="B39" s="2020" t="s">
        <v>964</v>
      </c>
      <c r="C39" s="2021" t="s">
        <v>965</v>
      </c>
      <c r="D39" s="2021" t="s">
        <v>984</v>
      </c>
      <c r="E39" s="2022" t="s">
        <v>966</v>
      </c>
      <c r="F39" s="2011"/>
      <c r="G39" s="1949"/>
      <c r="H39" s="1949"/>
      <c r="I39" s="1949"/>
    </row>
    <row r="40" ht="14.25" spans="1:9">
      <c r="A40" s="2023" t="s">
        <v>985</v>
      </c>
      <c r="B40" s="2024"/>
      <c r="C40" s="2025"/>
      <c r="D40" s="2025"/>
      <c r="E40" s="2026"/>
      <c r="F40" s="2011"/>
      <c r="G40" s="1949"/>
      <c r="H40" s="1949"/>
      <c r="I40" s="1949"/>
    </row>
    <row r="41" ht="14.25" spans="1:9">
      <c r="A41" s="2023" t="s">
        <v>986</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987</v>
      </c>
      <c r="B44" s="2033"/>
      <c r="C44" s="2033"/>
      <c r="D44" s="2034"/>
      <c r="E44" s="2034"/>
      <c r="F44" s="2035"/>
      <c r="G44" s="2035"/>
      <c r="H44" s="2035"/>
      <c r="I44" s="2035"/>
      <c r="J44" s="2103" t="s">
        <v>988</v>
      </c>
      <c r="K44" s="2104"/>
      <c r="L44" s="2104"/>
      <c r="M44" s="2104"/>
      <c r="N44" s="2104"/>
      <c r="O44" s="2104"/>
    </row>
    <row r="45" ht="14.25" customHeight="1" spans="1:15">
      <c r="A45" s="2036" t="s">
        <v>989</v>
      </c>
      <c r="B45" s="2037"/>
      <c r="C45" s="2038"/>
      <c r="D45" s="1557">
        <f ca="1">ROUND(H101*F45,0)</f>
        <v>12017</v>
      </c>
      <c r="E45" s="2039" t="s">
        <v>990</v>
      </c>
      <c r="F45" s="2040">
        <v>1</v>
      </c>
      <c r="G45" s="2041" t="s">
        <v>991</v>
      </c>
      <c r="H45" s="1949"/>
      <c r="I45" s="1949"/>
      <c r="J45" s="2105" t="s">
        <v>992</v>
      </c>
      <c r="K45" s="2105"/>
      <c r="L45" s="2105"/>
      <c r="M45" s="2105"/>
      <c r="N45" s="2105"/>
      <c r="O45" s="2105"/>
    </row>
    <row r="46" ht="14.25" customHeight="1" spans="1:15">
      <c r="A46" s="2042" t="s">
        <v>993</v>
      </c>
      <c r="B46" s="2043"/>
      <c r="C46" s="2043"/>
      <c r="D46" s="2043"/>
      <c r="E46" s="2043"/>
      <c r="F46" s="2043"/>
      <c r="G46" s="2044"/>
      <c r="H46" s="2045"/>
      <c r="I46" s="2106"/>
      <c r="J46" s="2107">
        <v>1</v>
      </c>
      <c r="K46" s="2108" t="s">
        <v>994</v>
      </c>
      <c r="L46" s="2108"/>
      <c r="M46" s="2109"/>
      <c r="N46" s="2109"/>
      <c r="O46" s="2109"/>
    </row>
    <row r="47" ht="12" customHeight="1" spans="1:15">
      <c r="A47" s="2046" t="s">
        <v>995</v>
      </c>
      <c r="B47" s="2047"/>
      <c r="C47" s="2048"/>
      <c r="D47" s="1613" t="s">
        <v>996</v>
      </c>
      <c r="E47" s="1558" t="s">
        <v>997</v>
      </c>
      <c r="F47" s="2049" t="s">
        <v>998</v>
      </c>
      <c r="G47" s="2050" t="s">
        <v>999</v>
      </c>
      <c r="H47" s="2051"/>
      <c r="I47" s="2106"/>
      <c r="J47" s="2107">
        <v>2</v>
      </c>
      <c r="K47" s="2108" t="s">
        <v>1000</v>
      </c>
      <c r="L47" s="2108"/>
      <c r="M47" s="2110">
        <f>'数据-取费表'!B2</f>
        <v>44461</v>
      </c>
      <c r="N47" s="2110"/>
      <c r="O47" s="2110"/>
    </row>
    <row r="48" ht="24.75" spans="1:15">
      <c r="A48" s="2052" t="s">
        <v>1001</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1002</v>
      </c>
      <c r="H48" s="2055"/>
      <c r="I48" s="2045"/>
      <c r="J48" s="2107">
        <v>3</v>
      </c>
      <c r="K48" s="2108" t="s">
        <v>1003</v>
      </c>
      <c r="L48" s="2108"/>
      <c r="M48" s="2111">
        <f ca="1">H101</f>
        <v>12017</v>
      </c>
      <c r="N48" s="2111"/>
      <c r="O48" s="2111"/>
    </row>
    <row r="49" ht="25.5" customHeight="1" spans="1:15">
      <c r="A49" s="2052" t="s">
        <v>1004</v>
      </c>
      <c r="B49" s="1593" t="s">
        <v>1005</v>
      </c>
      <c r="C49" s="1593"/>
      <c r="D49" s="2056">
        <v>0</v>
      </c>
      <c r="E49" s="1623" t="s">
        <v>1006</v>
      </c>
      <c r="F49" s="2057" t="s">
        <v>124</v>
      </c>
      <c r="G49" s="2058"/>
      <c r="H49" s="2059" t="s">
        <v>1007</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1008</v>
      </c>
      <c r="C50" s="1593"/>
      <c r="D50" s="2061"/>
      <c r="E50" s="1638"/>
      <c r="F50" s="2057"/>
      <c r="G50" s="2062"/>
      <c r="H50" s="2063" t="s">
        <v>1009</v>
      </c>
      <c r="I50" s="2112"/>
      <c r="J50" s="2105" t="s">
        <v>1010</v>
      </c>
      <c r="K50" s="2105"/>
      <c r="L50" s="2105"/>
      <c r="M50" s="2105"/>
      <c r="N50" s="2105"/>
      <c r="O50" s="2105"/>
    </row>
    <row r="51" ht="20.4" customHeight="1" spans="1:15">
      <c r="A51" s="2064"/>
      <c r="B51" s="1593" t="s">
        <v>1011</v>
      </c>
      <c r="C51" s="1593"/>
      <c r="D51" s="1613"/>
      <c r="E51" s="1627"/>
      <c r="F51" s="2057"/>
      <c r="G51" s="2065"/>
      <c r="H51" s="2063" t="s">
        <v>1012</v>
      </c>
      <c r="I51" s="2112"/>
      <c r="J51" s="2108" t="s">
        <v>1013</v>
      </c>
      <c r="K51" s="2108" t="s">
        <v>1014</v>
      </c>
      <c r="L51" s="2108"/>
      <c r="M51" s="2108" t="s">
        <v>1015</v>
      </c>
      <c r="N51" s="2108" t="s">
        <v>1016</v>
      </c>
      <c r="O51" s="2108" t="s">
        <v>1017</v>
      </c>
    </row>
    <row r="52" ht="24" customHeight="1" spans="1:15">
      <c r="A52" s="2066" t="s">
        <v>1018</v>
      </c>
      <c r="B52" s="1593" t="s">
        <v>1019</v>
      </c>
      <c r="C52" s="1593"/>
      <c r="D52" s="1613">
        <f ca="1">ROUND(D45*'数据-取费表'!B41/(1+'数据-取费表'!C42),0)</f>
        <v>641</v>
      </c>
      <c r="E52" s="1617" t="s">
        <v>1020</v>
      </c>
      <c r="F52" s="2067">
        <f>'数据-取费表'!B41</f>
        <v>0.056</v>
      </c>
      <c r="G52" s="2068"/>
      <c r="H52" s="1733"/>
      <c r="I52" s="2113"/>
      <c r="J52" s="2107">
        <v>1</v>
      </c>
      <c r="K52" s="2107" t="s">
        <v>1021</v>
      </c>
      <c r="L52" s="2107"/>
      <c r="M52" s="2114" t="b">
        <f ca="1" t="shared" ref="M52:O52" si="0">D48</f>
        <v>0</v>
      </c>
      <c r="N52" s="2107" t="str">
        <f t="shared" si="0"/>
        <v>销售额×税（费）率</v>
      </c>
      <c r="O52" s="2115">
        <f t="shared" si="0"/>
        <v>0.056</v>
      </c>
    </row>
    <row r="53" ht="12" customHeight="1" spans="1:15">
      <c r="A53" s="2066" t="s">
        <v>1022</v>
      </c>
      <c r="B53" s="1592" t="s">
        <v>1023</v>
      </c>
      <c r="C53" s="2069"/>
      <c r="D53" s="1613">
        <f ca="1">ROUND(D45*'数据-取费表'!B41/(1+'数据-取费表'!C42),0)</f>
        <v>641</v>
      </c>
      <c r="E53" s="1617" t="s">
        <v>1020</v>
      </c>
      <c r="F53" s="2067">
        <f>'数据-取费表'!B41</f>
        <v>0.056</v>
      </c>
      <c r="G53" s="2068"/>
      <c r="H53" s="1733"/>
      <c r="I53" s="2113"/>
      <c r="J53" s="2107">
        <v>2</v>
      </c>
      <c r="K53" s="2107" t="s">
        <v>1024</v>
      </c>
      <c r="L53" s="2107"/>
      <c r="M53" s="2114">
        <f ca="1" t="shared" ref="M53:O53" si="1">D55</f>
        <v>6</v>
      </c>
      <c r="N53" s="2107" t="str">
        <f t="shared" si="1"/>
        <v>销售额×税（费）率</v>
      </c>
      <c r="O53" s="2115" t="str">
        <f t="shared" si="1"/>
        <v>免征</v>
      </c>
    </row>
    <row r="54" ht="12" customHeight="1" spans="1:15">
      <c r="A54" s="2066" t="s">
        <v>1025</v>
      </c>
      <c r="B54" s="1592" t="s">
        <v>1026</v>
      </c>
      <c r="C54" s="2069"/>
      <c r="D54" s="1613">
        <f ca="1">C68</f>
        <v>641</v>
      </c>
      <c r="E54" s="1627" t="s">
        <v>1027</v>
      </c>
      <c r="F54" s="2067">
        <f>'数据-取费表'!B41</f>
        <v>0.056</v>
      </c>
      <c r="G54" s="2068"/>
      <c r="H54" s="2070"/>
      <c r="I54" s="2113"/>
      <c r="J54" s="2107">
        <v>3</v>
      </c>
      <c r="K54" s="2107" t="s">
        <v>1028</v>
      </c>
      <c r="L54" s="2107"/>
      <c r="M54" s="2114">
        <f ca="1" t="shared" ref="M54:O54" si="2">D56</f>
        <v>6801</v>
      </c>
      <c r="N54" s="2107" t="str">
        <f t="shared" si="2"/>
        <v>增值额×税（费）率</v>
      </c>
      <c r="O54" s="2116" t="str">
        <f t="shared" si="2"/>
        <v>免征</v>
      </c>
    </row>
    <row r="55" ht="24" customHeight="1" spans="1:15">
      <c r="A55" s="2066" t="s">
        <v>1029</v>
      </c>
      <c r="B55" s="1617"/>
      <c r="C55" s="1617"/>
      <c r="D55" s="1718">
        <f ca="1">IF(H55="个人住宅",0,ROUND(D45*I55,0))</f>
        <v>6</v>
      </c>
      <c r="E55" s="1617" t="s">
        <v>1030</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114</v>
      </c>
      <c r="N55" s="505" t="str">
        <f t="shared" si="3"/>
        <v>差额计税</v>
      </c>
      <c r="O55" s="2119">
        <f t="shared" si="3"/>
        <v>0.01</v>
      </c>
    </row>
    <row r="56" ht="24.75" spans="1:15">
      <c r="A56" s="2066" t="s">
        <v>1031</v>
      </c>
      <c r="B56" s="1617"/>
      <c r="C56" s="1617"/>
      <c r="D56" s="1718">
        <f ca="1">IF(H56="个人住宅",D57,D58)</f>
        <v>6801</v>
      </c>
      <c r="E56" s="1617" t="s">
        <v>1032</v>
      </c>
      <c r="F56" s="2067" t="str">
        <f>IF(H56="正常",F58,"免征")</f>
        <v>免征</v>
      </c>
      <c r="G56" s="2071" t="s">
        <v>1033</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1004</v>
      </c>
      <c r="B57" s="1592" t="s">
        <v>1034</v>
      </c>
      <c r="C57" s="2069"/>
      <c r="D57" s="2056">
        <v>0</v>
      </c>
      <c r="E57" s="1623" t="s">
        <v>1006</v>
      </c>
      <c r="F57" s="1558"/>
      <c r="G57" s="2068"/>
      <c r="H57" s="2073"/>
      <c r="I57" s="2083"/>
      <c r="J57" s="2107">
        <f>IF(AND(J55="",J56=""),4,IF(项目基本情况!K6="上海银行",'结果表--酒店'!J56+1,'结果表--酒店'!J55+1))</f>
        <v>5</v>
      </c>
      <c r="K57" s="2107" t="s">
        <v>1035</v>
      </c>
      <c r="L57" s="2120" t="s">
        <v>1036</v>
      </c>
      <c r="M57" s="2121"/>
      <c r="N57" s="2122">
        <f ca="1">SUMIF(M52:M56,"&lt;9e307")</f>
        <v>6921</v>
      </c>
      <c r="O57" s="2123"/>
      <c r="P57" s="2124" t="e">
        <f ca="1">N57/M49</f>
        <v>#VALUE!</v>
      </c>
    </row>
    <row r="58" ht="24.75" spans="1:15">
      <c r="A58" s="2066" t="s">
        <v>1018</v>
      </c>
      <c r="B58" s="1592" t="s">
        <v>1037</v>
      </c>
      <c r="C58" s="1593"/>
      <c r="D58" s="1718">
        <f ca="1">IF(H58="转让取得",C81,C97)</f>
        <v>6801</v>
      </c>
      <c r="E58" s="1617" t="s">
        <v>1032</v>
      </c>
      <c r="F58" s="1558" t="s">
        <v>124</v>
      </c>
      <c r="G58" s="2068"/>
      <c r="H58" s="2072"/>
      <c r="I58" s="2083"/>
      <c r="J58" s="2107"/>
      <c r="K58" s="2107"/>
      <c r="L58" s="2120" t="s">
        <v>1038</v>
      </c>
      <c r="M58" s="2125"/>
      <c r="N58" s="2126" t="str">
        <f ca="1">NUMBERSTRING(INT(N57*10000),2)&amp;"元整"</f>
        <v>陆仟玖佰贰拾壹万元整</v>
      </c>
      <c r="O58" s="2127"/>
    </row>
    <row r="59" ht="24.75" spans="1:15">
      <c r="A59" s="2074" t="s">
        <v>1039</v>
      </c>
      <c r="B59" s="2075"/>
      <c r="C59" s="2075"/>
      <c r="D59" s="2076">
        <f ca="1">IF(H59="非个人房产","——",IF(H59="个人住宅（满五唯一有凭证）",0,IF(H59="个人其他（无凭证）",ROUND(D45*F59,0),ROUND(C67*F59,0))))</f>
        <v>114</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1033</v>
      </c>
      <c r="H59" s="2080"/>
      <c r="I59" s="2128" t="s">
        <v>1040</v>
      </c>
      <c r="J59" s="505">
        <f>J57+1</f>
        <v>6</v>
      </c>
      <c r="K59" s="2107" t="s">
        <v>1041</v>
      </c>
      <c r="L59" s="2107" t="s">
        <v>1036</v>
      </c>
      <c r="M59" s="2129"/>
      <c r="N59" s="2130" t="e">
        <f ca="1">M49-N57</f>
        <v>#VALUE!</v>
      </c>
      <c r="O59" s="2131"/>
    </row>
    <row r="60" ht="12" customHeight="1" spans="1:15">
      <c r="A60" s="2081"/>
      <c r="B60" s="1927"/>
      <c r="C60" s="1927"/>
      <c r="D60" s="1927"/>
      <c r="E60" s="2082"/>
      <c r="F60" s="2083"/>
      <c r="G60" s="2083"/>
      <c r="H60" s="2084"/>
      <c r="I60" s="1949"/>
      <c r="J60" s="510"/>
      <c r="K60" s="2107"/>
      <c r="L60" s="2120" t="s">
        <v>1038</v>
      </c>
      <c r="M60" s="2125"/>
      <c r="N60" s="2126" t="e">
        <f ca="1">NUMBERSTRING(INT(N59*10000),2)&amp;"元整"</f>
        <v>#VALUE!</v>
      </c>
      <c r="O60" s="2127"/>
    </row>
    <row r="61" ht="14.25" spans="1:15">
      <c r="A61" s="2085" t="s">
        <v>1042</v>
      </c>
      <c r="B61" s="2085"/>
      <c r="C61" s="2085"/>
      <c r="D61" s="2085"/>
      <c r="E61" s="2085"/>
      <c r="F61" s="2083"/>
      <c r="G61" s="2083"/>
      <c r="H61" s="2084"/>
      <c r="I61" s="1949"/>
      <c r="J61" s="2107">
        <f>J59+1</f>
        <v>7</v>
      </c>
      <c r="K61" s="2107" t="s">
        <v>1043</v>
      </c>
      <c r="L61" s="2107"/>
      <c r="M61" s="2132"/>
      <c r="N61" s="2133" t="e">
        <f ca="1">ROUND(N59*10000/'数据-汇总表'!E3,0)</f>
        <v>#VALUE!</v>
      </c>
      <c r="O61" s="2134"/>
    </row>
    <row r="62" ht="13.5" spans="1:9">
      <c r="A62" s="2086" t="s">
        <v>1044</v>
      </c>
      <c r="B62" s="482"/>
      <c r="C62" s="482"/>
      <c r="D62" s="482" t="s">
        <v>1045</v>
      </c>
      <c r="E62" s="2087" t="s">
        <v>999</v>
      </c>
      <c r="F62" s="2083"/>
      <c r="G62" s="2083"/>
      <c r="H62" s="2084"/>
      <c r="I62" s="1949"/>
    </row>
    <row r="63" ht="13.5" spans="1:35">
      <c r="A63" s="2088" t="s">
        <v>1046</v>
      </c>
      <c r="B63" s="2089" t="s">
        <v>1047</v>
      </c>
      <c r="C63" s="2090">
        <f ca="1">ROUND((C64+C65)/(1+'数据-取费表'!C42),0)</f>
        <v>11445</v>
      </c>
      <c r="D63" s="2089"/>
      <c r="E63" s="2091"/>
      <c r="F63" s="2083"/>
      <c r="G63" s="2083"/>
      <c r="H63" s="2084"/>
      <c r="I63" s="1949"/>
      <c r="J63" s="2135" t="s">
        <v>1048</v>
      </c>
      <c r="K63" s="2135" t="s">
        <v>1049</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1050</v>
      </c>
      <c r="B64" s="465" t="s">
        <v>1051</v>
      </c>
      <c r="C64" s="2093">
        <f ca="1">D45</f>
        <v>12017</v>
      </c>
      <c r="D64" s="465" t="s">
        <v>124</v>
      </c>
      <c r="E64" s="2094"/>
      <c r="F64" s="2083"/>
      <c r="G64" s="2083"/>
      <c r="H64" s="2084"/>
      <c r="I64" s="1949"/>
      <c r="J64" s="2135"/>
      <c r="K64" s="2135" t="s">
        <v>1052</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1053</v>
      </c>
      <c r="Z64" s="1924"/>
      <c r="AI64" s="1925"/>
    </row>
    <row r="65" ht="14.25" customHeight="1" spans="1:35">
      <c r="A65" s="2092" t="s">
        <v>1054</v>
      </c>
      <c r="B65" s="465" t="s">
        <v>1055</v>
      </c>
      <c r="C65" s="2138"/>
      <c r="D65" s="465"/>
      <c r="E65" s="2094"/>
      <c r="F65" s="2083"/>
      <c r="G65" s="2083"/>
      <c r="H65" s="2084"/>
      <c r="I65" s="1949"/>
      <c r="J65" s="2135"/>
      <c r="K65" s="2135" t="s">
        <v>1056</v>
      </c>
      <c r="L65" s="2135" t="e">
        <f ca="1">IF(M49&gt;1000,M49*0.1%,IF(AND(M49&gt;500,M49&lt;=1000),M49*0.5%,IF(AND(M49&gt;50,M49&lt;=500),M49*1%,IF(AND(M49&gt;1,M49&lt;=50),M49*1.5%))))</f>
        <v>#VALUE!</v>
      </c>
      <c r="M65" s="1558" t="e">
        <f ca="1" t="shared" si="4"/>
        <v>#VALUE!</v>
      </c>
      <c r="N65" s="1733" t="s">
        <v>1053</v>
      </c>
      <c r="Z65" s="1924"/>
      <c r="AI65" s="1925"/>
    </row>
    <row r="66" ht="14.25" customHeight="1" spans="1:35">
      <c r="A66" s="2088" t="s">
        <v>1057</v>
      </c>
      <c r="B66" s="2139" t="s">
        <v>1058</v>
      </c>
      <c r="C66" s="2140"/>
      <c r="D66" s="2139" t="s">
        <v>124</v>
      </c>
      <c r="E66" s="2141" t="s">
        <v>1059</v>
      </c>
      <c r="F66" s="2083"/>
      <c r="G66" s="2083"/>
      <c r="H66" s="2084"/>
      <c r="I66" s="1949"/>
      <c r="J66" s="2135"/>
      <c r="K66" s="2135" t="s">
        <v>1060</v>
      </c>
      <c r="L66" s="2135" t="e">
        <f ca="1">M49*0.5%</f>
        <v>#VALUE!</v>
      </c>
      <c r="M66" s="1558" t="e">
        <f ca="1">IF(L66&gt;0.5,0.5,ROUND(L66,0))</f>
        <v>#VALUE!</v>
      </c>
      <c r="N66" s="1733" t="s">
        <v>1061</v>
      </c>
      <c r="Z66" s="1924"/>
      <c r="AI66" s="1925"/>
    </row>
    <row r="67" ht="14.25" customHeight="1" spans="1:35">
      <c r="A67" s="2088" t="s">
        <v>1062</v>
      </c>
      <c r="B67" s="2139" t="s">
        <v>1063</v>
      </c>
      <c r="C67" s="2142">
        <f ca="1">C63-C66</f>
        <v>11445</v>
      </c>
      <c r="D67" s="465" t="s">
        <v>124</v>
      </c>
      <c r="E67" s="2094"/>
      <c r="F67" s="2083"/>
      <c r="G67" s="2083"/>
      <c r="H67" s="2084"/>
      <c r="I67" s="1949"/>
      <c r="J67" s="2135"/>
      <c r="K67" s="2135" t="s">
        <v>1064</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1065</v>
      </c>
      <c r="B68" s="2144" t="s">
        <v>1066</v>
      </c>
      <c r="C68" s="2145">
        <f ca="1">IF(C67&lt;=0,0,ROUND(C67*D68,0))</f>
        <v>641</v>
      </c>
      <c r="D68" s="2146">
        <f>'数据-取费表'!B41</f>
        <v>0.056</v>
      </c>
      <c r="E68" s="2147"/>
      <c r="F68" s="2083"/>
      <c r="G68" s="2083"/>
      <c r="H68" s="2084"/>
      <c r="I68" s="1949"/>
      <c r="J68" s="2135"/>
      <c r="K68" s="2135" t="s">
        <v>1067</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1068</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1069</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1044</v>
      </c>
      <c r="B71" s="482"/>
      <c r="C71" s="482"/>
      <c r="D71" s="482" t="s">
        <v>1045</v>
      </c>
      <c r="E71" s="2154" t="s">
        <v>999</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1046</v>
      </c>
      <c r="B72" s="2139" t="s">
        <v>1070</v>
      </c>
      <c r="C72" s="2142">
        <f ca="1">ROUND(D45/(1+'数据-取费表'!C42),0)</f>
        <v>11445</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1057</v>
      </c>
      <c r="B73" s="2049" t="s">
        <v>1071</v>
      </c>
      <c r="C73" s="2142">
        <f ca="1">C74+C78</f>
        <v>69</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1050</v>
      </c>
      <c r="B74" s="465" t="s">
        <v>1072</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1073</v>
      </c>
      <c r="B75" s="465" t="s">
        <v>1074</v>
      </c>
      <c r="C75" s="2158"/>
      <c r="D75" s="465" t="s">
        <v>124</v>
      </c>
      <c r="E75" s="2159" t="s">
        <v>1075</v>
      </c>
      <c r="F75" s="2160"/>
      <c r="G75" s="2159" t="s">
        <v>1076</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1077</v>
      </c>
      <c r="B76" s="2162" t="s">
        <v>1078</v>
      </c>
      <c r="C76" s="465">
        <f>IF(F75="购房发票",ROUND(C75*H75*D76,0),0)</f>
        <v>0</v>
      </c>
      <c r="D76" s="2163">
        <v>0.05</v>
      </c>
      <c r="E76" s="1592" t="s">
        <v>1079</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1080</v>
      </c>
      <c r="B77" s="465" t="s">
        <v>1081</v>
      </c>
      <c r="C77" s="465">
        <f>ROUND(IF(G77="个人住宅",0,IF(G77="2016年5月1日前购买",C75*D77,C75*D77/(1+'数据-取费表'!C42))),0)</f>
        <v>0</v>
      </c>
      <c r="D77" s="2165">
        <f>'数据-取费表'!B48+'数据-取费表'!B49</f>
        <v>0.0305</v>
      </c>
      <c r="E77" s="1718" t="s">
        <v>1082</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1054</v>
      </c>
      <c r="B78" s="465" t="s">
        <v>1083</v>
      </c>
      <c r="C78" s="2168">
        <f ca="1">ROUND(D45*D78/(1+'数据-取费表'!C42),0)</f>
        <v>69</v>
      </c>
      <c r="D78" s="2169">
        <f>'数据-取费表'!B43</f>
        <v>0.006</v>
      </c>
      <c r="E78" s="2170" t="s">
        <v>1084</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1062</v>
      </c>
      <c r="B79" s="2139" t="s">
        <v>1085</v>
      </c>
      <c r="C79" s="2142">
        <f ca="1">C72-C73</f>
        <v>11376</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1065</v>
      </c>
      <c r="B80" s="2139" t="s">
        <v>1086</v>
      </c>
      <c r="C80" s="2173">
        <f ca="1">IF(C79&lt;=0,0,C79/C73)</f>
        <v>164.869565217391</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1087</v>
      </c>
      <c r="B81" s="2144" t="s">
        <v>1088</v>
      </c>
      <c r="C81" s="2174">
        <f ca="1">ROUND(IF(C79&lt;=0,0,IF(C80&gt;=200%,C79*60%-C73*35%,IF(C80&gt;=100%,C79*50%-C73*15%,IF(C80&gt;=50%,C79*40%-C73*5%,IF(C80&lt;50%,C79*30%,0))))),0)</f>
        <v>6801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1089</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1044</v>
      </c>
      <c r="B84" s="482"/>
      <c r="C84" s="482"/>
      <c r="D84" s="482" t="s">
        <v>1045</v>
      </c>
      <c r="E84" s="2154" t="s">
        <v>999</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1046</v>
      </c>
      <c r="B85" s="2139" t="s">
        <v>1070</v>
      </c>
      <c r="C85" s="2142">
        <f ca="1">ROUND(D45/(1+'数据-取费表'!C42),0)</f>
        <v>11445</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1057</v>
      </c>
      <c r="B86" s="2049" t="s">
        <v>1071</v>
      </c>
      <c r="C86" s="2142">
        <f ca="1">IF(H88="仅含出让金",C87+C90+C91+C92+C93+C94,C87+C91+C92+C93+C94)</f>
        <v>69</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1050</v>
      </c>
      <c r="B87" s="465" t="s">
        <v>1090</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1073</v>
      </c>
      <c r="B88" s="465" t="s">
        <v>1091</v>
      </c>
      <c r="C88" s="2185"/>
      <c r="D88" s="2169"/>
      <c r="E88" s="2186" t="s">
        <v>1092</v>
      </c>
      <c r="F88" s="2171"/>
      <c r="G88" s="2187" t="s">
        <v>1093</v>
      </c>
      <c r="H88" s="2188"/>
      <c r="I88" s="718"/>
      <c r="J88" s="2258" t="s">
        <v>1094</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1077</v>
      </c>
      <c r="B89" s="465" t="s">
        <v>1081</v>
      </c>
      <c r="C89" s="2168">
        <f>ROUND(C88*D89,0)</f>
        <v>0</v>
      </c>
      <c r="D89" s="2169">
        <f>'数据-取费表'!B48+'数据-取费表'!B49</f>
        <v>0.0305</v>
      </c>
      <c r="E89" s="2186" t="s">
        <v>1095</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1054</v>
      </c>
      <c r="B90" s="465" t="s">
        <v>1096</v>
      </c>
      <c r="C90" s="2185"/>
      <c r="D90" s="2169"/>
      <c r="E90" s="2186" t="str">
        <f>IF(H88="-","土地取得成本中已包含该笔费用"," ")</f>
        <v> </v>
      </c>
      <c r="F90" s="2171"/>
      <c r="G90" s="2189" t="s">
        <v>1097</v>
      </c>
      <c r="H90" s="2190"/>
      <c r="I90" s="718"/>
      <c r="J90" s="2258" t="s">
        <v>1098</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1099</v>
      </c>
      <c r="B91" s="465" t="s">
        <v>1100</v>
      </c>
      <c r="C91" s="2168">
        <f ca="1">IF(H91="——",成本法!C33,I91)</f>
        <v>0</v>
      </c>
      <c r="D91" s="2169"/>
      <c r="E91" s="2170" t="s">
        <v>1101</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1102</v>
      </c>
      <c r="B92" s="465" t="s">
        <v>1103</v>
      </c>
      <c r="C92" s="2168">
        <f ca="1">ROUND((C87+C90+C91)*D92,0)</f>
        <v>0</v>
      </c>
      <c r="D92" s="2192"/>
      <c r="E92" s="2170" t="s">
        <v>1104</v>
      </c>
      <c r="F92" s="2171"/>
      <c r="G92" s="2171"/>
      <c r="H92" s="2172"/>
      <c r="I92" s="718"/>
      <c r="J92" s="2260" t="s">
        <v>1105</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1106</v>
      </c>
      <c r="B93" s="465" t="s">
        <v>1083</v>
      </c>
      <c r="C93" s="2168">
        <f ca="1">ROUND(D45*D93/(1+'数据-取费表'!C42),0)</f>
        <v>69</v>
      </c>
      <c r="D93" s="2169">
        <f>'数据-取费表'!B43</f>
        <v>0.006</v>
      </c>
      <c r="E93" s="2170" t="s">
        <v>1084</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1107</v>
      </c>
      <c r="B94" s="465" t="s">
        <v>1108</v>
      </c>
      <c r="C94" s="2185">
        <f ca="1">ROUND((C87+C90+C91)*D94,0)</f>
        <v>0</v>
      </c>
      <c r="D94" s="2169">
        <v>0.2</v>
      </c>
      <c r="E94" s="2193" t="s">
        <v>1109</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1062</v>
      </c>
      <c r="B95" s="2139" t="s">
        <v>1085</v>
      </c>
      <c r="C95" s="2142">
        <f ca="1">ROUND(C85-C86,0)</f>
        <v>11376</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1065</v>
      </c>
      <c r="B96" s="2139" t="s">
        <v>1086</v>
      </c>
      <c r="C96" s="2173">
        <f ca="1">IF(C95&lt;=0,0,C95/C86)</f>
        <v>164.869565217391</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1087</v>
      </c>
      <c r="B97" s="2144" t="s">
        <v>1088</v>
      </c>
      <c r="C97" s="2174">
        <f ca="1">ROUND(IF(C95&lt;=0,0,IF(C96&gt;=200%,C95*60%-C86*35%,IF(C96&gt;=100%,C95*50%-C86*15%,IF(C96&gt;=50%,C95*40%-C86*5%,IF(C96&lt;50%,C95*30%,0))))),0)</f>
        <v>6801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1110</v>
      </c>
      <c r="B99" s="1927"/>
      <c r="C99" s="1927"/>
      <c r="D99" s="1927"/>
      <c r="E99" s="2082"/>
      <c r="F99" s="2082"/>
      <c r="G99" s="2082"/>
      <c r="H99" s="2030"/>
      <c r="I99" s="1949"/>
    </row>
    <row r="100" ht="18.75" customHeight="1" spans="1:9">
      <c r="A100" s="2197" t="s">
        <v>1111</v>
      </c>
      <c r="B100" s="2198"/>
      <c r="C100" s="2198"/>
      <c r="D100" s="2199"/>
      <c r="E100" s="2198" t="s">
        <v>1112</v>
      </c>
      <c r="F100" s="2198"/>
      <c r="G100" s="2198"/>
      <c r="H100" s="2199"/>
      <c r="I100" s="1949"/>
    </row>
    <row r="101" ht="18.75" customHeight="1" spans="1:9">
      <c r="A101" s="2200" t="s">
        <v>1113</v>
      </c>
      <c r="B101" s="2201"/>
      <c r="C101" s="2202" t="str">
        <f>C4</f>
        <v>收益法-经营</v>
      </c>
      <c r="D101" s="2203" t="str">
        <f>D4</f>
        <v>成本法--酒店</v>
      </c>
      <c r="E101" s="2204" t="s">
        <v>1114</v>
      </c>
      <c r="F101" s="2205"/>
      <c r="G101" s="2206" t="s">
        <v>1115</v>
      </c>
      <c r="H101" s="2207">
        <f ca="1">H118</f>
        <v>12017</v>
      </c>
      <c r="I101" s="1949"/>
    </row>
    <row r="102" ht="18.75" customHeight="1" spans="1:9">
      <c r="A102" s="2208" t="s">
        <v>1116</v>
      </c>
      <c r="B102" s="2209" t="s">
        <v>1115</v>
      </c>
      <c r="C102" s="2202">
        <f ca="1">C19</f>
        <v>10602</v>
      </c>
      <c r="D102" s="2203">
        <f ca="1">D19</f>
        <v>13432</v>
      </c>
      <c r="E102" s="2204"/>
      <c r="F102" s="2205"/>
      <c r="G102" s="2206" t="s">
        <v>99</v>
      </c>
      <c r="H102" s="2068">
        <f ca="1">I118</f>
        <v>15471</v>
      </c>
      <c r="I102" s="1949"/>
    </row>
    <row r="103" ht="42.75" customHeight="1" spans="1:9">
      <c r="A103" s="2208"/>
      <c r="B103" s="2209" t="s">
        <v>99</v>
      </c>
      <c r="C103" s="2210">
        <f ca="1">C20</f>
        <v>13649</v>
      </c>
      <c r="D103" s="2211">
        <f ca="1">D20</f>
        <v>17292</v>
      </c>
      <c r="E103" s="2212" t="s">
        <v>1117</v>
      </c>
      <c r="F103" s="2213"/>
      <c r="G103" s="2214" t="s">
        <v>102</v>
      </c>
      <c r="H103" s="2207">
        <f>IF(D36="正常操作",H104+H105+H106,H105+H106)</f>
        <v>0</v>
      </c>
      <c r="I103" s="1949"/>
    </row>
    <row r="104" ht="18.75" customHeight="1" spans="1:9">
      <c r="A104" s="2208" t="s">
        <v>1118</v>
      </c>
      <c r="B104" s="2215" t="s">
        <v>1115</v>
      </c>
      <c r="C104" s="2216">
        <f ca="1">H118</f>
        <v>12017</v>
      </c>
      <c r="D104" s="2217"/>
      <c r="E104" s="2013" t="s">
        <v>1119</v>
      </c>
      <c r="F104" s="2218"/>
      <c r="G104" s="2214" t="s">
        <v>102</v>
      </c>
      <c r="H104" s="2219">
        <f>IF(D36="同一抵押权人同一抵押物续贷",C36&amp;"（续贷，未扣减，详见特别提示）",C36)</f>
        <v>0</v>
      </c>
      <c r="I104" s="1949"/>
    </row>
    <row r="105" ht="18.75" customHeight="1" spans="1:9">
      <c r="A105" s="2220"/>
      <c r="B105" s="2221" t="s">
        <v>99</v>
      </c>
      <c r="C105" s="2222">
        <f ca="1">I118</f>
        <v>15471</v>
      </c>
      <c r="D105" s="2223"/>
      <c r="E105" s="2013" t="s">
        <v>1120</v>
      </c>
      <c r="F105" s="2218"/>
      <c r="G105" s="2214" t="s">
        <v>102</v>
      </c>
      <c r="H105" s="2224">
        <f>C37</f>
        <v>0</v>
      </c>
      <c r="I105" s="1949"/>
    </row>
    <row r="106" ht="18.75" customHeight="1" spans="1:9">
      <c r="A106" s="1927" t="s">
        <v>1121</v>
      </c>
      <c r="B106" s="1927"/>
      <c r="C106" s="1927"/>
      <c r="D106" s="1927"/>
      <c r="E106" s="2225" t="s">
        <v>1122</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1115</v>
      </c>
      <c r="H107" s="2207">
        <f ca="1">IF(E107="——","——",H101-H103)</f>
        <v>12017</v>
      </c>
      <c r="I107" s="1949"/>
    </row>
    <row r="108" ht="18.75" customHeight="1" spans="1:9">
      <c r="A108" s="1949"/>
      <c r="B108" s="1949"/>
      <c r="C108" s="1949"/>
      <c r="D108" s="1949"/>
      <c r="E108" s="2226"/>
      <c r="F108" s="2205"/>
      <c r="G108" s="2206" t="s">
        <v>99</v>
      </c>
      <c r="H108" s="2068">
        <f ca="1">ROUND(H107*10000/'数据-汇总表'!E3,0)</f>
        <v>3562</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1115</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1115</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1121</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1123</v>
      </c>
      <c r="B115" s="2236"/>
      <c r="C115" s="2236"/>
      <c r="D115" s="2236"/>
      <c r="E115" s="2236"/>
      <c r="F115" s="2236"/>
      <c r="G115" s="2236"/>
      <c r="H115" s="2236"/>
      <c r="I115" s="2261"/>
    </row>
    <row r="116" ht="27" customHeight="1" spans="1:9">
      <c r="A116" s="1940" t="s">
        <v>1124</v>
      </c>
      <c r="B116" s="2237" t="s">
        <v>1125</v>
      </c>
      <c r="C116" s="2237" t="s">
        <v>1126</v>
      </c>
      <c r="D116" s="2238" t="s">
        <v>1127</v>
      </c>
      <c r="E116" s="2239"/>
      <c r="F116" s="2240" t="s">
        <v>1128</v>
      </c>
      <c r="G116" s="2240"/>
      <c r="H116" s="1940" t="s">
        <v>1129</v>
      </c>
      <c r="I116" s="1940"/>
    </row>
    <row r="117" ht="18.75" customHeight="1" spans="1:9">
      <c r="A117" s="1940"/>
      <c r="B117" s="2241"/>
      <c r="C117" s="2241"/>
      <c r="D117" s="1940" t="s">
        <v>1130</v>
      </c>
      <c r="E117" s="1940" t="s">
        <v>958</v>
      </c>
      <c r="F117" s="1940" t="s">
        <v>1130</v>
      </c>
      <c r="G117" s="1940" t="s">
        <v>958</v>
      </c>
      <c r="H117" s="1940" t="s">
        <v>1130</v>
      </c>
      <c r="I117" s="1940" t="s">
        <v>958</v>
      </c>
    </row>
    <row r="118" ht="24.75" customHeight="1" spans="1:9">
      <c r="A118" s="2242" t="str">
        <f>项目基本情况!S2</f>
        <v>北京市房地产</v>
      </c>
      <c r="B118" s="1940">
        <f>M18</f>
        <v>7767.62</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12017</v>
      </c>
      <c r="I118" s="1940">
        <f ca="1">ROUND(IF(D32="楼面单价",C32,H118*10000/B118),0)</f>
        <v>15471</v>
      </c>
    </row>
    <row r="119" ht="18.75" customHeight="1" spans="1:9">
      <c r="A119" s="1940" t="s">
        <v>1131</v>
      </c>
      <c r="B119" s="1940"/>
      <c r="C119" s="1940"/>
      <c r="D119" s="2243" t="e">
        <f ca="1" t="shared" ref="D119:H119" si="5">NUMBERSTRING(INT(D118*10000),2)&amp;"元整"</f>
        <v>#REF!</v>
      </c>
      <c r="E119" s="2244"/>
      <c r="F119" s="2243" t="e">
        <f ca="1" t="shared" si="5"/>
        <v>#REF!</v>
      </c>
      <c r="G119" s="2244"/>
      <c r="H119" s="2243" t="str">
        <f ca="1" t="shared" si="5"/>
        <v>壹亿贰仟零壹拾柒万元整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1131</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12017</v>
      </c>
      <c r="E122" s="2246"/>
      <c r="F122" s="2246"/>
      <c r="G122" s="2246"/>
      <c r="H122" s="2246"/>
      <c r="I122" s="2247"/>
      <c r="AA122" s="1923"/>
    </row>
    <row r="123" ht="18.75" customHeight="1" spans="1:27">
      <c r="A123" s="1940" t="s">
        <v>1131</v>
      </c>
      <c r="B123" s="1940"/>
      <c r="C123" s="1940"/>
      <c r="D123" s="2243" t="str">
        <f ca="1" t="shared" ref="D123:D127" si="7">NUMBERSTRING(INT(D122*10000),2)&amp;"元整"</f>
        <v>壹亿贰仟零壹拾柒万元整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1131</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1131</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1132</v>
      </c>
      <c r="B129" s="2264"/>
      <c r="C129" s="2265" t="s">
        <v>1133</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1134</v>
      </c>
      <c r="G135" s="2277"/>
      <c r="H135" s="2277"/>
      <c r="I135" s="2285" t="s">
        <v>1135</v>
      </c>
    </row>
    <row r="136" customHeight="1" spans="1:9">
      <c r="A136" s="1923"/>
      <c r="B136" s="2278" t="s">
        <v>1136</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1137</v>
      </c>
    </row>
    <row r="139" customHeight="1" spans="1:9">
      <c r="A139" s="1923"/>
      <c r="B139" s="2278" t="s">
        <v>1138</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1137</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N12" sqref="N12"/>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1624</v>
      </c>
      <c r="B1" s="2292"/>
      <c r="C1" s="2293"/>
      <c r="D1" s="2294" t="s">
        <v>124</v>
      </c>
      <c r="E1" s="2295" t="s">
        <v>1625</v>
      </c>
      <c r="F1" s="2296">
        <f>C36</f>
        <v>37.58</v>
      </c>
      <c r="G1" s="2297"/>
      <c r="J1" s="2405" t="s">
        <v>1626</v>
      </c>
      <c r="K1" s="2406"/>
      <c r="L1" s="2406"/>
      <c r="M1" s="2406"/>
      <c r="N1" s="2406"/>
      <c r="O1" s="2406"/>
      <c r="P1" s="2406"/>
      <c r="Q1" s="2406"/>
      <c r="R1" s="2453"/>
      <c r="S1" s="2451"/>
      <c r="T1" s="2451"/>
      <c r="U1" s="2451"/>
    </row>
    <row r="2" s="2286" customFormat="1" customHeight="1" spans="1:22">
      <c r="A2" s="2298" t="s">
        <v>1627</v>
      </c>
      <c r="B2" s="2299">
        <f ca="1">C40</f>
        <v>10602</v>
      </c>
      <c r="C2" s="2300" t="s">
        <v>1628</v>
      </c>
      <c r="D2" s="2300"/>
      <c r="E2" s="2301"/>
      <c r="F2" s="2302"/>
      <c r="G2" s="2303"/>
      <c r="I2" s="2407"/>
      <c r="J2" s="2408" t="s">
        <v>1629</v>
      </c>
      <c r="K2" s="2409"/>
      <c r="L2" s="2410" t="s">
        <v>1630</v>
      </c>
      <c r="M2" s="2410" t="s">
        <v>1631</v>
      </c>
      <c r="N2" s="2410" t="s">
        <v>1632</v>
      </c>
      <c r="O2" s="2410" t="s">
        <v>1633</v>
      </c>
      <c r="P2" s="2410" t="s">
        <v>1634</v>
      </c>
      <c r="Q2" s="2454" t="s">
        <v>1635</v>
      </c>
      <c r="R2" s="2330" t="s">
        <v>1636</v>
      </c>
      <c r="S2" s="2451"/>
      <c r="T2" s="2451"/>
      <c r="U2" s="2451"/>
      <c r="V2" s="2407"/>
    </row>
    <row r="3" s="2286" customFormat="1" customHeight="1" spans="1:22">
      <c r="A3" s="2304" t="s">
        <v>1637</v>
      </c>
      <c r="B3" s="2305">
        <f ca="1">ROUND(B2*10000/B4,0)</f>
        <v>13649</v>
      </c>
      <c r="C3" s="2300" t="s">
        <v>1638</v>
      </c>
      <c r="D3" s="2300"/>
      <c r="E3" s="2301"/>
      <c r="F3" s="2302"/>
      <c r="G3" s="2303"/>
      <c r="I3" s="2407"/>
      <c r="J3" s="2411" t="s">
        <v>1639</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492</v>
      </c>
      <c r="B4" s="2307">
        <f>'数据-汇总表'!F21</f>
        <v>7767.62</v>
      </c>
      <c r="C4" s="2300"/>
      <c r="D4" s="2300"/>
      <c r="E4" s="2301"/>
      <c r="F4" s="2302"/>
      <c r="G4" s="2303"/>
      <c r="I4" s="2407"/>
      <c r="J4" s="2411" t="s">
        <v>1640</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1641</v>
      </c>
      <c r="B5" s="2309"/>
      <c r="C5" s="2300"/>
      <c r="D5" s="2310"/>
      <c r="E5" s="2302"/>
      <c r="F5" s="2302"/>
      <c r="G5" s="2303"/>
      <c r="I5" s="2407"/>
      <c r="J5" s="2414" t="s">
        <v>1642</v>
      </c>
      <c r="K5" s="2415"/>
      <c r="L5" s="2415"/>
      <c r="M5" s="2416"/>
      <c r="N5" s="2416"/>
      <c r="O5" s="2416"/>
      <c r="P5" s="2416"/>
      <c r="Q5" s="2416"/>
      <c r="R5" s="2330">
        <f>SUM(R14,R19,R24,R25,R27,R28)</f>
        <v>1255</v>
      </c>
      <c r="S5" s="2451"/>
      <c r="T5" s="2451"/>
      <c r="U5" s="2451"/>
      <c r="V5" s="2407"/>
    </row>
    <row r="6" s="2286" customFormat="1" customHeight="1" spans="1:24">
      <c r="A6" s="2311" t="s">
        <v>1643</v>
      </c>
      <c r="B6" s="2312"/>
      <c r="C6" s="2313"/>
      <c r="D6" s="2314">
        <f>R5</f>
        <v>1255</v>
      </c>
      <c r="E6" s="2315"/>
      <c r="F6" s="2316"/>
      <c r="G6" s="2317">
        <f>D6*10000/365/B4</f>
        <v>4.42652468115531</v>
      </c>
      <c r="I6" s="2407"/>
      <c r="J6" s="2417">
        <v>1</v>
      </c>
      <c r="K6" s="2418" t="s">
        <v>1644</v>
      </c>
      <c r="L6" s="2419" t="s">
        <v>1645</v>
      </c>
      <c r="M6" s="2367" t="s">
        <v>1646</v>
      </c>
      <c r="N6" s="2367" t="s">
        <v>1647</v>
      </c>
      <c r="O6" s="2367" t="s">
        <v>1648</v>
      </c>
      <c r="P6" s="2367" t="s">
        <v>1649</v>
      </c>
      <c r="Q6" s="2367" t="s">
        <v>1650</v>
      </c>
      <c r="R6" s="2456" t="s">
        <v>1651</v>
      </c>
      <c r="S6" s="2451"/>
      <c r="T6" s="2451"/>
      <c r="U6" s="2451"/>
      <c r="V6" s="2407"/>
      <c r="W6" s="2459" t="s">
        <v>472</v>
      </c>
      <c r="X6" s="2460">
        <v>841.95</v>
      </c>
    </row>
    <row r="7" s="2286" customFormat="1" customHeight="1" spans="1:24">
      <c r="A7" s="2318" t="s">
        <v>1652</v>
      </c>
      <c r="B7" s="2319"/>
      <c r="C7" s="2320"/>
      <c r="D7" s="2321">
        <f ca="1">SUM(D9,D10,D11,D17,0)</f>
        <v>746</v>
      </c>
      <c r="E7" s="2322">
        <f ca="1">E9+E10+E11+E17</f>
        <v>0.593426294820717</v>
      </c>
      <c r="F7" s="2323"/>
      <c r="G7" s="2324"/>
      <c r="I7" s="2407"/>
      <c r="J7" s="2417"/>
      <c r="K7" s="2420"/>
      <c r="L7" s="2421" t="s">
        <v>1653</v>
      </c>
      <c r="M7" s="2422"/>
      <c r="N7" s="2307"/>
      <c r="O7" s="2423"/>
      <c r="P7" s="2423"/>
      <c r="Q7" s="2428"/>
      <c r="R7" s="2461"/>
      <c r="S7" s="2451"/>
      <c r="T7" s="2451"/>
      <c r="U7" s="2451"/>
      <c r="V7" s="2407"/>
      <c r="W7" s="2462" t="s">
        <v>473</v>
      </c>
      <c r="X7" s="2460">
        <v>791.26</v>
      </c>
    </row>
    <row r="8" s="2286" customFormat="1" customHeight="1" spans="1:24">
      <c r="A8" s="2325" t="s">
        <v>1654</v>
      </c>
      <c r="B8" s="2326" t="s">
        <v>1655</v>
      </c>
      <c r="C8" s="2327"/>
      <c r="D8" s="2328" t="s">
        <v>1656</v>
      </c>
      <c r="E8" s="2329" t="s">
        <v>1657</v>
      </c>
      <c r="F8" s="2330" t="s">
        <v>1658</v>
      </c>
      <c r="G8" s="2331"/>
      <c r="I8" s="2407"/>
      <c r="J8" s="2417"/>
      <c r="K8" s="2420"/>
      <c r="L8" s="2421" t="s">
        <v>1659</v>
      </c>
      <c r="M8" s="2422"/>
      <c r="N8" s="2307"/>
      <c r="O8" s="2423"/>
      <c r="P8" s="2423"/>
      <c r="Q8" s="2428"/>
      <c r="R8" s="2461"/>
      <c r="S8" s="2451"/>
      <c r="T8" s="2451"/>
      <c r="U8" s="2451"/>
      <c r="V8" s="2407"/>
      <c r="W8" s="2459" t="s">
        <v>475</v>
      </c>
      <c r="X8" s="2460">
        <v>795.71</v>
      </c>
    </row>
    <row r="9" s="2286" customFormat="1" customHeight="1" spans="1:24">
      <c r="A9" s="2325">
        <v>1</v>
      </c>
      <c r="B9" s="2332" t="s">
        <v>1660</v>
      </c>
      <c r="C9" s="2333"/>
      <c r="D9" s="2328">
        <f>ROUND(D6*E9,0)</f>
        <v>377</v>
      </c>
      <c r="E9" s="2334">
        <v>0.3</v>
      </c>
      <c r="F9" s="2335" t="s">
        <v>1661</v>
      </c>
      <c r="G9" s="2317"/>
      <c r="I9" s="2407"/>
      <c r="J9" s="2417"/>
      <c r="K9" s="2420"/>
      <c r="L9" s="2421" t="s">
        <v>1662</v>
      </c>
      <c r="M9" s="2422"/>
      <c r="N9" s="2307"/>
      <c r="O9" s="2423"/>
      <c r="P9" s="2423"/>
      <c r="Q9" s="2428"/>
      <c r="R9" s="2461"/>
      <c r="S9" s="2451"/>
      <c r="T9" s="2451"/>
      <c r="U9" s="2451"/>
      <c r="V9" s="2407"/>
      <c r="W9" s="2462" t="s">
        <v>476</v>
      </c>
      <c r="X9" s="2460">
        <v>795.71</v>
      </c>
    </row>
    <row r="10" s="2286" customFormat="1" customHeight="1" spans="1:24">
      <c r="A10" s="2325">
        <v>2</v>
      </c>
      <c r="B10" s="2326" t="s">
        <v>1663</v>
      </c>
      <c r="C10" s="2327"/>
      <c r="D10" s="2328">
        <f>ROUND(D6*E10,0)</f>
        <v>126</v>
      </c>
      <c r="E10" s="2334">
        <v>0.1</v>
      </c>
      <c r="F10" s="2335" t="s">
        <v>1664</v>
      </c>
      <c r="G10" s="2317"/>
      <c r="I10" s="2407"/>
      <c r="J10" s="2417"/>
      <c r="K10" s="2420"/>
      <c r="L10" s="2421" t="s">
        <v>1665</v>
      </c>
      <c r="M10" s="2422"/>
      <c r="N10" s="2307"/>
      <c r="O10" s="2423"/>
      <c r="P10" s="2423"/>
      <c r="Q10" s="2428"/>
      <c r="R10" s="2461"/>
      <c r="S10" s="2451"/>
      <c r="T10" s="2451"/>
      <c r="U10" s="2451"/>
      <c r="V10" s="2407"/>
      <c r="W10" s="2459" t="s">
        <v>477</v>
      </c>
      <c r="X10" s="2460">
        <v>795.71</v>
      </c>
    </row>
    <row r="11" s="2286" customFormat="1" customHeight="1" spans="1:24">
      <c r="A11" s="2325">
        <v>3</v>
      </c>
      <c r="B11" s="2326" t="s">
        <v>1666</v>
      </c>
      <c r="C11" s="2327"/>
      <c r="D11" s="2328">
        <f ca="1">D12+D14+D15+D16</f>
        <v>180</v>
      </c>
      <c r="E11" s="2336">
        <f ca="1">D11/D6</f>
        <v>0.143426294820717</v>
      </c>
      <c r="F11" s="2330"/>
      <c r="G11" s="2331"/>
      <c r="I11" s="2407"/>
      <c r="J11" s="2417"/>
      <c r="K11" s="2420"/>
      <c r="L11" s="2421" t="s">
        <v>1667</v>
      </c>
      <c r="M11" s="2422"/>
      <c r="N11" s="2307"/>
      <c r="O11" s="2423"/>
      <c r="P11" s="2423"/>
      <c r="Q11" s="2428"/>
      <c r="R11" s="2461"/>
      <c r="S11" s="2451"/>
      <c r="T11" s="2451"/>
      <c r="U11" s="2451"/>
      <c r="V11" s="2407"/>
      <c r="W11" s="2462" t="s">
        <v>478</v>
      </c>
      <c r="X11" s="2460">
        <v>791.26</v>
      </c>
    </row>
    <row r="12" s="2286" customFormat="1" customHeight="1" spans="1:24">
      <c r="A12" s="2337" t="s">
        <v>1668</v>
      </c>
      <c r="B12" s="2338" t="s">
        <v>1669</v>
      </c>
      <c r="C12" s="2339"/>
      <c r="D12" s="2340">
        <f ca="1">ROUND(D13*1.2%*(1-30%),0)</f>
        <v>113</v>
      </c>
      <c r="E12" s="2341">
        <v>0.012</v>
      </c>
      <c r="F12" s="2330" t="s">
        <v>1670</v>
      </c>
      <c r="G12" s="2331"/>
      <c r="I12" s="2407"/>
      <c r="J12" s="2417"/>
      <c r="K12" s="2420"/>
      <c r="L12" s="2421" t="s">
        <v>1671</v>
      </c>
      <c r="M12" s="2422"/>
      <c r="N12" s="2307"/>
      <c r="O12" s="2423"/>
      <c r="P12" s="2423"/>
      <c r="Q12" s="2428"/>
      <c r="R12" s="2461"/>
      <c r="S12" s="2451"/>
      <c r="T12" s="2451"/>
      <c r="U12" s="2451"/>
      <c r="V12" s="2407"/>
      <c r="W12" s="2459" t="s">
        <v>479</v>
      </c>
      <c r="X12" s="2460">
        <v>791.26</v>
      </c>
    </row>
    <row r="13" s="2286" customFormat="1" customHeight="1" spans="1:24">
      <c r="A13" s="2337"/>
      <c r="B13" s="2342"/>
      <c r="C13" s="2343" t="s">
        <v>1672</v>
      </c>
      <c r="D13" s="2344">
        <f ca="1">'成本法--酒店'!B2</f>
        <v>13432</v>
      </c>
      <c r="E13" s="2345"/>
      <c r="F13" s="2330"/>
      <c r="G13" s="2331"/>
      <c r="I13" s="2407"/>
      <c r="J13" s="2417"/>
      <c r="K13" s="2420"/>
      <c r="L13" s="2421" t="s">
        <v>1673</v>
      </c>
      <c r="M13" s="2422">
        <v>173</v>
      </c>
      <c r="N13" s="2307">
        <v>220</v>
      </c>
      <c r="O13" s="2423">
        <v>1</v>
      </c>
      <c r="P13" s="2423">
        <v>0.531</v>
      </c>
      <c r="Q13" s="2428">
        <v>365</v>
      </c>
      <c r="R13" s="2461">
        <f>ROUND(M13*N13*O13*P13*Q13/10000,0)</f>
        <v>738</v>
      </c>
      <c r="S13" s="2451"/>
      <c r="T13" s="2451"/>
      <c r="U13" s="2451"/>
      <c r="V13" s="2407"/>
      <c r="W13" s="2462" t="s">
        <v>480</v>
      </c>
      <c r="X13" s="2460">
        <v>802.15</v>
      </c>
    </row>
    <row r="14" s="2286" customFormat="1" customHeight="1" spans="1:24">
      <c r="A14" s="2337" t="s">
        <v>1484</v>
      </c>
      <c r="B14" s="2342" t="s">
        <v>1674</v>
      </c>
      <c r="C14" s="2346"/>
      <c r="D14" s="2340">
        <f>ROUND(E14*B5/10000,0)</f>
        <v>0</v>
      </c>
      <c r="E14" s="2347">
        <f>'[6]数据-取费表'!B56</f>
        <v>9</v>
      </c>
      <c r="F14" s="2330" t="s">
        <v>1675</v>
      </c>
      <c r="G14" s="2331"/>
      <c r="I14" s="2407"/>
      <c r="J14" s="2417"/>
      <c r="K14" s="2424"/>
      <c r="L14" s="2425" t="s">
        <v>1676</v>
      </c>
      <c r="M14" s="2426">
        <f>SUM(M7:M13)</f>
        <v>173</v>
      </c>
      <c r="N14" s="2426">
        <f>ROUND((N7*M7+N8*M8+N9*M9+N10*M10+N11*M11+N12*M12+N13*M13)/M14,0)</f>
        <v>220</v>
      </c>
      <c r="O14" s="2427"/>
      <c r="P14" s="2427"/>
      <c r="Q14" s="2463"/>
      <c r="R14" s="2330">
        <f>SUM(R7:R13)</f>
        <v>738</v>
      </c>
      <c r="S14" s="2451"/>
      <c r="T14" s="2451"/>
      <c r="U14" s="2451"/>
      <c r="V14" s="2407"/>
      <c r="W14" s="2459" t="s">
        <v>481</v>
      </c>
      <c r="X14" s="2460">
        <v>802.15</v>
      </c>
    </row>
    <row r="15" s="2286" customFormat="1" customHeight="1" spans="1:24">
      <c r="A15" s="2337" t="s">
        <v>1496</v>
      </c>
      <c r="B15" s="2342" t="s">
        <v>1677</v>
      </c>
      <c r="C15" s="2346"/>
      <c r="D15" s="2348">
        <f>ROUND(D6*E15/(1+5%),0)</f>
        <v>67</v>
      </c>
      <c r="E15" s="2341">
        <v>0.056</v>
      </c>
      <c r="F15" s="2330" t="s">
        <v>1678</v>
      </c>
      <c r="G15" s="2317"/>
      <c r="I15" s="2407"/>
      <c r="J15" s="2417">
        <v>2</v>
      </c>
      <c r="K15" s="2418" t="s">
        <v>1679</v>
      </c>
      <c r="L15" s="2421" t="s">
        <v>1680</v>
      </c>
      <c r="M15" s="2422" t="s">
        <v>1681</v>
      </c>
      <c r="N15" s="2422" t="s">
        <v>1682</v>
      </c>
      <c r="O15" s="2423" t="s">
        <v>1683</v>
      </c>
      <c r="P15" s="2423" t="s">
        <v>1650</v>
      </c>
      <c r="Q15" s="2307" t="s">
        <v>124</v>
      </c>
      <c r="R15" s="2464" t="s">
        <v>1651</v>
      </c>
      <c r="S15" s="2451"/>
      <c r="T15" s="2451"/>
      <c r="U15" s="2451"/>
      <c r="V15" s="2407"/>
      <c r="W15" s="2462" t="s">
        <v>482</v>
      </c>
      <c r="X15" s="2460">
        <v>560.46</v>
      </c>
    </row>
    <row r="16" s="2286" customFormat="1" customHeight="1" spans="1:25">
      <c r="A16" s="2337" t="s">
        <v>1684</v>
      </c>
      <c r="B16" s="2342" t="s">
        <v>1685</v>
      </c>
      <c r="C16" s="2346"/>
      <c r="D16" s="2348">
        <f>D6*E16</f>
        <v>0</v>
      </c>
      <c r="E16" s="2349"/>
      <c r="F16" s="2335" t="s">
        <v>1686</v>
      </c>
      <c r="G16" s="2317"/>
      <c r="I16" s="2407"/>
      <c r="J16" s="2417"/>
      <c r="K16" s="2420"/>
      <c r="L16" s="2421" t="s">
        <v>1687</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1688</v>
      </c>
      <c r="C17" s="2352"/>
      <c r="D17" s="2353">
        <f>ROUND(D6*E17,0)</f>
        <v>63</v>
      </c>
      <c r="E17" s="2354">
        <v>0.05</v>
      </c>
      <c r="F17" s="2355" t="s">
        <v>1689</v>
      </c>
      <c r="G17" s="2317"/>
      <c r="I17" s="2407"/>
      <c r="J17" s="2417"/>
      <c r="K17" s="2420"/>
      <c r="L17" s="2421" t="s">
        <v>1690</v>
      </c>
      <c r="M17" s="2422">
        <v>200</v>
      </c>
      <c r="N17" s="2422">
        <v>200</v>
      </c>
      <c r="O17" s="2423">
        <v>2</v>
      </c>
      <c r="P17" s="2428">
        <v>365</v>
      </c>
      <c r="Q17" s="2307"/>
      <c r="R17" s="2464">
        <f t="shared" si="0"/>
        <v>2920</v>
      </c>
      <c r="S17" s="2451"/>
      <c r="T17" s="2451"/>
      <c r="U17" s="2451"/>
      <c r="V17" s="2407"/>
    </row>
    <row r="18" s="2286" customFormat="1" customHeight="1" spans="1:22">
      <c r="A18" s="2318" t="s">
        <v>1691</v>
      </c>
      <c r="B18" s="2319"/>
      <c r="C18" s="2319"/>
      <c r="D18" s="2356">
        <f>ROUND(D6*E18,0)</f>
        <v>63</v>
      </c>
      <c r="E18" s="2357">
        <v>0.05</v>
      </c>
      <c r="F18" s="2358" t="s">
        <v>1692</v>
      </c>
      <c r="G18" s="2317"/>
      <c r="I18" s="2407"/>
      <c r="J18" s="2417"/>
      <c r="K18" s="2420"/>
      <c r="L18" s="2421" t="s">
        <v>1693</v>
      </c>
      <c r="M18" s="2422"/>
      <c r="N18" s="2422"/>
      <c r="O18" s="2423"/>
      <c r="P18" s="2428">
        <v>365</v>
      </c>
      <c r="Q18" s="2307"/>
      <c r="R18" s="2464">
        <f t="shared" si="0"/>
        <v>0</v>
      </c>
      <c r="S18" s="2451"/>
      <c r="T18" s="2451"/>
      <c r="U18" s="2451"/>
      <c r="V18" s="2407"/>
    </row>
    <row r="19" s="2286" customFormat="1" customHeight="1" spans="1:22">
      <c r="A19" s="2359" t="s">
        <v>1694</v>
      </c>
      <c r="B19" s="2315"/>
      <c r="C19" s="2315"/>
      <c r="D19" s="2315"/>
      <c r="E19" s="2315"/>
      <c r="F19" s="2316"/>
      <c r="G19" s="2331"/>
      <c r="I19" s="2407"/>
      <c r="J19" s="2417"/>
      <c r="K19" s="2424"/>
      <c r="L19" s="2425" t="s">
        <v>1676</v>
      </c>
      <c r="M19" s="2426"/>
      <c r="N19" s="2426">
        <f>SUM(N16:N18)</f>
        <v>300</v>
      </c>
      <c r="O19" s="2427"/>
      <c r="P19" s="2429" t="s">
        <v>1695</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1696</v>
      </c>
      <c r="L20" s="2421" t="s">
        <v>1697</v>
      </c>
      <c r="M20" s="2422" t="s">
        <v>1698</v>
      </c>
      <c r="N20" s="2430" t="s">
        <v>1699</v>
      </c>
      <c r="O20" s="2423" t="s">
        <v>1700</v>
      </c>
      <c r="P20" s="2428" t="s">
        <v>1650</v>
      </c>
      <c r="Q20" s="2307" t="s">
        <v>124</v>
      </c>
      <c r="R20" s="2464" t="s">
        <v>1651</v>
      </c>
      <c r="S20" s="2451"/>
      <c r="T20" s="2451"/>
      <c r="U20" s="2451"/>
      <c r="V20" s="2407"/>
    </row>
    <row r="21" s="2286" customFormat="1" customHeight="1" spans="1:22">
      <c r="A21" s="2318"/>
      <c r="B21" s="2319"/>
      <c r="C21" s="2326" t="s">
        <v>1701</v>
      </c>
      <c r="D21" s="2361" t="s">
        <v>1702</v>
      </c>
      <c r="E21" s="2327" t="s">
        <v>1703</v>
      </c>
      <c r="F21" s="2360"/>
      <c r="G21" s="2331"/>
      <c r="I21" s="2407"/>
      <c r="J21" s="2417"/>
      <c r="K21" s="2420"/>
      <c r="L21" s="2421" t="s">
        <v>1704</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1705</v>
      </c>
      <c r="D22" s="2363" t="s">
        <v>1706</v>
      </c>
      <c r="E22" s="2364" t="s">
        <v>1707</v>
      </c>
      <c r="F22" s="2360"/>
      <c r="G22" s="2365"/>
      <c r="I22" s="2407"/>
      <c r="J22" s="2417"/>
      <c r="K22" s="2420"/>
      <c r="L22" s="2421" t="s">
        <v>1708</v>
      </c>
      <c r="M22" s="2422">
        <v>5</v>
      </c>
      <c r="N22" s="2422">
        <v>1500</v>
      </c>
      <c r="O22" s="2423">
        <v>0.5</v>
      </c>
      <c r="P22" s="2428">
        <v>365</v>
      </c>
      <c r="Q22" s="2307"/>
      <c r="R22" s="2467">
        <f t="shared" si="1"/>
        <v>137</v>
      </c>
      <c r="S22" s="2451"/>
      <c r="T22" s="2451"/>
      <c r="U22" s="2451"/>
      <c r="V22" s="2407"/>
    </row>
    <row r="23" s="2286" customFormat="1" customHeight="1" spans="1:22">
      <c r="A23" s="2366">
        <v>1</v>
      </c>
      <c r="B23" s="2367" t="s">
        <v>1709</v>
      </c>
      <c r="C23" s="2368">
        <f>D6</f>
        <v>1255</v>
      </c>
      <c r="D23" s="2369">
        <f>C23*(1+D24)</f>
        <v>1255</v>
      </c>
      <c r="E23" s="2370">
        <f>D23*(1+E24)</f>
        <v>1255</v>
      </c>
      <c r="F23" s="2371"/>
      <c r="G23" s="2372"/>
      <c r="I23" s="2407"/>
      <c r="J23" s="2417"/>
      <c r="K23" s="2420"/>
      <c r="L23" s="2421" t="s">
        <v>1710</v>
      </c>
      <c r="M23" s="2422">
        <v>8</v>
      </c>
      <c r="N23" s="2422">
        <v>1000</v>
      </c>
      <c r="O23" s="2423">
        <v>0.6</v>
      </c>
      <c r="P23" s="2428">
        <v>365</v>
      </c>
      <c r="Q23" s="2307"/>
      <c r="R23" s="2467">
        <f t="shared" si="1"/>
        <v>175</v>
      </c>
      <c r="S23" s="2451"/>
      <c r="T23" s="2451"/>
      <c r="U23" s="2451"/>
      <c r="V23" s="2407"/>
    </row>
    <row r="24" s="2286" customFormat="1" customHeight="1" spans="1:22">
      <c r="A24" s="2373"/>
      <c r="B24" s="2374" t="s">
        <v>1711</v>
      </c>
      <c r="C24" s="2375"/>
      <c r="D24" s="2376"/>
      <c r="E24" s="2377"/>
      <c r="F24" s="2378"/>
      <c r="G24" s="2372"/>
      <c r="I24" s="2407"/>
      <c r="J24" s="2417"/>
      <c r="K24" s="2424"/>
      <c r="L24" s="2425" t="s">
        <v>1676</v>
      </c>
      <c r="M24" s="2426">
        <f>SUM(M21:M23)</f>
        <v>15</v>
      </c>
      <c r="N24" s="2426"/>
      <c r="O24" s="2427"/>
      <c r="P24" s="2429" t="s">
        <v>1695</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1712</v>
      </c>
      <c r="L25" s="2432"/>
      <c r="M25" s="2432"/>
      <c r="N25" s="2432"/>
      <c r="O25" s="2432"/>
      <c r="P25" s="2433"/>
      <c r="Q25" s="2468">
        <v>0.1</v>
      </c>
      <c r="R25" s="2466">
        <f>ROUND(R14*Q25,0)</f>
        <v>74</v>
      </c>
      <c r="S25" s="2451"/>
      <c r="T25" s="2451"/>
      <c r="U25" s="2451"/>
      <c r="V25" s="2440"/>
    </row>
    <row r="26" s="2287" customFormat="1" customHeight="1" spans="1:22">
      <c r="A26" s="2366">
        <v>2</v>
      </c>
      <c r="B26" s="2367" t="s">
        <v>1713</v>
      </c>
      <c r="C26" s="2368">
        <f ca="1">D7</f>
        <v>746</v>
      </c>
      <c r="D26" s="2369">
        <f>D23*D27</f>
        <v>0</v>
      </c>
      <c r="E26" s="2370">
        <f>E23*E27</f>
        <v>0</v>
      </c>
      <c r="F26" s="2371"/>
      <c r="G26" s="2372"/>
      <c r="H26" s="2286"/>
      <c r="I26" s="2407"/>
      <c r="J26" s="2434">
        <v>5</v>
      </c>
      <c r="K26" s="2435" t="s">
        <v>1714</v>
      </c>
      <c r="L26" s="2436"/>
      <c r="M26" s="2437"/>
      <c r="N26" s="2438" t="s">
        <v>367</v>
      </c>
      <c r="O26" s="2438" t="s">
        <v>1715</v>
      </c>
      <c r="P26" s="2439" t="s">
        <v>1716</v>
      </c>
      <c r="Q26" s="2439" t="s">
        <v>1717</v>
      </c>
      <c r="R26" s="2456" t="s">
        <v>1651</v>
      </c>
      <c r="S26" s="2469"/>
      <c r="T26" s="2469"/>
      <c r="U26" s="2469"/>
      <c r="V26" s="2440"/>
    </row>
    <row r="27" s="2286" customFormat="1" customHeight="1" spans="1:22">
      <c r="A27" s="2373"/>
      <c r="B27" s="2374" t="s">
        <v>1718</v>
      </c>
      <c r="C27" s="2379">
        <f ca="1">E7</f>
        <v>0.593426294820717</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1719</v>
      </c>
      <c r="F28" s="2378"/>
      <c r="G28" s="2365"/>
      <c r="I28" s="2440"/>
      <c r="J28" s="2446">
        <v>6</v>
      </c>
      <c r="K28" s="2447" t="s">
        <v>1720</v>
      </c>
      <c r="L28" s="2448" t="s">
        <v>1721</v>
      </c>
      <c r="M28" s="2449"/>
      <c r="N28" s="2448" t="s">
        <v>1722</v>
      </c>
      <c r="O28" s="2450" t="s">
        <v>1723</v>
      </c>
      <c r="P28" s="2448" t="s">
        <v>1724</v>
      </c>
      <c r="Q28" s="2471">
        <v>0.015</v>
      </c>
      <c r="R28" s="2472"/>
      <c r="S28" s="2451"/>
      <c r="T28" s="2451"/>
      <c r="U28" s="2451"/>
      <c r="V28" s="2440"/>
    </row>
    <row r="29" s="2287" customFormat="1" customHeight="1" spans="1:22">
      <c r="A29" s="2366">
        <v>3</v>
      </c>
      <c r="B29" s="2367" t="s">
        <v>1725</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1718</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1726</v>
      </c>
      <c r="K31" s="2406"/>
      <c r="L31" s="2406"/>
      <c r="M31" s="2406"/>
      <c r="N31" s="2406"/>
      <c r="O31" s="2406"/>
      <c r="P31" s="2406"/>
      <c r="Q31" s="2406"/>
      <c r="R31" s="2453"/>
      <c r="S31" s="2451"/>
      <c r="T31" s="2451"/>
      <c r="U31" s="2451"/>
      <c r="V31" s="2440"/>
    </row>
    <row r="32" s="2287" customFormat="1" customHeight="1" spans="1:22">
      <c r="A32" s="2366">
        <v>4</v>
      </c>
      <c r="B32" s="2367" t="s">
        <v>1727</v>
      </c>
      <c r="C32" s="2368">
        <f ca="1">C23-C26-C29</f>
        <v>446.25</v>
      </c>
      <c r="D32" s="2369">
        <f>D23-D26-D29</f>
        <v>1192.25</v>
      </c>
      <c r="E32" s="2370">
        <f>E23-E26-E29</f>
        <v>1192.25</v>
      </c>
      <c r="F32" s="2371"/>
      <c r="G32" s="2365"/>
      <c r="H32" s="2286"/>
      <c r="I32" s="2407"/>
      <c r="J32" s="2408" t="s">
        <v>1629</v>
      </c>
      <c r="K32" s="2409"/>
      <c r="L32" s="2410" t="s">
        <v>1630</v>
      </c>
      <c r="M32" s="2410" t="s">
        <v>1631</v>
      </c>
      <c r="N32" s="2410" t="s">
        <v>1632</v>
      </c>
      <c r="O32" s="2410" t="s">
        <v>1633</v>
      </c>
      <c r="P32" s="2410" t="s">
        <v>1634</v>
      </c>
      <c r="Q32" s="2454" t="s">
        <v>1635</v>
      </c>
      <c r="R32" s="2329" t="s">
        <v>1636</v>
      </c>
      <c r="S32" s="2451"/>
      <c r="T32" s="2451"/>
      <c r="U32" s="2451"/>
      <c r="V32" s="2440"/>
    </row>
    <row r="33" s="2286" customFormat="1" customHeight="1" spans="1:22">
      <c r="A33" s="2366"/>
      <c r="B33" s="2367"/>
      <c r="C33" s="2368"/>
      <c r="D33" s="2382"/>
      <c r="E33" s="2346"/>
      <c r="F33" s="2371"/>
      <c r="G33" s="2365"/>
      <c r="H33" s="2287"/>
      <c r="I33" s="2440"/>
      <c r="J33" s="2411" t="s">
        <v>1639</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1728</v>
      </c>
      <c r="C34" s="2383">
        <f>'[6]数据-取费表'!I6</f>
        <v>0.055</v>
      </c>
      <c r="D34" s="2384"/>
      <c r="E34" s="2385"/>
      <c r="F34" s="2371"/>
      <c r="G34" s="2365"/>
      <c r="H34" s="2287"/>
      <c r="I34" s="2440"/>
      <c r="J34" s="2411" t="s">
        <v>1640</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1729</v>
      </c>
      <c r="C35" s="2386">
        <f>'[6]数据-取费表'!V6</f>
        <v>0.03</v>
      </c>
      <c r="D35" s="2387"/>
      <c r="E35" s="2388"/>
      <c r="F35" s="2371"/>
      <c r="G35" s="2389"/>
      <c r="I35" s="2440"/>
      <c r="J35" s="2414" t="s">
        <v>1642</v>
      </c>
      <c r="K35" s="2415"/>
      <c r="L35" s="2415"/>
      <c r="M35" s="2416"/>
      <c r="N35" s="2416"/>
      <c r="O35" s="2416"/>
      <c r="P35" s="2416"/>
      <c r="Q35" s="2416"/>
      <c r="R35" s="2326">
        <f>R40+R41+R43</f>
        <v>11078</v>
      </c>
      <c r="S35" s="2451"/>
      <c r="T35" s="2451"/>
      <c r="U35" s="2451"/>
      <c r="V35" s="2407"/>
    </row>
    <row r="36" s="2286" customFormat="1" customHeight="1" spans="1:22">
      <c r="A36" s="2366">
        <v>7</v>
      </c>
      <c r="B36" s="2390" t="s">
        <v>1730</v>
      </c>
      <c r="C36" s="2391">
        <f>[6]项目基本情况!E15</f>
        <v>37.58</v>
      </c>
      <c r="D36" s="2392"/>
      <c r="E36" s="2393"/>
      <c r="F36" s="2394">
        <f>C36+D36+E36</f>
        <v>37.58</v>
      </c>
      <c r="G36" s="2365"/>
      <c r="I36" s="2407"/>
      <c r="J36" s="2417">
        <v>1</v>
      </c>
      <c r="K36" s="2418" t="s">
        <v>1731</v>
      </c>
      <c r="L36" s="2419"/>
      <c r="M36" s="2367"/>
      <c r="N36" s="2367"/>
      <c r="O36" s="2367"/>
      <c r="P36" s="2367"/>
      <c r="Q36" s="2367"/>
      <c r="R36" s="2456" t="s">
        <v>1651</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10602</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1732</v>
      </c>
      <c r="C39" s="2340">
        <f ca="1">C38</f>
        <v>10602</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1733</v>
      </c>
      <c r="C40" s="2397">
        <f ca="1">C39+D39+E39</f>
        <v>10602</v>
      </c>
      <c r="D40" s="2398"/>
      <c r="E40" s="2398"/>
      <c r="F40" s="2399"/>
      <c r="G40" s="2365"/>
      <c r="I40" s="2407"/>
      <c r="J40" s="2417"/>
      <c r="K40" s="2424"/>
      <c r="L40" s="2425" t="s">
        <v>1676</v>
      </c>
      <c r="M40" s="2426"/>
      <c r="N40" s="2426"/>
      <c r="O40" s="2427"/>
      <c r="P40" s="2427"/>
      <c r="Q40" s="2463"/>
      <c r="R40" s="2330">
        <f>SUM(R37:R39)</f>
        <v>10000</v>
      </c>
      <c r="S40" s="2451"/>
      <c r="T40" s="2451"/>
      <c r="U40" s="2451"/>
      <c r="V40" s="2407"/>
    </row>
    <row r="41" s="2286" customFormat="1" customHeight="1" spans="1:22">
      <c r="A41" s="2400">
        <v>11</v>
      </c>
      <c r="B41" s="2401" t="s">
        <v>1734</v>
      </c>
      <c r="C41" s="2401">
        <f ca="1">ROUND(C40*10000/B4,0)</f>
        <v>13649</v>
      </c>
      <c r="D41" s="2402"/>
      <c r="E41" s="2402"/>
      <c r="F41" s="2403"/>
      <c r="I41" s="2407"/>
      <c r="J41" s="2417">
        <v>2</v>
      </c>
      <c r="K41" s="2431" t="s">
        <v>1712</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1714</v>
      </c>
      <c r="L42" s="2436"/>
      <c r="M42" s="2437"/>
      <c r="N42" s="2438" t="s">
        <v>367</v>
      </c>
      <c r="O42" s="2438" t="s">
        <v>1715</v>
      </c>
      <c r="P42" s="2439" t="s">
        <v>1716</v>
      </c>
      <c r="Q42" s="2439" t="s">
        <v>1717</v>
      </c>
      <c r="R42" s="2456" t="s">
        <v>1651</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1735</v>
      </c>
      <c r="J44" s="2446">
        <v>6</v>
      </c>
      <c r="K44" s="2447" t="s">
        <v>1720</v>
      </c>
      <c r="L44" s="2452" t="s">
        <v>1721</v>
      </c>
      <c r="M44" s="2449"/>
      <c r="N44" s="2452" t="s">
        <v>1722</v>
      </c>
      <c r="O44" s="2449" t="s">
        <v>1723</v>
      </c>
      <c r="P44" s="2452" t="s">
        <v>1724</v>
      </c>
      <c r="Q44" s="2471">
        <v>0.015</v>
      </c>
      <c r="R44" s="2472"/>
    </row>
    <row r="45" customHeight="1" spans="1:4">
      <c r="A45" s="2288" t="s">
        <v>1736</v>
      </c>
      <c r="B45" s="2288">
        <v>2278</v>
      </c>
      <c r="C45" s="2288" t="s">
        <v>1737</v>
      </c>
      <c r="D45" s="2288">
        <f>B45*2</f>
        <v>4556</v>
      </c>
    </row>
    <row r="46" customHeight="1" spans="1:1">
      <c r="A46" s="2288" t="s">
        <v>1738</v>
      </c>
    </row>
    <row r="47" customHeight="1" spans="1:4">
      <c r="A47" s="2288" t="s">
        <v>1736</v>
      </c>
      <c r="B47" s="2288">
        <v>3066</v>
      </c>
      <c r="C47" s="2288" t="s">
        <v>1737</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1326</v>
      </c>
      <c r="B1" s="789" t="s">
        <v>554</v>
      </c>
      <c r="C1" s="151"/>
      <c r="D1" s="151"/>
      <c r="E1" s="151"/>
      <c r="F1" s="151"/>
      <c r="G1" s="791">
        <f>MATCH(B1,'数据-取费表'!A6:A16,0)+5</f>
        <v>8</v>
      </c>
    </row>
    <row r="2" s="141" customFormat="1" ht="18" customHeight="1" spans="1:7">
      <c r="A2" s="153" t="s">
        <v>1144</v>
      </c>
      <c r="B2" s="154">
        <f ca="1">IF(D2="——",C52,C52-E2)</f>
        <v>13432</v>
      </c>
      <c r="C2" s="152" t="s">
        <v>1145</v>
      </c>
      <c r="D2" s="793" t="s">
        <v>124</v>
      </c>
      <c r="E2" s="794" t="e">
        <f ca="1">SUMIF(INDIRECT("'"&amp;G2&amp;"'"&amp;"!A:A"),"承租人权益价值",INDIRECT("'"&amp;G2&amp;"'"&amp;"!c:c"))</f>
        <v>#REF!</v>
      </c>
      <c r="F2" s="795" t="s">
        <v>1145</v>
      </c>
      <c r="G2" s="796"/>
    </row>
    <row r="3" s="141" customFormat="1" ht="18" customHeight="1" spans="1:7">
      <c r="A3" s="156" t="s">
        <v>1146</v>
      </c>
      <c r="B3" s="157">
        <f ca="1">ROUND(B2*10000/(IF(B1="",'数据-汇总表'!E3,INDIRECT("'数据-取费表'!k"&amp;$G$1))),0)</f>
        <v>17292</v>
      </c>
      <c r="C3" s="152" t="s">
        <v>1327</v>
      </c>
      <c r="D3" s="152"/>
      <c r="E3" s="152"/>
      <c r="F3" s="152"/>
      <c r="G3" s="152"/>
    </row>
    <row r="4" s="142" customFormat="1" ht="15.75" spans="1:7">
      <c r="A4" s="158" t="s">
        <v>1328</v>
      </c>
      <c r="B4" s="159"/>
      <c r="C4" s="159"/>
      <c r="D4" s="159"/>
      <c r="E4" s="159"/>
      <c r="F4" s="159"/>
      <c r="G4" s="160"/>
    </row>
    <row r="5" s="143" customFormat="1" ht="13.5" customHeight="1" spans="1:7">
      <c r="A5" s="161" t="s">
        <v>1329</v>
      </c>
      <c r="B5" s="162" t="s">
        <v>1330</v>
      </c>
      <c r="C5" s="163">
        <f ca="1">C6+C7+C8</f>
        <v>8098</v>
      </c>
      <c r="D5" s="163" t="s">
        <v>1331</v>
      </c>
      <c r="E5" s="164" t="s">
        <v>1332</v>
      </c>
      <c r="F5" s="164" t="s">
        <v>1045</v>
      </c>
      <c r="G5" s="165"/>
    </row>
    <row r="6" s="143" customFormat="1" ht="13.5" customHeight="1" spans="1:7">
      <c r="A6" s="166" t="s">
        <v>1333</v>
      </c>
      <c r="B6" s="167" t="s">
        <v>1334</v>
      </c>
      <c r="C6" s="168">
        <f>'基准地价修正--酒店'!B2</f>
        <v>7708</v>
      </c>
      <c r="D6" s="169"/>
      <c r="E6" s="170"/>
      <c r="F6" s="170"/>
      <c r="G6" s="171"/>
    </row>
    <row r="7" s="143" customFormat="1" ht="13.5" customHeight="1" spans="1:7">
      <c r="A7" s="166" t="s">
        <v>1335</v>
      </c>
      <c r="B7" s="167" t="s">
        <v>1336</v>
      </c>
      <c r="C7" s="172">
        <f>ROUND(C6*F7,0)</f>
        <v>235</v>
      </c>
      <c r="D7" s="172"/>
      <c r="E7" s="170"/>
      <c r="F7" s="173">
        <f>IF(项目基本情况!B8="出让",0,'数据-取费表'!B48+'数据-取费表'!B49)</f>
        <v>0.0305</v>
      </c>
      <c r="G7" s="171"/>
    </row>
    <row r="8" s="144" customFormat="1" spans="1:7">
      <c r="A8" s="166" t="s">
        <v>1337</v>
      </c>
      <c r="B8" s="167" t="s">
        <v>1338</v>
      </c>
      <c r="C8" s="172">
        <f ca="1">IF(G8="已包含在土地购买价格中","0",IF(B1="",'数据-取费表'!B29,IF(G9="全部缴纳",C9+C10,H9)))</f>
        <v>155</v>
      </c>
      <c r="D8" s="174"/>
      <c r="E8" s="172"/>
      <c r="F8" s="173"/>
      <c r="G8" s="797" t="s">
        <v>1339</v>
      </c>
    </row>
    <row r="9" s="143" customFormat="1" ht="13.5" customHeight="1" spans="1:9">
      <c r="A9" s="176" t="s">
        <v>1340</v>
      </c>
      <c r="B9" s="177" t="s">
        <v>1341</v>
      </c>
      <c r="C9" s="178">
        <f ca="1">ROUND(D9*E9/10000,0)</f>
        <v>0</v>
      </c>
      <c r="D9" s="179">
        <f ca="1">IF(B1="",'数据-汇总表'!E5,IF(INDIRECT("'数据-取费表'!c"&amp;$G$1)="住宅",INDIRECT("'数据-取费表'!k"&amp;$G$1),0))</f>
        <v>0</v>
      </c>
      <c r="E9" s="178">
        <f>'数据-取费表'!B27</f>
        <v>160</v>
      </c>
      <c r="F9" s="173"/>
      <c r="G9" s="804" t="s">
        <v>1342</v>
      </c>
      <c r="H9" s="805"/>
      <c r="I9" s="806" t="s">
        <v>1343</v>
      </c>
    </row>
    <row r="10" s="143" customFormat="1" ht="13.5" customHeight="1" spans="1:7">
      <c r="A10" s="176" t="s">
        <v>1344</v>
      </c>
      <c r="B10" s="177" t="s">
        <v>1345</v>
      </c>
      <c r="C10" s="178">
        <f ca="1">ROUND(D10*E10/10000,0)</f>
        <v>155</v>
      </c>
      <c r="D10" s="179">
        <f ca="1">IF(B1="",'数据-汇总表'!E6,IF(INDIRECT("'数据-取费表'!c"&amp;$G$1)="住宅",INDIRECT("'数据-取费表'!s"&amp;$G$1),INDIRECT("'数据-取费表'!k"&amp;$G$1)+INDIRECT("'数据-取费表'!s"&amp;$G$1)))</f>
        <v>7767.62</v>
      </c>
      <c r="E10" s="178">
        <f>'数据-取费表'!B28</f>
        <v>200</v>
      </c>
      <c r="F10" s="173"/>
      <c r="G10" s="180"/>
    </row>
    <row r="11" s="143" customFormat="1" ht="13.5" hidden="1" customHeight="1" spans="1:7">
      <c r="A11" s="181" t="s">
        <v>1346</v>
      </c>
      <c r="B11" s="167" t="s">
        <v>1347</v>
      </c>
      <c r="C11" s="163"/>
      <c r="D11" s="182"/>
      <c r="E11" s="170"/>
      <c r="F11" s="170"/>
      <c r="G11" s="171"/>
    </row>
    <row r="12" s="143" customFormat="1" ht="13.5" hidden="1" customHeight="1" spans="1:7">
      <c r="A12" s="181" t="s">
        <v>1348</v>
      </c>
      <c r="B12" s="167" t="s">
        <v>1081</v>
      </c>
      <c r="C12" s="163">
        <v>0</v>
      </c>
      <c r="D12" s="182"/>
      <c r="E12" s="183"/>
      <c r="F12" s="173">
        <v>0.0305</v>
      </c>
      <c r="G12" s="171"/>
    </row>
    <row r="13" s="143" customFormat="1" ht="13.5" hidden="1" customHeight="1" spans="1:7">
      <c r="A13" s="181" t="s">
        <v>1349</v>
      </c>
      <c r="B13" s="167" t="s">
        <v>1350</v>
      </c>
      <c r="C13" s="163"/>
      <c r="D13" s="182"/>
      <c r="E13" s="170"/>
      <c r="F13" s="170"/>
      <c r="G13" s="171"/>
    </row>
    <row r="14" s="143" customFormat="1" ht="13.5" hidden="1" customHeight="1" spans="1:7">
      <c r="A14" s="181" t="s">
        <v>1351</v>
      </c>
      <c r="B14" s="167" t="s">
        <v>1338</v>
      </c>
      <c r="C14" s="163"/>
      <c r="D14" s="182"/>
      <c r="E14" s="170"/>
      <c r="F14" s="170"/>
      <c r="G14" s="171" t="s">
        <v>1352</v>
      </c>
    </row>
    <row r="15" s="143" customFormat="1" ht="13.5" hidden="1" customHeight="1" spans="1:7">
      <c r="A15" s="181" t="s">
        <v>1353</v>
      </c>
      <c r="B15" s="167" t="s">
        <v>1354</v>
      </c>
      <c r="C15" s="172"/>
      <c r="D15" s="182"/>
      <c r="E15" s="170"/>
      <c r="F15" s="170"/>
      <c r="G15" s="171" t="s">
        <v>1355</v>
      </c>
    </row>
    <row r="16" s="143" customFormat="1" ht="13.5" hidden="1" customHeight="1" spans="1:7">
      <c r="A16" s="181" t="s">
        <v>1356</v>
      </c>
      <c r="B16" s="167" t="s">
        <v>1338</v>
      </c>
      <c r="C16" s="172"/>
      <c r="D16" s="182"/>
      <c r="E16" s="170"/>
      <c r="F16" s="170"/>
      <c r="G16" s="171"/>
    </row>
    <row r="17" s="143" customFormat="1" ht="13.5" hidden="1" customHeight="1" spans="1:7">
      <c r="A17" s="181" t="s">
        <v>1357</v>
      </c>
      <c r="B17" s="167" t="s">
        <v>1358</v>
      </c>
      <c r="C17" s="184"/>
      <c r="D17" s="185"/>
      <c r="E17" s="184"/>
      <c r="F17" s="184"/>
      <c r="G17" s="171" t="s">
        <v>1355</v>
      </c>
    </row>
    <row r="18" s="143" customFormat="1" ht="13.5" hidden="1" customHeight="1" spans="1:7">
      <c r="A18" s="181" t="s">
        <v>1359</v>
      </c>
      <c r="B18" s="167" t="s">
        <v>1360</v>
      </c>
      <c r="C18" s="172">
        <v>0</v>
      </c>
      <c r="D18" s="182"/>
      <c r="E18" s="170"/>
      <c r="F18" s="173">
        <v>0.0305</v>
      </c>
      <c r="G18" s="171" t="s">
        <v>1361</v>
      </c>
    </row>
    <row r="19" s="144" customFormat="1" ht="13.5" customHeight="1" spans="1:7">
      <c r="A19" s="161" t="s">
        <v>1362</v>
      </c>
      <c r="B19" s="162" t="s">
        <v>1363</v>
      </c>
      <c r="C19" s="163" t="str">
        <f ca="1">IF(G19="已包含在土地取得成本中","0",ROUND(D19*E19/10000,0))</f>
        <v>0</v>
      </c>
      <c r="D19" s="187">
        <f ca="1">D9+D10</f>
        <v>7767.62</v>
      </c>
      <c r="E19" s="163">
        <f>'数据-取费表'!B31</f>
        <v>200</v>
      </c>
      <c r="F19" s="188"/>
      <c r="G19" s="797" t="s">
        <v>1364</v>
      </c>
    </row>
    <row r="20" s="143" customFormat="1" ht="13.5" customHeight="1" spans="1:7">
      <c r="A20" s="161" t="s">
        <v>1365</v>
      </c>
      <c r="B20" s="162" t="s">
        <v>1366</v>
      </c>
      <c r="C20" s="189">
        <f ca="1">ROUND((C5+C19)*F20,0)</f>
        <v>81</v>
      </c>
      <c r="D20" s="189"/>
      <c r="E20" s="189"/>
      <c r="F20" s="190">
        <f>'数据-取费表'!B37</f>
        <v>0.01</v>
      </c>
      <c r="G20" s="194" t="s">
        <v>1367</v>
      </c>
    </row>
    <row r="21" s="143" customFormat="1" ht="13.5" customHeight="1" spans="1:7">
      <c r="A21" s="161" t="s">
        <v>1368</v>
      </c>
      <c r="B21" s="162" t="s">
        <v>1369</v>
      </c>
      <c r="C21" s="192">
        <f>F21</f>
        <v>0.01</v>
      </c>
      <c r="D21" s="193" t="s">
        <v>1370</v>
      </c>
      <c r="E21" s="189"/>
      <c r="F21" s="190">
        <f>'数据-取费表'!B38</f>
        <v>0.01</v>
      </c>
      <c r="G21" s="194" t="s">
        <v>1371</v>
      </c>
    </row>
    <row r="22" s="143" customFormat="1" ht="13.5" customHeight="1" spans="1:7">
      <c r="A22" s="161" t="s">
        <v>1372</v>
      </c>
      <c r="B22" s="162" t="s">
        <v>1373</v>
      </c>
      <c r="C22" s="195">
        <f ca="1">ROUND(SUM(C23:C25),0)</f>
        <v>724</v>
      </c>
      <c r="D22" s="192">
        <f ca="1">C26</f>
        <v>0.0004</v>
      </c>
      <c r="E22" s="193" t="s">
        <v>1370</v>
      </c>
      <c r="F22" s="196">
        <f ca="1">'数据-取费表'!B40</f>
        <v>0.0435</v>
      </c>
      <c r="G22" s="194" t="str">
        <f>IF('数据-取费表'!B22&lt;=1,"单利计息","复利计息")</f>
        <v>复利计息</v>
      </c>
    </row>
    <row r="23" s="143" customFormat="1" ht="13.5" customHeight="1" spans="1:7">
      <c r="A23" s="197" t="s">
        <v>1333</v>
      </c>
      <c r="B23" s="167" t="s">
        <v>1374</v>
      </c>
      <c r="C23" s="198">
        <f ca="1">ROUND(IF('数据-取费表'!B22&lt;=1,C5*F22*'数据-取费表'!B23,C5*(POWER((1+F22),'数据-取费表'!B23)-1)),0)</f>
        <v>720</v>
      </c>
      <c r="D23" s="199"/>
      <c r="E23" s="199"/>
      <c r="F23" s="200"/>
      <c r="G23" s="201" t="s">
        <v>1375</v>
      </c>
    </row>
    <row r="24" s="143" customFormat="1" ht="13.5" customHeight="1" spans="1:7">
      <c r="A24" s="197" t="s">
        <v>1335</v>
      </c>
      <c r="B24" s="167" t="s">
        <v>1376</v>
      </c>
      <c r="C24" s="198">
        <f ca="1">ROUND(IF('数据-取费表'!B22&lt;=1,C19*F22*('数据-取费表'!B19/2+'数据-取费表'!B21),C19*(POWER((1+F22),('数据-取费表'!B19/2+'数据-取费表'!B21))-1)),0)</f>
        <v>0</v>
      </c>
      <c r="D24" s="199"/>
      <c r="E24" s="199"/>
      <c r="F24" s="200"/>
      <c r="G24" s="201" t="s">
        <v>1377</v>
      </c>
    </row>
    <row r="25" s="143" customFormat="1" ht="24" spans="1:7">
      <c r="A25" s="197" t="s">
        <v>1337</v>
      </c>
      <c r="B25" s="167" t="s">
        <v>1378</v>
      </c>
      <c r="C25" s="198">
        <f ca="1">ROUND(IF('数据-取费表'!B22&lt;=1,C20*F22*'数据-取费表'!B23/2,C20*(POWER((1+F22),'数据-取费表'!B23/2)-1)),0)</f>
        <v>4</v>
      </c>
      <c r="D25" s="199"/>
      <c r="E25" s="202"/>
      <c r="F25" s="200"/>
      <c r="G25" s="203" t="s">
        <v>1379</v>
      </c>
    </row>
    <row r="26" s="143" customFormat="1" spans="1:7">
      <c r="A26" s="197" t="s">
        <v>1380</v>
      </c>
      <c r="B26" s="167" t="s">
        <v>1381</v>
      </c>
      <c r="C26" s="199">
        <f ca="1">ROUND(IF('数据-取费表'!B22&lt;=1,F21*F22*'数据-取费表'!B23/2,F21*(POWER((1+F22),'数据-取费表'!B23/2)-1)),4)</f>
        <v>0.0004</v>
      </c>
      <c r="D26" s="199"/>
      <c r="E26" s="202"/>
      <c r="F26" s="200"/>
      <c r="G26" s="204"/>
    </row>
    <row r="27" s="143" customFormat="1" ht="24.75" spans="1:7">
      <c r="A27" s="161" t="s">
        <v>1382</v>
      </c>
      <c r="B27" s="205" t="s">
        <v>1383</v>
      </c>
      <c r="C27" s="206">
        <f ca="1">C28</f>
        <v>818</v>
      </c>
      <c r="D27" s="192">
        <f ca="1">C29</f>
        <v>0.001</v>
      </c>
      <c r="E27" s="193" t="s">
        <v>1370</v>
      </c>
      <c r="F27" s="207">
        <f ca="1">IF(B1="",'数据-取费表'!Q16,INDIRECT("'数据-取费表'!q"&amp;$G$1))</f>
        <v>0.1</v>
      </c>
      <c r="G27" s="208" t="s">
        <v>1384</v>
      </c>
    </row>
    <row r="28" s="143" customFormat="1" ht="13.5" customHeight="1" spans="1:7">
      <c r="A28" s="197" t="s">
        <v>1333</v>
      </c>
      <c r="B28" s="209" t="s">
        <v>1385</v>
      </c>
      <c r="C28" s="210">
        <f ca="1">ROUND((C5+C19+C20)*F27*'数据-取费表'!B21/'数据-取费表'!B20,0)</f>
        <v>818</v>
      </c>
      <c r="D28" s="192"/>
      <c r="E28" s="193"/>
      <c r="F28" s="207"/>
      <c r="G28" s="208"/>
    </row>
    <row r="29" s="143" customFormat="1" ht="13.5" customHeight="1" spans="1:7">
      <c r="A29" s="197" t="s">
        <v>1335</v>
      </c>
      <c r="B29" s="209" t="s">
        <v>1386</v>
      </c>
      <c r="C29" s="199">
        <f ca="1">ROUND(C21*F27*'数据-取费表'!B21/'数据-取费表'!B20,4)</f>
        <v>0.001</v>
      </c>
      <c r="D29" s="192"/>
      <c r="E29" s="193"/>
      <c r="F29" s="207"/>
      <c r="G29" s="208"/>
    </row>
    <row r="30" s="143" customFormat="1" ht="13.5" customHeight="1" spans="1:7">
      <c r="A30" s="161" t="s">
        <v>1387</v>
      </c>
      <c r="B30" s="162" t="s">
        <v>1388</v>
      </c>
      <c r="C30" s="192">
        <f>ROUND(F30/(1+'数据-取费表'!C42),4)</f>
        <v>0.0533</v>
      </c>
      <c r="D30" s="193" t="s">
        <v>1370</v>
      </c>
      <c r="E30" s="202"/>
      <c r="F30" s="196">
        <f>'数据-取费表'!B41</f>
        <v>0.056</v>
      </c>
      <c r="G30" s="194" t="s">
        <v>1389</v>
      </c>
    </row>
    <row r="31" ht="16.5" customHeight="1" spans="1:7">
      <c r="A31" s="211">
        <v>1</v>
      </c>
      <c r="B31" s="162" t="s">
        <v>1390</v>
      </c>
      <c r="C31" s="163">
        <f ca="1">ROUND((C5+C19+C20+C22+C27)/(1-C21-D22-D27-C30),0)</f>
        <v>10393</v>
      </c>
      <c r="D31" s="212"/>
      <c r="E31" s="163"/>
      <c r="F31" s="213"/>
      <c r="G31" s="194" t="s">
        <v>1391</v>
      </c>
    </row>
    <row r="32" s="142" customFormat="1" ht="15.75" spans="1:7">
      <c r="A32" s="214" t="s">
        <v>1392</v>
      </c>
      <c r="B32" s="215"/>
      <c r="C32" s="215"/>
      <c r="D32" s="215"/>
      <c r="E32" s="215"/>
      <c r="F32" s="215"/>
      <c r="G32" s="216"/>
    </row>
    <row r="33" s="143" customFormat="1" ht="13.5" customHeight="1" spans="1:7">
      <c r="A33" s="161" t="s">
        <v>1329</v>
      </c>
      <c r="B33" s="162" t="s">
        <v>1393</v>
      </c>
      <c r="C33" s="217">
        <f ca="1">SUM(C34:C38)</f>
        <v>2590</v>
      </c>
      <c r="D33" s="189"/>
      <c r="E33" s="164"/>
      <c r="F33" s="202"/>
      <c r="G33" s="194"/>
    </row>
    <row r="34" s="145" customFormat="1" ht="13.5" customHeight="1" spans="1:7">
      <c r="A34" s="197" t="s">
        <v>1333</v>
      </c>
      <c r="B34" s="167" t="s">
        <v>1394</v>
      </c>
      <c r="C34" s="172">
        <f ca="1">IF(B1="",IF(F34=100%,'数据-取费表'!M16,'数据-取费表'!O16),IF(F34=100%,INDIRECT("'数据-取费表'!m"&amp;$G$1)+INDIRECT("'数据-取费表'!t"&amp;$G$1),INDIRECT("'数据-取费表'!o"&amp;$G$1)+INDIRECT("'数据-取费表'!aq"&amp;$G$1)))</f>
        <v>2330</v>
      </c>
      <c r="D34" s="169"/>
      <c r="E34" s="172"/>
      <c r="F34" s="218">
        <f ca="1">IF('数据-取费表'!B24=0,1,IF(B1="",'数据-取费表'!N16,INDIRECT("'数据-取费表'!n"&amp;$G$1)))</f>
        <v>1</v>
      </c>
      <c r="G34" s="171" t="s">
        <v>1395</v>
      </c>
    </row>
    <row r="35" ht="13.5" customHeight="1" spans="1:7">
      <c r="A35" s="197" t="s">
        <v>1335</v>
      </c>
      <c r="B35" s="167" t="s">
        <v>1396</v>
      </c>
      <c r="C35" s="172">
        <f ca="1">ROUND(C34*F35,0)</f>
        <v>70</v>
      </c>
      <c r="D35" s="172"/>
      <c r="E35" s="172"/>
      <c r="F35" s="219">
        <f>'数据-取费表'!B33</f>
        <v>0.03</v>
      </c>
      <c r="G35" s="171" t="s">
        <v>1397</v>
      </c>
    </row>
    <row r="36" ht="24" spans="1:7">
      <c r="A36" s="197" t="s">
        <v>1337</v>
      </c>
      <c r="B36" s="167" t="s">
        <v>1398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1399</v>
      </c>
    </row>
    <row r="37" s="145" customFormat="1" ht="13.5" customHeight="1" spans="1:7">
      <c r="A37" s="197" t="s">
        <v>1380</v>
      </c>
      <c r="B37" s="167" t="s">
        <v>1400</v>
      </c>
      <c r="C37" s="210">
        <f ca="1">ROUND(E37*D37*F34/10000,0)</f>
        <v>155</v>
      </c>
      <c r="D37" s="169">
        <f ca="1">D19</f>
        <v>7767.62</v>
      </c>
      <c r="E37" s="210">
        <f>'数据-取费表'!B35</f>
        <v>200</v>
      </c>
      <c r="F37" s="219"/>
      <c r="G37" s="221" t="s">
        <v>1401</v>
      </c>
    </row>
    <row r="38" ht="13.5" customHeight="1" spans="1:7">
      <c r="A38" s="197" t="s">
        <v>1402</v>
      </c>
      <c r="B38" s="167" t="s">
        <v>1081</v>
      </c>
      <c r="C38" s="172">
        <f ca="1">ROUND(C34*F38,0)</f>
        <v>35</v>
      </c>
      <c r="D38" s="172"/>
      <c r="E38" s="172"/>
      <c r="F38" s="219">
        <f>'数据-取费表'!B36</f>
        <v>0.015</v>
      </c>
      <c r="G38" s="171" t="s">
        <v>1397</v>
      </c>
    </row>
    <row r="39" s="143" customFormat="1" ht="13.5" customHeight="1" spans="1:7">
      <c r="A39" s="161" t="s">
        <v>1362</v>
      </c>
      <c r="B39" s="162" t="s">
        <v>1366</v>
      </c>
      <c r="C39" s="189">
        <f ca="1">ROUND(C33*F20,0)</f>
        <v>26</v>
      </c>
      <c r="D39" s="189"/>
      <c r="E39" s="189"/>
      <c r="F39" s="800">
        <f t="shared" ref="F39:F41" si="0">F20</f>
        <v>0.01</v>
      </c>
      <c r="G39" s="194" t="s">
        <v>1403</v>
      </c>
    </row>
    <row r="40" s="143" customFormat="1" ht="13.5" customHeight="1" spans="1:7">
      <c r="A40" s="161" t="s">
        <v>1365</v>
      </c>
      <c r="B40" s="162" t="s">
        <v>1369</v>
      </c>
      <c r="C40" s="801">
        <f>F21</f>
        <v>0.01</v>
      </c>
      <c r="D40" s="193" t="s">
        <v>1404</v>
      </c>
      <c r="E40" s="189"/>
      <c r="F40" s="800">
        <f t="shared" si="0"/>
        <v>0.01</v>
      </c>
      <c r="G40" s="194" t="s">
        <v>1405</v>
      </c>
    </row>
    <row r="41" s="143" customFormat="1" ht="13.5" customHeight="1" spans="1:7">
      <c r="A41" s="161" t="s">
        <v>1368</v>
      </c>
      <c r="B41" s="162" t="s">
        <v>1373</v>
      </c>
      <c r="C41" s="189">
        <f ca="1">ROUND(SUM(C42:C43),0)</f>
        <v>114</v>
      </c>
      <c r="D41" s="192">
        <f ca="1">C44</f>
        <v>0.0004</v>
      </c>
      <c r="E41" s="193" t="s">
        <v>1404</v>
      </c>
      <c r="F41" s="802">
        <f ca="1" t="shared" si="0"/>
        <v>0.0435</v>
      </c>
      <c r="G41" s="194" t="str">
        <f>IF('数据-取费表'!B22&lt;=1,"单利计息","复利计息")</f>
        <v>复利计息</v>
      </c>
    </row>
    <row r="42" ht="13.5" customHeight="1" spans="1:7">
      <c r="A42" s="197" t="s">
        <v>1333</v>
      </c>
      <c r="B42" s="167" t="s">
        <v>1374</v>
      </c>
      <c r="C42" s="199">
        <f ca="1">ROUND(IF('数据-取费表'!B22&lt;=1,C33*F22*'数据-取费表'!B21/2,C33*(POWER((1+F22),'数据-取费表'!B21/2)-1)),0)</f>
        <v>113</v>
      </c>
      <c r="D42" s="199"/>
      <c r="E42" s="199"/>
      <c r="F42" s="200"/>
      <c r="G42" s="223" t="s">
        <v>1406</v>
      </c>
    </row>
    <row r="43" ht="13.5" customHeight="1" spans="1:7">
      <c r="A43" s="197" t="s">
        <v>1335</v>
      </c>
      <c r="B43" s="167" t="s">
        <v>1376</v>
      </c>
      <c r="C43" s="199">
        <f ca="1">ROUND(IF('数据-取费表'!B22&lt;=1,C39*F22*'数据-取费表'!B21/2,C39*(POWER((1+F22),'数据-取费表'!B21/2)-1)),0)</f>
        <v>1</v>
      </c>
      <c r="D43" s="199"/>
      <c r="E43" s="199"/>
      <c r="F43" s="200"/>
      <c r="G43" s="224"/>
    </row>
    <row r="44" ht="13.5" customHeight="1" spans="1:7">
      <c r="A44" s="197" t="s">
        <v>1337</v>
      </c>
      <c r="B44" s="167" t="s">
        <v>1378</v>
      </c>
      <c r="C44" s="199">
        <f ca="1">ROUND(IF('数据-取费表'!B22&lt;=1,C40*F22*'数据-取费表'!B21/2,C40*(POWER((1+F22),'数据-取费表'!B21/2)-1)),4)</f>
        <v>0.0004</v>
      </c>
      <c r="D44" s="199"/>
      <c r="E44" s="199"/>
      <c r="F44" s="200"/>
      <c r="G44" s="225"/>
    </row>
    <row r="45" s="143" customFormat="1" ht="13.5" customHeight="1" spans="1:7">
      <c r="A45" s="161" t="s">
        <v>1372</v>
      </c>
      <c r="B45" s="205" t="s">
        <v>1383</v>
      </c>
      <c r="C45" s="206">
        <f ca="1">C46</f>
        <v>262</v>
      </c>
      <c r="D45" s="192">
        <f ca="1">C47</f>
        <v>0.001</v>
      </c>
      <c r="E45" s="193" t="s">
        <v>1404</v>
      </c>
      <c r="F45" s="803">
        <f ca="1">F27</f>
        <v>0.1</v>
      </c>
      <c r="G45" s="208" t="s">
        <v>1407</v>
      </c>
    </row>
    <row r="46" s="143" customFormat="1" ht="13.5" customHeight="1" spans="1:7">
      <c r="A46" s="197" t="s">
        <v>1333</v>
      </c>
      <c r="B46" s="209" t="s">
        <v>1408</v>
      </c>
      <c r="C46" s="210">
        <f ca="1">ROUND((C33+C39)*F27,0)</f>
        <v>262</v>
      </c>
      <c r="D46" s="226"/>
      <c r="E46" s="193"/>
      <c r="F46" s="207"/>
      <c r="G46" s="208"/>
    </row>
    <row r="47" s="143" customFormat="1" ht="13.5" customHeight="1" spans="1:7">
      <c r="A47" s="197" t="s">
        <v>1335</v>
      </c>
      <c r="B47" s="209" t="s">
        <v>1409</v>
      </c>
      <c r="C47" s="199">
        <f ca="1">ROUND(C40*F27,4)</f>
        <v>0.001</v>
      </c>
      <c r="D47" s="226"/>
      <c r="E47" s="193"/>
      <c r="F47" s="207"/>
      <c r="G47" s="208"/>
    </row>
    <row r="48" s="143" customFormat="1" ht="13.5" customHeight="1" spans="1:7">
      <c r="A48" s="161" t="s">
        <v>1382</v>
      </c>
      <c r="B48" s="162" t="s">
        <v>1388</v>
      </c>
      <c r="C48" s="801">
        <f>ROUND(F30/(1+'数据-取费表'!C42),4)</f>
        <v>0.0533</v>
      </c>
      <c r="D48" s="193" t="s">
        <v>1404</v>
      </c>
      <c r="E48" s="189"/>
      <c r="F48" s="802">
        <f>F30</f>
        <v>0.056</v>
      </c>
      <c r="G48" s="194" t="s">
        <v>1410</v>
      </c>
    </row>
    <row r="49" ht="16.5" customHeight="1" spans="1:7">
      <c r="A49" s="161" t="s">
        <v>1387</v>
      </c>
      <c r="B49" s="162" t="s">
        <v>1411</v>
      </c>
      <c r="C49" s="189">
        <f ca="1">ROUND((C33+C39+C41+C45)/(1-C40-D41-D45-C48),0)</f>
        <v>3199</v>
      </c>
      <c r="D49" s="189"/>
      <c r="E49" s="189"/>
      <c r="F49" s="227"/>
      <c r="G49" s="194" t="s">
        <v>1412</v>
      </c>
    </row>
    <row r="50" s="145" customFormat="1" ht="24" spans="1:7">
      <c r="A50" s="161" t="s">
        <v>1413</v>
      </c>
      <c r="B50" s="162" t="s">
        <v>1414</v>
      </c>
      <c r="C50" s="189"/>
      <c r="D50" s="189"/>
      <c r="E50" s="189"/>
      <c r="F50" s="227">
        <f>IF('数据-取费表'!B24=0,'数据-取费表'!N16,1)</f>
        <v>0.95</v>
      </c>
      <c r="G50" s="208" t="s">
        <v>1415</v>
      </c>
    </row>
    <row r="51" ht="16.5" customHeight="1" spans="1:7">
      <c r="A51" s="161" t="s">
        <v>1416</v>
      </c>
      <c r="B51" s="162" t="s">
        <v>1417</v>
      </c>
      <c r="C51" s="189">
        <f ca="1">ROUND(C49*F50,0)</f>
        <v>3039</v>
      </c>
      <c r="D51" s="189"/>
      <c r="E51" s="189"/>
      <c r="F51" s="227"/>
      <c r="G51" s="194" t="s">
        <v>1418</v>
      </c>
    </row>
    <row r="52" s="142" customFormat="1" ht="16.5" spans="1:7">
      <c r="A52" s="228" t="s">
        <v>1419</v>
      </c>
      <c r="B52" s="229"/>
      <c r="C52" s="230">
        <f ca="1">C31+C51</f>
        <v>13432</v>
      </c>
      <c r="D52" s="229"/>
      <c r="E52" s="229"/>
      <c r="F52" s="229"/>
      <c r="G52" s="231"/>
    </row>
    <row r="55" ht="15" spans="2:3">
      <c r="B55" s="232" t="s">
        <v>1420</v>
      </c>
      <c r="C55" s="233"/>
    </row>
    <row r="56" spans="2:3">
      <c r="B56" s="234" t="s">
        <v>1421</v>
      </c>
      <c r="C56" s="236">
        <f ca="1">1-C57</f>
        <v>0.774</v>
      </c>
    </row>
    <row r="57" spans="2:3">
      <c r="B57" s="234" t="s">
        <v>1422</v>
      </c>
      <c r="C57" s="235">
        <f ca="1">ROUND(C51/C52,3)</f>
        <v>0.226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37" workbookViewId="0">
      <selection activeCell="Q55" sqref="Q55"/>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1423</v>
      </c>
      <c r="B1" s="150"/>
      <c r="C1" s="153" t="s">
        <v>1147</v>
      </c>
      <c r="D1" s="456">
        <f>SUM(D29:D30,D33:D39)</f>
        <v>7767.62</v>
      </c>
      <c r="E1" s="457"/>
      <c r="F1" s="457"/>
      <c r="G1" s="457"/>
      <c r="H1" s="457"/>
      <c r="I1" s="457"/>
      <c r="J1" s="457"/>
      <c r="K1" s="449"/>
      <c r="L1" s="640" t="s">
        <v>1424</v>
      </c>
      <c r="M1" s="641">
        <f>SUMPRODUCT((区片价!B5:B9=I2)*(区片价!C3:F3=E2)*(区片价!C5:F9))</f>
        <v>0</v>
      </c>
      <c r="N1" s="642">
        <f>SUMPRODUCT((因素修正幅度!B5:B9=I2)*(因素修正幅度!C3:F3=E2)*(因素修正幅度!C5:F9))</f>
        <v>0</v>
      </c>
      <c r="O1" s="450"/>
      <c r="P1" s="450"/>
      <c r="Q1" s="449"/>
      <c r="R1" s="723" t="s">
        <v>1425</v>
      </c>
      <c r="S1" s="723" t="s">
        <v>1426</v>
      </c>
      <c r="T1" s="723" t="s">
        <v>1427</v>
      </c>
      <c r="U1" s="723" t="s">
        <v>1428</v>
      </c>
      <c r="V1" s="723" t="s">
        <v>1429</v>
      </c>
      <c r="W1" s="724"/>
      <c r="X1" s="724"/>
      <c r="Y1" s="724"/>
      <c r="Z1" s="724"/>
      <c r="AA1" s="724"/>
      <c r="AB1" s="724"/>
      <c r="AC1" s="734"/>
      <c r="AD1" s="735"/>
      <c r="AE1" s="735"/>
      <c r="AF1" s="735"/>
      <c r="AG1" s="735"/>
      <c r="AH1" s="735"/>
      <c r="AI1" s="735"/>
      <c r="AJ1" s="745"/>
    </row>
    <row r="2" ht="15.75" spans="1:36">
      <c r="A2" s="153" t="s">
        <v>1144</v>
      </c>
      <c r="B2" s="157">
        <f>C26</f>
        <v>7708</v>
      </c>
      <c r="C2" s="458" t="s">
        <v>1145</v>
      </c>
      <c r="D2" s="459" t="s">
        <v>1430</v>
      </c>
      <c r="E2" s="460" t="s">
        <v>459</v>
      </c>
      <c r="F2" s="459" t="s">
        <v>1431</v>
      </c>
      <c r="G2" s="461" t="str">
        <f>IF(E2="商业",项目基本情况!B37,IF(E2="办公",项目基本情况!C37,IF(E2="住宅",项目基本情况!D37,项目基本情况!E37)))</f>
        <v>七级</v>
      </c>
      <c r="H2" s="459" t="s">
        <v>1432</v>
      </c>
      <c r="I2" s="461" t="str">
        <f>IF(E2="商业",项目基本情况!B38,IF(E2="办公",项目基本情况!C38,IF(E2="住宅",项目基本情况!D38,项目基本情况!E38)))</f>
        <v>Ⅶ-房1</v>
      </c>
      <c r="J2" s="643"/>
      <c r="K2" s="449"/>
      <c r="L2" s="644" t="s">
        <v>1433</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1146</v>
      </c>
      <c r="B3" s="157">
        <f>ROUND(B2*10000/D1,0)</f>
        <v>9923</v>
      </c>
      <c r="C3" s="458" t="s">
        <v>1327</v>
      </c>
      <c r="D3" s="459" t="s">
        <v>1434</v>
      </c>
      <c r="E3" s="462" t="s">
        <v>1435</v>
      </c>
      <c r="F3" s="463" t="s">
        <v>1436</v>
      </c>
      <c r="G3" s="464">
        <f>IF(F3="宗地容积率",'数据-汇总表'!I4,IF(F3="估价对象容积率",'数据-汇总表'!I6,'数据-汇总表'!I7))</f>
        <v>2.5</v>
      </c>
      <c r="H3" s="465" t="s">
        <v>1437</v>
      </c>
      <c r="I3" s="646"/>
      <c r="J3" s="643" t="s">
        <v>1438</v>
      </c>
      <c r="K3" s="449"/>
      <c r="L3" s="644" t="s">
        <v>1439</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1440</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1046</v>
      </c>
      <c r="B5" s="470" t="s">
        <v>1441</v>
      </c>
      <c r="C5" s="471">
        <f>ROUND(IF(E2="商业",C6*C7+C16,(IF(E2="住宅",C6*C12+C16,C6+C16))),0)</f>
        <v>7210</v>
      </c>
      <c r="D5" s="472">
        <f>ROUND(C6+C16,0)</f>
        <v>7210</v>
      </c>
      <c r="E5" s="472"/>
      <c r="F5" s="473"/>
      <c r="G5" s="474"/>
      <c r="H5" s="474"/>
      <c r="I5" s="474"/>
      <c r="J5" s="648"/>
      <c r="K5" s="649"/>
      <c r="L5" s="644" t="s">
        <v>1442</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1329</v>
      </c>
      <c r="B6" s="476" t="s">
        <v>1443</v>
      </c>
      <c r="C6" s="477">
        <f>SUMIF(L1:L12,G2,M1:M12)</f>
        <v>7210</v>
      </c>
      <c r="D6" s="478" t="s">
        <v>1444</v>
      </c>
      <c r="E6" s="479"/>
      <c r="F6" s="479"/>
      <c r="G6" s="480"/>
      <c r="H6" s="480"/>
      <c r="I6" s="480"/>
      <c r="J6" s="650"/>
      <c r="K6" s="651"/>
      <c r="L6" s="644" t="s">
        <v>1445</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1446</v>
      </c>
      <c r="C7" s="483">
        <f>IF(C8="不临58条商业街",1,ROUND(1+(1.6*E8+1.2*E9+0.8*E10+0.4*E11)*C9,4))</f>
        <v>1</v>
      </c>
      <c r="D7" s="484" t="s">
        <v>1447</v>
      </c>
      <c r="E7" s="485"/>
      <c r="F7" s="486"/>
      <c r="G7" s="487"/>
      <c r="H7" s="487"/>
      <c r="I7" s="487"/>
      <c r="J7" s="652"/>
      <c r="K7" s="651"/>
      <c r="L7" s="644" t="s">
        <v>1448</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1449</v>
      </c>
      <c r="X7" s="727" t="str">
        <f>G2</f>
        <v>七级</v>
      </c>
      <c r="Y7" s="727" t="s">
        <v>1450</v>
      </c>
      <c r="Z7" s="738">
        <f>G3</f>
        <v>2.5</v>
      </c>
      <c r="AA7" s="724"/>
      <c r="AB7" s="724"/>
      <c r="AC7" s="734"/>
      <c r="AD7" s="735"/>
      <c r="AE7" s="735"/>
      <c r="AF7" s="735"/>
      <c r="AG7" s="735"/>
      <c r="AH7" s="735"/>
      <c r="AI7" s="735"/>
      <c r="AJ7" s="745"/>
    </row>
    <row r="8" ht="24.75" spans="1:36">
      <c r="A8" s="488"/>
      <c r="B8" s="465" t="s">
        <v>1451</v>
      </c>
      <c r="C8" s="489" t="s">
        <v>1452</v>
      </c>
      <c r="D8" s="490" t="s">
        <v>1453</v>
      </c>
      <c r="E8" s="491" t="e">
        <f>ROUND(C11/E7,4)</f>
        <v>#DIV/0!</v>
      </c>
      <c r="F8" s="492" t="s">
        <v>1454</v>
      </c>
      <c r="G8" s="493"/>
      <c r="H8" s="493"/>
      <c r="I8" s="493"/>
      <c r="J8" s="653"/>
      <c r="K8" s="449"/>
      <c r="L8" s="644" t="s">
        <v>1455</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1456</v>
      </c>
      <c r="X8" s="729"/>
      <c r="Y8" s="739" t="s">
        <v>1457</v>
      </c>
      <c r="Z8" s="739" t="s">
        <v>1458</v>
      </c>
      <c r="AA8" s="739" t="s">
        <v>1459</v>
      </c>
      <c r="AB8" s="739" t="s">
        <v>1460</v>
      </c>
      <c r="AC8" s="739" t="s">
        <v>1461</v>
      </c>
      <c r="AD8" s="739" t="s">
        <v>1462</v>
      </c>
      <c r="AE8" s="739" t="s">
        <v>1463</v>
      </c>
      <c r="AF8" s="739" t="s">
        <v>1464</v>
      </c>
      <c r="AG8" s="739" t="s">
        <v>1465</v>
      </c>
      <c r="AH8" s="739" t="s">
        <v>1466</v>
      </c>
      <c r="AI8" s="739" t="s">
        <v>1467</v>
      </c>
      <c r="AJ8" s="739" t="s">
        <v>1468</v>
      </c>
    </row>
    <row r="9" ht="15" spans="1:36">
      <c r="A9" s="488"/>
      <c r="B9" s="465" t="s">
        <v>1469</v>
      </c>
      <c r="C9" s="494">
        <f>SUMIF(修正!C59:C119,C8,修正!E59:E119)</f>
        <v>0</v>
      </c>
      <c r="D9" s="495" t="s">
        <v>1470</v>
      </c>
      <c r="E9" s="495" t="e">
        <f>ROUND(C11/E7,4)</f>
        <v>#DIV/0!</v>
      </c>
      <c r="F9" s="492" t="s">
        <v>1471</v>
      </c>
      <c r="G9" s="493"/>
      <c r="H9" s="493"/>
      <c r="I9" s="493"/>
      <c r="J9" s="653"/>
      <c r="K9" s="449"/>
      <c r="L9" s="644" t="s">
        <v>1472</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1473</v>
      </c>
      <c r="X9" s="730" t="s">
        <v>1474</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1475</v>
      </c>
      <c r="C10" s="495">
        <f>SUMIF(修正!C59:C119,C8,修正!F59:F119)</f>
        <v>0</v>
      </c>
      <c r="D10" s="495" t="s">
        <v>1476</v>
      </c>
      <c r="E10" s="495" t="e">
        <f>ROUND(C11/E7,4)</f>
        <v>#DIV/0!</v>
      </c>
      <c r="F10" s="492" t="s">
        <v>1477</v>
      </c>
      <c r="G10" s="493"/>
      <c r="H10" s="493"/>
      <c r="I10" s="493"/>
      <c r="J10" s="653"/>
      <c r="K10" s="449"/>
      <c r="L10" s="644" t="s">
        <v>1478</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1479</v>
      </c>
      <c r="C11" s="497">
        <f>C10/4</f>
        <v>0</v>
      </c>
      <c r="D11" s="497" t="s">
        <v>1480</v>
      </c>
      <c r="E11" s="497" t="e">
        <f>ROUND(C11/E7,4)</f>
        <v>#DIV/0!</v>
      </c>
      <c r="F11" s="498" t="s">
        <v>1481</v>
      </c>
      <c r="G11" s="499"/>
      <c r="H11" s="499"/>
      <c r="I11" s="499"/>
      <c r="J11" s="654"/>
      <c r="K11" s="449"/>
      <c r="L11" s="644" t="s">
        <v>1482</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1483</v>
      </c>
      <c r="X11" s="731" t="s">
        <v>1450</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1484</v>
      </c>
      <c r="B12" s="500" t="s">
        <v>1485</v>
      </c>
      <c r="C12" s="483">
        <f>ROUND(C15*D15*E15*F15*G15*H15*I15*J15,4)</f>
        <v>1</v>
      </c>
      <c r="D12" s="501" t="s">
        <v>1486</v>
      </c>
      <c r="E12" s="502"/>
      <c r="F12" s="502"/>
      <c r="G12" s="503"/>
      <c r="H12" s="503"/>
      <c r="I12" s="503"/>
      <c r="J12" s="655"/>
      <c r="K12" s="449"/>
      <c r="L12" s="656" t="s">
        <v>1487</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1488</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1489</v>
      </c>
      <c r="C13" s="506" t="s">
        <v>1490</v>
      </c>
      <c r="D13" s="507" t="s">
        <v>1491</v>
      </c>
      <c r="E13" s="507" t="s">
        <v>1492</v>
      </c>
      <c r="F13" s="508" t="s">
        <v>1493</v>
      </c>
      <c r="G13" s="509" t="s">
        <v>1494</v>
      </c>
      <c r="H13" s="509" t="s">
        <v>1494</v>
      </c>
      <c r="I13" s="509" t="s">
        <v>1494</v>
      </c>
      <c r="J13" s="658" t="s">
        <v>1494</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1495</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1283</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1496</v>
      </c>
      <c r="B16" s="482" t="s">
        <v>1497</v>
      </c>
      <c r="C16" s="520">
        <f>ROUND(IF(F17="与级别开发程度一致",0,(G17-E17)/C17),0)</f>
        <v>0</v>
      </c>
      <c r="D16" s="521" t="s">
        <v>1498</v>
      </c>
      <c r="E16" s="522"/>
      <c r="F16" s="521" t="s">
        <v>1499</v>
      </c>
      <c r="G16" s="522"/>
      <c r="H16" s="523" t="s">
        <v>1500</v>
      </c>
      <c r="I16" s="523" t="s">
        <v>1501</v>
      </c>
      <c r="J16" s="662" t="s">
        <v>1502</v>
      </c>
      <c r="K16" s="523" t="s">
        <v>1503</v>
      </c>
      <c r="L16" s="523" t="s">
        <v>1504</v>
      </c>
      <c r="M16" s="523" t="s">
        <v>1505</v>
      </c>
      <c r="N16" s="523" t="s">
        <v>1506</v>
      </c>
      <c r="O16" s="663" t="s">
        <v>1507</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1508</v>
      </c>
      <c r="C17" s="526">
        <f>SUMPRODUCT((修正!A2:A5=E2)*(修正!B1:M1=G2)*(修正!B2:M5))</f>
        <v>2.5</v>
      </c>
      <c r="D17" s="518" t="str">
        <f>IF(OR(G2="八级",G2="九级",G2="十级",G2="十一级",G2="十二级"),"五通一平","七通一平")</f>
        <v>七通一平</v>
      </c>
      <c r="E17" s="527">
        <f>SUMPRODUCT((修正!B1:M1=G2)*(修正!B15:M15))</f>
        <v>300</v>
      </c>
      <c r="F17" s="528" t="s">
        <v>1509</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1057</v>
      </c>
      <c r="B18" s="531" t="s">
        <v>1510</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1062</v>
      </c>
      <c r="B19" s="536" t="s">
        <v>1511</v>
      </c>
      <c r="C19" s="537">
        <f>ROUND(IF(H19="按公示增长率计算",SUMPRODUCT((地价!A3:A35=YEAR(G19)&amp;"-"&amp;ROUNDUP(MONTH(G19)/3,0))*(地价!X2:AB2=E2)*(地价!X3:AB35)),IF(H19="地价指数",M20/M19,(1+I19)^O19)),4)</f>
        <v>1.3588</v>
      </c>
      <c r="D19" s="538" t="s">
        <v>1512</v>
      </c>
      <c r="E19" s="539">
        <v>41640</v>
      </c>
      <c r="F19" s="538" t="s">
        <v>1513</v>
      </c>
      <c r="G19" s="540">
        <f>'数据-取费表'!B2</f>
        <v>44461</v>
      </c>
      <c r="H19" s="541" t="s">
        <v>1514</v>
      </c>
      <c r="I19" s="670" t="str">
        <f>IF(H19="季度增幅（自定义）",SUMIF(N21:N24,E2,O21:O24),"")</f>
        <v/>
      </c>
      <c r="J19" s="671"/>
      <c r="K19" s="667"/>
      <c r="L19" s="672" t="s">
        <v>1515</v>
      </c>
      <c r="M19" s="673">
        <f>ROUND(SUMIF(地价!B2:F2,E2,地价!B35:F35),0)</f>
        <v>258</v>
      </c>
      <c r="N19" s="674" t="s">
        <v>1516</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1065</v>
      </c>
      <c r="B20" s="543" t="s">
        <v>1517</v>
      </c>
      <c r="C20" s="544">
        <f>ROUND(POWER(1+G20,J20-I20)*(POWER(1+G20,I20)-1)/(POWER(1+G20,J20)-1),4)</f>
        <v>1</v>
      </c>
      <c r="D20" s="545" t="s">
        <v>1518</v>
      </c>
      <c r="E20" s="546">
        <f>存贷款利率!E18/100</f>
        <v>0.0435</v>
      </c>
      <c r="F20" s="545" t="s">
        <v>1519</v>
      </c>
      <c r="G20" s="547">
        <f>SUMIF(M26:P26,E2,M28:P28)</f>
        <v>0.054</v>
      </c>
      <c r="H20" s="545" t="s">
        <v>1520</v>
      </c>
      <c r="I20" s="521">
        <f>SUMIF('数据-取费表'!C6:C15,E2,'数据-取费表'!F6:F15)/COUNTIF('数据-取费表'!C6:C15,E2)</f>
        <v>40</v>
      </c>
      <c r="J20" s="677">
        <f>IF(E2="住宅",70,IF(E2="商业",40,50))</f>
        <v>40</v>
      </c>
      <c r="K20" s="667"/>
      <c r="L20" s="678" t="s">
        <v>1521</v>
      </c>
      <c r="M20" s="679">
        <f>ROUND(SUMPRODUCT((地价!A4:A35=YEAR(G19)&amp;"-"&amp;ROUNDUP(MONTH(G19)/3,0))*(地价!B2:F2=E2)*(地价!B4:F35)),0)</f>
        <v>350</v>
      </c>
      <c r="N20" s="680" t="s">
        <v>1522</v>
      </c>
      <c r="O20" s="681" t="s">
        <v>1523</v>
      </c>
      <c r="P20" s="682" t="s">
        <v>1524</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1087</v>
      </c>
      <c r="B21" s="549" t="s">
        <v>1525</v>
      </c>
      <c r="C21" s="550">
        <f>IF(B21="容积率修正",IF(G3&lt;=10,D22,J22),C23)</f>
        <v>1</v>
      </c>
      <c r="D21" s="551"/>
      <c r="E21" s="551"/>
      <c r="F21" s="551"/>
      <c r="G21" s="551"/>
      <c r="H21" s="551"/>
      <c r="I21" s="551"/>
      <c r="J21" s="683"/>
      <c r="K21" s="667"/>
      <c r="L21" s="668"/>
      <c r="M21" s="668"/>
      <c r="N21" s="684" t="s">
        <v>1526</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1527</v>
      </c>
      <c r="B22" s="553" t="s">
        <v>1528</v>
      </c>
      <c r="C22" s="554" t="s">
        <v>1529</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1530</v>
      </c>
      <c r="J22" s="687" t="str">
        <f>IF(G3&gt;10,D113,"——")</f>
        <v>——</v>
      </c>
      <c r="K22" s="667"/>
      <c r="L22" s="668"/>
      <c r="M22" s="668"/>
      <c r="N22" s="684" t="s">
        <v>1531</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1532</v>
      </c>
      <c r="B23" s="555" t="s">
        <v>1533</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1534</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1535</v>
      </c>
      <c r="B24" s="536" t="s">
        <v>1536</v>
      </c>
      <c r="C24" s="537">
        <f>SUMIF(A45:A88,E2,B45:B88)</f>
        <v>1.0129</v>
      </c>
      <c r="D24" s="560"/>
      <c r="E24" s="561"/>
      <c r="F24" s="561"/>
      <c r="G24" s="561"/>
      <c r="H24" s="561"/>
      <c r="I24" s="561"/>
      <c r="J24" s="690"/>
      <c r="K24" s="667"/>
      <c r="L24" s="668"/>
      <c r="M24" s="668"/>
      <c r="N24" s="691" t="s">
        <v>1537</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1538</v>
      </c>
      <c r="B25" s="562" t="s">
        <v>1539</v>
      </c>
      <c r="C25" s="563"/>
      <c r="D25" s="487"/>
      <c r="E25" s="487"/>
      <c r="F25" s="564"/>
      <c r="G25" s="487"/>
      <c r="H25" s="487"/>
      <c r="I25" s="487"/>
      <c r="J25" s="652"/>
      <c r="K25" s="449"/>
      <c r="L25" s="450"/>
      <c r="M25" s="450"/>
      <c r="N25" s="694" t="s">
        <v>1540</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1541</v>
      </c>
      <c r="C26" s="566">
        <f>IF(B21="容积率修正",E29+SUM(E33:E39),SUM(V2:V16)+SUM(E33:E39))</f>
        <v>7708</v>
      </c>
      <c r="D26" s="567"/>
      <c r="E26" s="515"/>
      <c r="F26" s="568"/>
      <c r="G26" s="515"/>
      <c r="H26" s="515"/>
      <c r="I26" s="515"/>
      <c r="J26" s="697"/>
      <c r="K26" s="449"/>
      <c r="L26" s="698" t="s">
        <v>1430</v>
      </c>
      <c r="M26" s="484" t="s">
        <v>1542</v>
      </c>
      <c r="N26" s="484" t="s">
        <v>1543</v>
      </c>
      <c r="O26" s="484" t="s">
        <v>1544</v>
      </c>
      <c r="P26" s="699" t="s">
        <v>1545</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1546</v>
      </c>
      <c r="C27" s="570">
        <f>E30+SUM(I33:I39)</f>
        <v>0</v>
      </c>
      <c r="D27" s="571"/>
      <c r="E27" s="572"/>
      <c r="F27" s="573"/>
      <c r="G27" s="572"/>
      <c r="H27" s="572"/>
      <c r="I27" s="572"/>
      <c r="J27" s="700"/>
      <c r="K27" s="449"/>
      <c r="L27" s="701" t="s">
        <v>1547</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1548</v>
      </c>
      <c r="C28" s="576" t="s">
        <v>1549</v>
      </c>
      <c r="D28" s="576" t="s">
        <v>514</v>
      </c>
      <c r="E28" s="577" t="s">
        <v>1550</v>
      </c>
      <c r="F28" s="578"/>
      <c r="G28" s="503"/>
      <c r="H28" s="503"/>
      <c r="I28" s="503"/>
      <c r="J28" s="655"/>
      <c r="K28" s="449"/>
      <c r="L28" s="703" t="s">
        <v>1519</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1551</v>
      </c>
      <c r="C29" s="581">
        <f>ROUND(C5*C18*C19*C20*C21*C24,0)</f>
        <v>9923</v>
      </c>
      <c r="D29" s="582">
        <f>'数据-汇总表'!F21</f>
        <v>7767.62</v>
      </c>
      <c r="E29" s="583">
        <f t="shared" ref="E29:E39" si="7">ROUND(C29*D29/10000,0)</f>
        <v>7708</v>
      </c>
      <c r="F29" s="584" t="s">
        <v>1552</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1553</v>
      </c>
      <c r="C30" s="518">
        <f>ROUND(IF(E2="工业",C29*M39,C29*M38),0)</f>
        <v>2481</v>
      </c>
      <c r="D30" s="588"/>
      <c r="E30" s="583">
        <f t="shared" si="7"/>
        <v>0</v>
      </c>
      <c r="F30" s="589" t="s">
        <v>1554</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1555</v>
      </c>
      <c r="C31" s="593" t="s">
        <v>1556</v>
      </c>
      <c r="D31" s="503"/>
      <c r="E31" s="593"/>
      <c r="F31" s="593"/>
      <c r="G31" s="501" t="s">
        <v>1554</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1549</v>
      </c>
      <c r="D32" s="596" t="s">
        <v>514</v>
      </c>
      <c r="E32" s="596" t="s">
        <v>1550</v>
      </c>
      <c r="F32" s="456" t="s">
        <v>1557</v>
      </c>
      <c r="G32" s="597" t="s">
        <v>1549</v>
      </c>
      <c r="H32" s="597" t="s">
        <v>514</v>
      </c>
      <c r="I32" s="597" t="s">
        <v>1550</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1558</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1559</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1560</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1561</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1562</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1563</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1564</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1565</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1566</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1567</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1545</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1568</v>
      </c>
      <c r="C41" s="456">
        <f>ROUND(POWER(1+E41,H41-G41)*(POWER(1+E41,G41)-1)/(POWER(1+E41,H41)-1),4)</f>
        <v>0</v>
      </c>
      <c r="D41" s="495" t="s">
        <v>1519</v>
      </c>
      <c r="E41" s="607">
        <f>G20</f>
        <v>0.054</v>
      </c>
      <c r="F41" s="495" t="s">
        <v>1520</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1569</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1570</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1571</v>
      </c>
      <c r="B47" s="621" t="s">
        <v>1572</v>
      </c>
      <c r="C47" s="621" t="s">
        <v>1573</v>
      </c>
      <c r="D47" s="621" t="s">
        <v>1574</v>
      </c>
      <c r="E47" s="622" t="s">
        <v>1575</v>
      </c>
      <c r="F47" s="623" t="s">
        <v>1576</v>
      </c>
      <c r="G47" s="621" t="s">
        <v>1283</v>
      </c>
      <c r="H47" s="624" t="s">
        <v>1577</v>
      </c>
      <c r="I47" s="621" t="s">
        <v>1578</v>
      </c>
      <c r="J47" s="719" t="s">
        <v>1212</v>
      </c>
      <c r="K47" s="719" t="s">
        <v>1213</v>
      </c>
      <c r="L47" s="719" t="s">
        <v>1214</v>
      </c>
      <c r="M47" s="719" t="s">
        <v>1215</v>
      </c>
      <c r="N47" s="719" t="s">
        <v>1216</v>
      </c>
      <c r="AA47" s="605"/>
      <c r="AB47" s="605"/>
      <c r="AC47" s="605"/>
      <c r="AD47" s="605"/>
      <c r="AE47" s="605"/>
      <c r="AF47" s="605"/>
      <c r="AG47" s="605"/>
      <c r="AH47" s="605"/>
      <c r="AI47" s="605"/>
      <c r="AJ47" s="605"/>
      <c r="AK47" s="605"/>
    </row>
    <row r="48" s="449" customFormat="1" ht="36.75" spans="1:37">
      <c r="A48" s="620" t="s">
        <v>1579</v>
      </c>
      <c r="B48" s="625" t="str">
        <f>估价对象房地状况!C4</f>
        <v>估价对象位于XX商圈，周边商业氛围成熟，人流量大，商业繁华度好</v>
      </c>
      <c r="C48" s="512" t="s">
        <v>1250</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1580</v>
      </c>
      <c r="B49" s="631" t="str">
        <f>估价对象房地状况!C18</f>
        <v>估价对象周边道路状况、公共交通通达情况、停车便捷程度，综合评价交通便捷度较好</v>
      </c>
      <c r="C49" s="512" t="s">
        <v>1250</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1581</v>
      </c>
      <c r="B50" s="631">
        <f>估价对象房地状况!C19</f>
        <v>0</v>
      </c>
      <c r="C50" s="512" t="s">
        <v>1250</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1582</v>
      </c>
      <c r="B51" s="633" t="s">
        <v>1583</v>
      </c>
      <c r="C51" s="512" t="s">
        <v>1251</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1584</v>
      </c>
      <c r="B52" s="631">
        <f>估价对象房地状况!C24</f>
        <v>0</v>
      </c>
      <c r="C52" s="512" t="s">
        <v>1585</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1586</v>
      </c>
      <c r="B53" s="634" t="s">
        <v>1587</v>
      </c>
      <c r="C53" s="512" t="s">
        <v>1251</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1588</v>
      </c>
      <c r="B54" s="636" t="str">
        <f>估价对象房地状况!C21</f>
        <v>估价对象所在区域公共配套设施齐备情况</v>
      </c>
      <c r="C54" s="512" t="s">
        <v>1250</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1589</v>
      </c>
      <c r="B55" s="631" t="str">
        <f>估价对象房地状况!C22</f>
        <v>估价对象所在区域基础设施水平</v>
      </c>
      <c r="C55" s="512" t="s">
        <v>1274</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1590</v>
      </c>
      <c r="B56" s="638" t="str">
        <f>估价对象房地状况!C20</f>
        <v>区域自然环境：；人文环境；综合评价环境状况一般</v>
      </c>
      <c r="C56" s="512" t="s">
        <v>1250</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1591</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1571</v>
      </c>
      <c r="B58" s="621"/>
      <c r="C58" s="621" t="s">
        <v>1573</v>
      </c>
      <c r="D58" s="621" t="s">
        <v>1574</v>
      </c>
      <c r="E58" s="622" t="s">
        <v>1575</v>
      </c>
      <c r="F58" s="623" t="s">
        <v>1592</v>
      </c>
      <c r="G58" s="621" t="s">
        <v>1283</v>
      </c>
      <c r="H58" s="624" t="s">
        <v>1577</v>
      </c>
      <c r="I58" s="621" t="s">
        <v>1578</v>
      </c>
      <c r="J58" s="719" t="s">
        <v>1212</v>
      </c>
      <c r="K58" s="719" t="s">
        <v>1213</v>
      </c>
      <c r="L58" s="719" t="s">
        <v>1214</v>
      </c>
      <c r="M58" s="719" t="s">
        <v>1215</v>
      </c>
      <c r="N58" s="719" t="s">
        <v>1216</v>
      </c>
      <c r="AA58" s="605"/>
      <c r="AB58" s="605"/>
      <c r="AC58" s="605"/>
      <c r="AD58" s="605"/>
      <c r="AE58" s="605"/>
      <c r="AF58" s="605"/>
      <c r="AG58" s="605"/>
      <c r="AH58" s="605"/>
      <c r="AI58" s="605"/>
      <c r="AJ58" s="605"/>
      <c r="AK58" s="605"/>
    </row>
    <row r="59" s="449" customFormat="1" ht="36.75" spans="1:37">
      <c r="A59" s="620" t="s">
        <v>1593</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1580</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1581</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1582</v>
      </c>
      <c r="B62" s="633" t="s">
        <v>1583</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1584</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1586</v>
      </c>
      <c r="B64" s="634" t="s">
        <v>1587</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1588</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1589</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1590</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1594</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1571</v>
      </c>
      <c r="B69" s="621"/>
      <c r="C69" s="621" t="s">
        <v>1573</v>
      </c>
      <c r="D69" s="621" t="s">
        <v>1574</v>
      </c>
      <c r="E69" s="622" t="s">
        <v>1575</v>
      </c>
      <c r="F69" s="623" t="s">
        <v>1592</v>
      </c>
      <c r="G69" s="621" t="s">
        <v>1283</v>
      </c>
      <c r="H69" s="624" t="s">
        <v>1577</v>
      </c>
      <c r="I69" s="621" t="s">
        <v>1578</v>
      </c>
      <c r="J69" s="719" t="s">
        <v>1212</v>
      </c>
      <c r="K69" s="719" t="s">
        <v>1213</v>
      </c>
      <c r="L69" s="719" t="s">
        <v>1214</v>
      </c>
      <c r="M69" s="719" t="s">
        <v>1215</v>
      </c>
      <c r="N69" s="719" t="s">
        <v>1216</v>
      </c>
      <c r="AA69" s="605"/>
      <c r="AB69" s="605"/>
      <c r="AC69" s="605"/>
      <c r="AD69" s="605"/>
      <c r="AE69" s="605"/>
      <c r="AF69" s="605"/>
      <c r="AG69" s="605"/>
      <c r="AH69" s="605"/>
      <c r="AI69" s="605"/>
      <c r="AJ69" s="605"/>
      <c r="AK69" s="605"/>
    </row>
    <row r="70" s="449" customFormat="1" ht="48" spans="1:37">
      <c r="A70" s="620" t="s">
        <v>1595</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1580</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1581</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1596</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1588</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1589</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1586</v>
      </c>
      <c r="B76" s="634" t="s">
        <v>1587</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1590</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1597</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1598</v>
      </c>
      <c r="B79" s="615">
        <f>1+E81</f>
        <v>1</v>
      </c>
      <c r="C79" s="617"/>
      <c r="D79" s="617"/>
      <c r="E79" s="618"/>
      <c r="F79" s="619"/>
      <c r="G79" s="613"/>
      <c r="H79" s="613"/>
      <c r="I79" s="613"/>
      <c r="J79" s="612"/>
      <c r="K79" s="612"/>
      <c r="L79" s="612"/>
      <c r="M79" s="612"/>
      <c r="N79" s="612"/>
      <c r="Z79" s="453"/>
      <c r="AA79" s="451"/>
      <c r="AG79" s="455"/>
      <c r="AK79" s="451"/>
    </row>
    <row r="80" ht="24.75" spans="1:37">
      <c r="A80" s="620" t="s">
        <v>1571</v>
      </c>
      <c r="B80" s="621"/>
      <c r="C80" s="621" t="s">
        <v>1573</v>
      </c>
      <c r="D80" s="621" t="s">
        <v>1574</v>
      </c>
      <c r="E80" s="622" t="s">
        <v>1575</v>
      </c>
      <c r="F80" s="623" t="s">
        <v>1592</v>
      </c>
      <c r="G80" s="621" t="s">
        <v>1283</v>
      </c>
      <c r="H80" s="624" t="s">
        <v>1577</v>
      </c>
      <c r="I80" s="621" t="s">
        <v>1578</v>
      </c>
      <c r="J80" s="719" t="s">
        <v>1212</v>
      </c>
      <c r="K80" s="719" t="s">
        <v>1213</v>
      </c>
      <c r="L80" s="719" t="s">
        <v>1214</v>
      </c>
      <c r="M80" s="719" t="s">
        <v>1215</v>
      </c>
      <c r="N80" s="719" t="s">
        <v>1216</v>
      </c>
      <c r="Z80" s="453"/>
      <c r="AA80" s="451"/>
      <c r="AG80" s="455"/>
      <c r="AK80" s="451"/>
    </row>
    <row r="81" ht="38.25" spans="1:37">
      <c r="A81" s="620" t="s">
        <v>1599</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1580</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1581</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1596</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1588</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1589</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1586</v>
      </c>
      <c r="B87" s="634" t="s">
        <v>1600</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1601</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1602</v>
      </c>
      <c r="B90" s="757"/>
      <c r="C90" s="757"/>
      <c r="D90" s="757"/>
      <c r="E90" s="757"/>
      <c r="F90" s="757"/>
      <c r="G90" s="757"/>
      <c r="H90" s="757"/>
      <c r="I90" s="757"/>
      <c r="J90" s="757"/>
      <c r="K90" s="757"/>
      <c r="L90" s="757"/>
      <c r="M90" s="757"/>
      <c r="N90" s="757"/>
    </row>
    <row r="91" spans="1:14">
      <c r="A91" s="583" t="s">
        <v>1603</v>
      </c>
      <c r="B91" s="583" t="s">
        <v>1604</v>
      </c>
      <c r="C91" s="584" t="s">
        <v>1605</v>
      </c>
      <c r="D91" s="585"/>
      <c r="E91" s="585"/>
      <c r="F91" s="585"/>
      <c r="G91" s="585"/>
      <c r="H91" s="585"/>
      <c r="I91" s="585"/>
      <c r="J91" s="782"/>
      <c r="K91" s="783"/>
      <c r="L91" s="783"/>
      <c r="M91" s="783"/>
      <c r="N91" s="783"/>
    </row>
    <row r="92" spans="1:14">
      <c r="A92" s="583"/>
      <c r="B92" s="583"/>
      <c r="C92" s="583" t="s">
        <v>1457</v>
      </c>
      <c r="D92" s="583" t="s">
        <v>1458</v>
      </c>
      <c r="E92" s="583" t="s">
        <v>1459</v>
      </c>
      <c r="F92" s="583" t="s">
        <v>1460</v>
      </c>
      <c r="G92" s="583" t="s">
        <v>1461</v>
      </c>
      <c r="H92" s="583" t="s">
        <v>1462</v>
      </c>
      <c r="I92" s="583" t="s">
        <v>1463</v>
      </c>
      <c r="J92" s="583" t="s">
        <v>1464</v>
      </c>
      <c r="K92" s="583" t="s">
        <v>1465</v>
      </c>
      <c r="L92" s="583" t="s">
        <v>1466</v>
      </c>
      <c r="M92" s="583" t="s">
        <v>1467</v>
      </c>
      <c r="N92" s="583" t="s">
        <v>1468</v>
      </c>
    </row>
    <row r="93" spans="1:14">
      <c r="A93" s="758" t="s">
        <v>1606</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1474</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1607</v>
      </c>
      <c r="B101" s="765" t="s">
        <v>1608</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1488</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1609</v>
      </c>
      <c r="B110" s="768"/>
      <c r="C110" s="768"/>
      <c r="D110" s="768"/>
      <c r="E110" s="768"/>
      <c r="F110" s="768"/>
      <c r="G110" s="768"/>
      <c r="H110" s="768"/>
      <c r="I110" s="768"/>
      <c r="J110" s="768"/>
      <c r="K110" s="768"/>
      <c r="L110" s="768"/>
      <c r="M110" s="768"/>
      <c r="N110" s="768"/>
    </row>
    <row r="112" ht="13.5"/>
    <row r="113" ht="25.5" spans="1:13">
      <c r="A113" s="769" t="s">
        <v>1610</v>
      </c>
      <c r="B113" s="770">
        <f>G3</f>
        <v>2.5</v>
      </c>
      <c r="C113" s="771" t="s">
        <v>1611</v>
      </c>
      <c r="D113" s="772">
        <f>SUMPRODUCT((A115:A118=F113)*(B114:M114=H113)*B115:M118)</f>
        <v>0.8059</v>
      </c>
      <c r="E113" s="461" t="s">
        <v>1430</v>
      </c>
      <c r="F113" s="773" t="str">
        <f>E2</f>
        <v>商业</v>
      </c>
      <c r="G113" s="461" t="s">
        <v>1431</v>
      </c>
      <c r="H113" s="773" t="str">
        <f>G2</f>
        <v>七级</v>
      </c>
      <c r="I113" s="461"/>
      <c r="J113" s="784"/>
      <c r="K113" s="784"/>
      <c r="L113" s="784"/>
      <c r="M113" s="784"/>
    </row>
    <row r="114" spans="1:13">
      <c r="A114" s="774"/>
      <c r="B114" s="775" t="s">
        <v>1612</v>
      </c>
      <c r="C114" s="775" t="s">
        <v>1613</v>
      </c>
      <c r="D114" s="775" t="s">
        <v>1614</v>
      </c>
      <c r="E114" s="776" t="s">
        <v>1615</v>
      </c>
      <c r="F114" s="776" t="s">
        <v>1616</v>
      </c>
      <c r="G114" s="776" t="s">
        <v>1617</v>
      </c>
      <c r="H114" s="777" t="s">
        <v>1618</v>
      </c>
      <c r="I114" s="777" t="s">
        <v>1619</v>
      </c>
      <c r="J114" s="785" t="s">
        <v>1620</v>
      </c>
      <c r="K114" s="785" t="s">
        <v>1621</v>
      </c>
      <c r="L114" s="785" t="s">
        <v>1622</v>
      </c>
      <c r="M114" s="786" t="s">
        <v>1623</v>
      </c>
    </row>
    <row r="115" spans="1:13">
      <c r="A115" s="778" t="s">
        <v>1542</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1543</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1544</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1545</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6" sqref="H36"/>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923</v>
      </c>
      <c r="B1" s="1927"/>
      <c r="C1" s="1928" t="s">
        <v>460</v>
      </c>
      <c r="D1" s="1927"/>
      <c r="E1" s="1927"/>
      <c r="F1" s="1929" t="s">
        <v>924</v>
      </c>
      <c r="G1" s="1930" t="s">
        <v>925</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926</v>
      </c>
      <c r="B3" s="1614"/>
      <c r="C3" s="1614"/>
      <c r="D3" s="1614"/>
      <c r="E3" s="1614"/>
      <c r="F3" s="1614"/>
      <c r="G3" s="1614"/>
      <c r="H3" s="1614"/>
      <c r="I3" s="1614"/>
    </row>
    <row r="4" ht="14.25" spans="1:12">
      <c r="A4" s="1935" t="s">
        <v>927</v>
      </c>
      <c r="B4" s="1936" t="s">
        <v>928</v>
      </c>
      <c r="C4" s="1937" t="s">
        <v>1739</v>
      </c>
      <c r="D4" s="1937" t="s">
        <v>311</v>
      </c>
      <c r="E4" s="1938" t="s">
        <v>931</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932</v>
      </c>
      <c r="B5" s="1051">
        <v>25</v>
      </c>
      <c r="C5" s="1941"/>
      <c r="D5" s="1942"/>
      <c r="E5" s="1602" t="s">
        <v>933</v>
      </c>
      <c r="F5" s="1943"/>
      <c r="G5" s="1943"/>
      <c r="H5" s="1943"/>
      <c r="I5" s="1819"/>
    </row>
    <row r="6" ht="13.5" spans="1:9">
      <c r="A6" s="1940"/>
      <c r="B6" s="1051"/>
      <c r="C6" s="1944"/>
      <c r="D6" s="1942"/>
      <c r="E6" s="1602" t="s">
        <v>934</v>
      </c>
      <c r="F6" s="1943"/>
      <c r="G6" s="1943"/>
      <c r="H6" s="1943"/>
      <c r="I6" s="1819"/>
    </row>
    <row r="7" ht="13.5" spans="1:9">
      <c r="A7" s="1940"/>
      <c r="B7" s="1051"/>
      <c r="C7" s="1945"/>
      <c r="D7" s="1942"/>
      <c r="E7" s="1602" t="s">
        <v>935</v>
      </c>
      <c r="F7" s="1943"/>
      <c r="G7" s="1943"/>
      <c r="H7" s="1943"/>
      <c r="I7" s="1819"/>
    </row>
    <row r="8" ht="13.5" spans="1:9">
      <c r="A8" s="1940" t="s">
        <v>936</v>
      </c>
      <c r="B8" s="1051">
        <v>15</v>
      </c>
      <c r="C8" s="1941"/>
      <c r="D8" s="1942"/>
      <c r="E8" s="1602" t="s">
        <v>937</v>
      </c>
      <c r="F8" s="1943"/>
      <c r="G8" s="1943"/>
      <c r="H8" s="1943"/>
      <c r="I8" s="1819"/>
    </row>
    <row r="9" ht="13.5" spans="1:9">
      <c r="A9" s="1940"/>
      <c r="B9" s="1051"/>
      <c r="C9" s="1945"/>
      <c r="D9" s="1942"/>
      <c r="E9" s="1602" t="s">
        <v>938</v>
      </c>
      <c r="F9" s="1943"/>
      <c r="G9" s="1943"/>
      <c r="H9" s="1943"/>
      <c r="I9" s="1819"/>
    </row>
    <row r="10" ht="13.5" spans="1:9">
      <c r="A10" s="1940" t="s">
        <v>939</v>
      </c>
      <c r="B10" s="1051">
        <v>15</v>
      </c>
      <c r="C10" s="1941"/>
      <c r="D10" s="1942"/>
      <c r="E10" s="1602" t="s">
        <v>940</v>
      </c>
      <c r="F10" s="1943"/>
      <c r="G10" s="1943"/>
      <c r="H10" s="1943"/>
      <c r="I10" s="1819"/>
    </row>
    <row r="11" ht="13.5" spans="1:9">
      <c r="A11" s="1940"/>
      <c r="B11" s="1051"/>
      <c r="C11" s="1945"/>
      <c r="D11" s="1942"/>
      <c r="E11" s="1602" t="s">
        <v>941</v>
      </c>
      <c r="F11" s="1943"/>
      <c r="G11" s="1943"/>
      <c r="H11" s="1943"/>
      <c r="I11" s="1819"/>
    </row>
    <row r="12" ht="13.5" spans="1:9">
      <c r="A12" s="1940" t="s">
        <v>942</v>
      </c>
      <c r="B12" s="1051">
        <v>15</v>
      </c>
      <c r="C12" s="1941"/>
      <c r="D12" s="1942"/>
      <c r="E12" s="1602" t="s">
        <v>943</v>
      </c>
      <c r="F12" s="1943"/>
      <c r="G12" s="1943"/>
      <c r="H12" s="1943"/>
      <c r="I12" s="1819"/>
    </row>
    <row r="13" ht="13.5" spans="1:9">
      <c r="A13" s="1940"/>
      <c r="B13" s="1051"/>
      <c r="C13" s="1945"/>
      <c r="D13" s="1942"/>
      <c r="E13" s="1602" t="s">
        <v>944</v>
      </c>
      <c r="F13" s="1943"/>
      <c r="G13" s="1943"/>
      <c r="H13" s="1943"/>
      <c r="I13" s="1819"/>
    </row>
    <row r="14" ht="13.5" spans="1:9">
      <c r="A14" s="1940" t="s">
        <v>945</v>
      </c>
      <c r="B14" s="1051">
        <v>30</v>
      </c>
      <c r="C14" s="1941">
        <v>4</v>
      </c>
      <c r="D14" s="1942">
        <v>6</v>
      </c>
      <c r="E14" s="1602" t="s">
        <v>946</v>
      </c>
      <c r="F14" s="1943"/>
      <c r="G14" s="1943"/>
      <c r="H14" s="1943"/>
      <c r="I14" s="1819"/>
    </row>
    <row r="15" ht="13.5" spans="1:9">
      <c r="A15" s="1940"/>
      <c r="B15" s="1051"/>
      <c r="C15" s="1944"/>
      <c r="D15" s="1942"/>
      <c r="E15" s="1602" t="s">
        <v>947</v>
      </c>
      <c r="F15" s="1943"/>
      <c r="G15" s="1943"/>
      <c r="H15" s="1943"/>
      <c r="I15" s="1819"/>
    </row>
    <row r="16" ht="13.5" spans="1:9">
      <c r="A16" s="1940"/>
      <c r="B16" s="1051"/>
      <c r="C16" s="1945"/>
      <c r="D16" s="1942"/>
      <c r="E16" s="1602" t="s">
        <v>948</v>
      </c>
      <c r="F16" s="1943"/>
      <c r="G16" s="1943"/>
      <c r="H16" s="1943"/>
      <c r="I16" s="1819"/>
    </row>
    <row r="17" ht="14.25" spans="1:13">
      <c r="A17" s="1946" t="s">
        <v>949</v>
      </c>
      <c r="B17" s="1947"/>
      <c r="C17" s="1948">
        <f>SUM(C5:C16)</f>
        <v>4</v>
      </c>
      <c r="D17" s="1948">
        <f>SUM(D5:D16)</f>
        <v>6</v>
      </c>
      <c r="E17" s="1949"/>
      <c r="F17" s="1949"/>
      <c r="G17" s="1949"/>
      <c r="H17" s="1949"/>
      <c r="I17" s="1949"/>
      <c r="K17" s="1558"/>
      <c r="L17" s="1558" t="s">
        <v>950</v>
      </c>
      <c r="M17" s="1558" t="s">
        <v>951</v>
      </c>
    </row>
    <row r="18" ht="31.95" customHeight="1" spans="1:13">
      <c r="A18" s="1950" t="s">
        <v>952</v>
      </c>
      <c r="B18" s="1951"/>
      <c r="C18" s="1952">
        <f>ROUND(C17/SUM(C17:D17),2)</f>
        <v>0.4</v>
      </c>
      <c r="D18" s="1952">
        <f>1-C18</f>
        <v>0.6</v>
      </c>
      <c r="E18" s="1953" t="s">
        <v>953</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954</v>
      </c>
      <c r="B19" s="1956" t="s">
        <v>955</v>
      </c>
      <c r="C19" s="1957">
        <f ca="1">SUMIF(INDIRECT("'"&amp;C4&amp;"'"&amp;"!A:A"),'结果表--仓储'!B19,INDIRECT("'"&amp;C4&amp;"'"&amp;"!B:B"))</f>
        <v>563</v>
      </c>
      <c r="D19" s="1208">
        <f ca="1">SUMIF(INDIRECT("'"&amp;D4&amp;"'"&amp;"!A:A"),'结果表--仓储'!B19,INDIRECT("'"&amp;D4&amp;"'"&amp;"!B:B"))</f>
        <v>836</v>
      </c>
      <c r="E19" s="1955" t="s">
        <v>956</v>
      </c>
      <c r="F19" s="1956" t="s">
        <v>955</v>
      </c>
      <c r="G19" s="1958">
        <f ca="1">ROUND(C19*$C$18+D19*$D$18,0)</f>
        <v>727</v>
      </c>
      <c r="H19" s="1959" t="s">
        <v>957</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958</v>
      </c>
      <c r="C20" s="1962">
        <f ca="1">SUMIF(INDIRECT("'"&amp;C4&amp;"'"&amp;"!A:A"),'结果表--仓储'!B20,INDIRECT("'"&amp;C4&amp;"'"&amp;"!B:B"))</f>
        <v>4940</v>
      </c>
      <c r="D20" s="1963">
        <f ca="1">SUMIF(INDIRECT("'"&amp;D4&amp;"'"&amp;"!A:A"),'结果表--仓储'!B20,INDIRECT("'"&amp;D4&amp;"'"&amp;"!B:B"))</f>
        <v>7332</v>
      </c>
      <c r="E20" s="1960"/>
      <c r="F20" s="1961" t="s">
        <v>958</v>
      </c>
      <c r="G20" s="1964">
        <f ca="1">ROUND(C20*$C$18+D20*$D$18,0)</f>
        <v>6375</v>
      </c>
      <c r="H20" s="1720" t="s">
        <v>959</v>
      </c>
      <c r="I20" s="1949"/>
    </row>
    <row r="21" ht="15" customHeight="1" spans="1:9">
      <c r="A21" s="1902"/>
      <c r="B21" s="1965" t="s">
        <v>960</v>
      </c>
      <c r="C21" s="1966" t="e">
        <f ca="1">ROUND(C19*10000/L19,0)</f>
        <v>#DIV/0!</v>
      </c>
      <c r="D21" s="1967" t="e">
        <f ca="1">ROUND(D19*10000/L19,0)</f>
        <v>#DIV/0!</v>
      </c>
      <c r="E21" s="1902"/>
      <c r="F21" s="1965" t="s">
        <v>960</v>
      </c>
      <c r="G21" s="1968" t="e">
        <f ca="1">ROUND(G19*10000/L19,0)</f>
        <v>#DIV/0!</v>
      </c>
      <c r="H21" s="1969" t="s">
        <v>959</v>
      </c>
      <c r="I21" s="1949"/>
    </row>
    <row r="22" ht="15" spans="1:9">
      <c r="A22" s="1970" t="s">
        <v>961</v>
      </c>
      <c r="B22" s="1971"/>
      <c r="C22" s="1972"/>
      <c r="D22" s="1973">
        <f ca="1">IF(C19&lt;D19,D19/C19-1,C19/D19-1)</f>
        <v>0.484902309058615</v>
      </c>
      <c r="E22" s="1949"/>
      <c r="F22" s="1949"/>
      <c r="G22" s="1949"/>
      <c r="H22" s="1949"/>
      <c r="I22" s="1949"/>
    </row>
    <row r="23" ht="14.25" spans="1:9">
      <c r="A23" s="1927"/>
      <c r="B23" s="1927"/>
      <c r="C23" s="1927"/>
      <c r="D23" s="1927"/>
      <c r="E23" s="1949"/>
      <c r="F23" s="1949"/>
      <c r="G23" s="1949"/>
      <c r="H23" s="1949"/>
      <c r="I23" s="1949"/>
    </row>
    <row r="24" ht="14.25" spans="1:9">
      <c r="A24" s="1974" t="s">
        <v>962</v>
      </c>
      <c r="B24" s="1956" t="s">
        <v>955</v>
      </c>
      <c r="C24" s="1958">
        <f>IF(B30=0,0,D30)</f>
        <v>0</v>
      </c>
      <c r="D24" s="1975"/>
      <c r="E24" s="1949"/>
      <c r="F24" s="1949"/>
      <c r="G24" s="1949"/>
      <c r="H24" s="1949"/>
      <c r="I24" s="1949"/>
    </row>
    <row r="25" ht="14.25" spans="1:9">
      <c r="A25" s="1976"/>
      <c r="B25" s="1961" t="s">
        <v>958</v>
      </c>
      <c r="C25" s="1977">
        <f>IF(B30=0,0,C30)</f>
        <v>0</v>
      </c>
      <c r="D25" s="1978"/>
      <c r="E25" s="1949"/>
      <c r="F25" s="1949"/>
      <c r="G25" s="1949"/>
      <c r="H25" s="1949"/>
      <c r="I25" s="1949"/>
    </row>
    <row r="26" ht="13.5" customHeight="1" spans="1:9">
      <c r="A26" s="1979" t="s">
        <v>963</v>
      </c>
      <c r="B26" s="1980" t="s">
        <v>964</v>
      </c>
      <c r="C26" s="1980" t="s">
        <v>965</v>
      </c>
      <c r="D26" s="1981" t="s">
        <v>966</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967</v>
      </c>
      <c r="B30" s="1980"/>
      <c r="C30" s="1980"/>
      <c r="D30" s="1980"/>
      <c r="E30" s="1982" t="s">
        <v>968</v>
      </c>
      <c r="F30" s="1949"/>
      <c r="G30" s="1949"/>
      <c r="H30" s="1949"/>
      <c r="I30" s="1949"/>
    </row>
    <row r="31" s="1919" customFormat="1" ht="26.4" customHeight="1" spans="1:36">
      <c r="A31" s="1983"/>
      <c r="B31" s="1984"/>
      <c r="C31" s="1984"/>
      <c r="D31" s="1984"/>
      <c r="E31" s="1984"/>
      <c r="F31" s="1984"/>
      <c r="G31" s="1984"/>
      <c r="H31" s="1984"/>
      <c r="I31" s="2099" t="s">
        <v>969</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970</v>
      </c>
      <c r="B32" s="1986"/>
      <c r="C32" s="1987">
        <f ca="1">IF(D32="总价",G19-C24,G20-C25)</f>
        <v>6375</v>
      </c>
      <c r="D32" s="1988" t="s">
        <v>971</v>
      </c>
      <c r="E32" s="1949"/>
      <c r="F32" s="1949"/>
      <c r="G32" s="1949"/>
      <c r="H32" s="1949"/>
      <c r="I32" s="1949"/>
    </row>
    <row r="33" ht="15" spans="1:9">
      <c r="A33" s="1842" t="s">
        <v>972</v>
      </c>
      <c r="B33" s="1989"/>
      <c r="C33" s="1990"/>
      <c r="D33" s="1991"/>
      <c r="E33" s="1992" t="s">
        <v>973</v>
      </c>
      <c r="F33" s="1993" t="str">
        <f>IF(D32="楼面单价","取值（单价）","取值（总价）")</f>
        <v>取值（单价）</v>
      </c>
      <c r="G33" s="1949"/>
      <c r="H33" s="1949"/>
      <c r="I33" s="1949"/>
    </row>
    <row r="34" ht="15" spans="1:9">
      <c r="A34" s="1994"/>
      <c r="B34" s="1995" t="s">
        <v>974</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975</v>
      </c>
      <c r="F34" s="1999"/>
      <c r="G34" s="1949"/>
      <c r="H34" s="1949"/>
      <c r="I34" s="1949"/>
    </row>
    <row r="35" ht="15.75" spans="1:9">
      <c r="A35" s="2000"/>
      <c r="B35" s="2001" t="s">
        <v>976</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977</v>
      </c>
      <c r="F35" s="2005"/>
      <c r="G35" s="1949"/>
      <c r="H35" s="1949"/>
      <c r="I35" s="1949"/>
    </row>
    <row r="36" ht="15.75" spans="1:9">
      <c r="A36" s="2006" t="s">
        <v>978</v>
      </c>
      <c r="B36" s="2007" t="s">
        <v>979</v>
      </c>
      <c r="C36" s="2008"/>
      <c r="D36" s="2009"/>
      <c r="E36" s="2010"/>
      <c r="F36" s="2011"/>
      <c r="G36" s="1949"/>
      <c r="H36" s="1949"/>
      <c r="I36" s="1949"/>
    </row>
    <row r="37" ht="15.75" spans="1:9">
      <c r="A37" s="2012"/>
      <c r="B37" s="2013" t="s">
        <v>980</v>
      </c>
      <c r="C37" s="2014"/>
      <c r="D37" s="2015"/>
      <c r="E37" s="2015"/>
      <c r="F37" s="2011"/>
      <c r="G37" s="1949"/>
      <c r="H37" s="1949"/>
      <c r="I37" s="1949"/>
    </row>
    <row r="38" ht="15.75" spans="1:9">
      <c r="A38" s="2016"/>
      <c r="B38" s="2017" t="s">
        <v>981</v>
      </c>
      <c r="C38" s="2018"/>
      <c r="D38" s="2019" t="s">
        <v>982</v>
      </c>
      <c r="E38" s="2015"/>
      <c r="F38" s="2011"/>
      <c r="G38" s="1949"/>
      <c r="H38" s="1949"/>
      <c r="I38" s="1949"/>
    </row>
    <row r="39" ht="14.25" spans="1:9">
      <c r="A39" s="1960" t="s">
        <v>983</v>
      </c>
      <c r="B39" s="2020" t="s">
        <v>964</v>
      </c>
      <c r="C39" s="2021" t="s">
        <v>965</v>
      </c>
      <c r="D39" s="2021" t="s">
        <v>984</v>
      </c>
      <c r="E39" s="2022" t="s">
        <v>966</v>
      </c>
      <c r="F39" s="2011"/>
      <c r="G39" s="1949"/>
      <c r="H39" s="1949"/>
      <c r="I39" s="1949"/>
    </row>
    <row r="40" ht="14.25" spans="1:9">
      <c r="A40" s="2023" t="s">
        <v>985</v>
      </c>
      <c r="B40" s="2024"/>
      <c r="C40" s="2025"/>
      <c r="D40" s="2025"/>
      <c r="E40" s="2026"/>
      <c r="F40" s="2011"/>
      <c r="G40" s="1949"/>
      <c r="H40" s="1949"/>
      <c r="I40" s="1949"/>
    </row>
    <row r="41" ht="14.25" spans="1:9">
      <c r="A41" s="2023" t="s">
        <v>986</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987</v>
      </c>
      <c r="B44" s="2033"/>
      <c r="C44" s="2033"/>
      <c r="D44" s="2034"/>
      <c r="E44" s="2034"/>
      <c r="F44" s="2035"/>
      <c r="G44" s="2035"/>
      <c r="H44" s="2035"/>
      <c r="I44" s="2035"/>
      <c r="J44" s="2103" t="s">
        <v>988</v>
      </c>
      <c r="K44" s="2104"/>
      <c r="L44" s="2104"/>
      <c r="M44" s="2104"/>
      <c r="N44" s="2104"/>
      <c r="O44" s="2104"/>
    </row>
    <row r="45" ht="14.25" customHeight="1" spans="1:15">
      <c r="A45" s="2036" t="s">
        <v>989</v>
      </c>
      <c r="B45" s="2037"/>
      <c r="C45" s="2038"/>
      <c r="D45" s="1557">
        <f ca="1">ROUND(H101*F45,0)</f>
        <v>727</v>
      </c>
      <c r="E45" s="2039" t="s">
        <v>990</v>
      </c>
      <c r="F45" s="2040">
        <v>1</v>
      </c>
      <c r="G45" s="2041" t="s">
        <v>991</v>
      </c>
      <c r="H45" s="1949"/>
      <c r="I45" s="1949"/>
      <c r="J45" s="2105" t="s">
        <v>992</v>
      </c>
      <c r="K45" s="2105"/>
      <c r="L45" s="2105"/>
      <c r="M45" s="2105"/>
      <c r="N45" s="2105"/>
      <c r="O45" s="2105"/>
    </row>
    <row r="46" ht="14.25" customHeight="1" spans="1:15">
      <c r="A46" s="2042" t="s">
        <v>993</v>
      </c>
      <c r="B46" s="2043"/>
      <c r="C46" s="2043"/>
      <c r="D46" s="2043"/>
      <c r="E46" s="2043"/>
      <c r="F46" s="2043"/>
      <c r="G46" s="2044"/>
      <c r="H46" s="2045"/>
      <c r="I46" s="2106"/>
      <c r="J46" s="2107">
        <v>1</v>
      </c>
      <c r="K46" s="2108" t="s">
        <v>994</v>
      </c>
      <c r="L46" s="2108"/>
      <c r="M46" s="2109"/>
      <c r="N46" s="2109"/>
      <c r="O46" s="2109"/>
    </row>
    <row r="47" ht="12" customHeight="1" spans="1:15">
      <c r="A47" s="2046" t="s">
        <v>995</v>
      </c>
      <c r="B47" s="2047"/>
      <c r="C47" s="2048"/>
      <c r="D47" s="1613" t="s">
        <v>996</v>
      </c>
      <c r="E47" s="1558" t="s">
        <v>997</v>
      </c>
      <c r="F47" s="2049" t="s">
        <v>998</v>
      </c>
      <c r="G47" s="2050" t="s">
        <v>999</v>
      </c>
      <c r="H47" s="2051"/>
      <c r="I47" s="2106"/>
      <c r="J47" s="2107">
        <v>2</v>
      </c>
      <c r="K47" s="2108" t="s">
        <v>1000</v>
      </c>
      <c r="L47" s="2108"/>
      <c r="M47" s="2110">
        <f>'数据-取费表'!B2</f>
        <v>44461</v>
      </c>
      <c r="N47" s="2110"/>
      <c r="O47" s="2110"/>
    </row>
    <row r="48" ht="24.75" spans="1:15">
      <c r="A48" s="2052" t="s">
        <v>1001</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1002</v>
      </c>
      <c r="H48" s="2055"/>
      <c r="I48" s="2045"/>
      <c r="J48" s="2107">
        <v>3</v>
      </c>
      <c r="K48" s="2108" t="s">
        <v>1003</v>
      </c>
      <c r="L48" s="2108"/>
      <c r="M48" s="2111">
        <f ca="1">H101</f>
        <v>727</v>
      </c>
      <c r="N48" s="2111"/>
      <c r="O48" s="2111"/>
    </row>
    <row r="49" ht="25.5" customHeight="1" spans="1:15">
      <c r="A49" s="2052" t="s">
        <v>1004</v>
      </c>
      <c r="B49" s="1593" t="s">
        <v>1005</v>
      </c>
      <c r="C49" s="1593"/>
      <c r="D49" s="2056">
        <v>0</v>
      </c>
      <c r="E49" s="1623" t="s">
        <v>1006</v>
      </c>
      <c r="F49" s="2057" t="s">
        <v>124</v>
      </c>
      <c r="G49" s="2058"/>
      <c r="H49" s="2059" t="s">
        <v>1007</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1008</v>
      </c>
      <c r="C50" s="1593"/>
      <c r="D50" s="2061"/>
      <c r="E50" s="1638"/>
      <c r="F50" s="2057"/>
      <c r="G50" s="2062"/>
      <c r="H50" s="2063" t="s">
        <v>1009</v>
      </c>
      <c r="I50" s="2112"/>
      <c r="J50" s="2105" t="s">
        <v>1010</v>
      </c>
      <c r="K50" s="2105"/>
      <c r="L50" s="2105"/>
      <c r="M50" s="2105"/>
      <c r="N50" s="2105"/>
      <c r="O50" s="2105"/>
    </row>
    <row r="51" ht="20.4" customHeight="1" spans="1:15">
      <c r="A51" s="2064"/>
      <c r="B51" s="1593" t="s">
        <v>1011</v>
      </c>
      <c r="C51" s="1593"/>
      <c r="D51" s="1613"/>
      <c r="E51" s="1627"/>
      <c r="F51" s="2057"/>
      <c r="G51" s="2065"/>
      <c r="H51" s="2063" t="s">
        <v>1012</v>
      </c>
      <c r="I51" s="2112"/>
      <c r="J51" s="2108" t="s">
        <v>1013</v>
      </c>
      <c r="K51" s="2108" t="s">
        <v>1014</v>
      </c>
      <c r="L51" s="2108"/>
      <c r="M51" s="2108" t="s">
        <v>1015</v>
      </c>
      <c r="N51" s="2108" t="s">
        <v>1016</v>
      </c>
      <c r="O51" s="2108" t="s">
        <v>1017</v>
      </c>
    </row>
    <row r="52" ht="24" customHeight="1" spans="1:15">
      <c r="A52" s="2066" t="s">
        <v>1018</v>
      </c>
      <c r="B52" s="1593" t="s">
        <v>1019</v>
      </c>
      <c r="C52" s="1593"/>
      <c r="D52" s="1613">
        <f ca="1">ROUND(D45*'数据-取费表'!B41/(1+'数据-取费表'!C42),0)</f>
        <v>39</v>
      </c>
      <c r="E52" s="1617" t="s">
        <v>1020</v>
      </c>
      <c r="F52" s="2067">
        <f>'数据-取费表'!B41</f>
        <v>0.056</v>
      </c>
      <c r="G52" s="2068"/>
      <c r="H52" s="1733"/>
      <c r="I52" s="2113"/>
      <c r="J52" s="2107">
        <v>1</v>
      </c>
      <c r="K52" s="2107" t="s">
        <v>1021</v>
      </c>
      <c r="L52" s="2107"/>
      <c r="M52" s="2114" t="b">
        <f ca="1" t="shared" ref="M52:O52" si="0">D48</f>
        <v>0</v>
      </c>
      <c r="N52" s="2107" t="str">
        <f t="shared" si="0"/>
        <v>销售额×税（费）率</v>
      </c>
      <c r="O52" s="2115">
        <f t="shared" si="0"/>
        <v>0.056</v>
      </c>
    </row>
    <row r="53" ht="12" customHeight="1" spans="1:15">
      <c r="A53" s="2066" t="s">
        <v>1022</v>
      </c>
      <c r="B53" s="1592" t="s">
        <v>1023</v>
      </c>
      <c r="C53" s="2069"/>
      <c r="D53" s="1613">
        <f ca="1">ROUND(D45*'数据-取费表'!B41/(1+'数据-取费表'!C42),0)</f>
        <v>39</v>
      </c>
      <c r="E53" s="1617" t="s">
        <v>1020</v>
      </c>
      <c r="F53" s="2067">
        <f>'数据-取费表'!B41</f>
        <v>0.056</v>
      </c>
      <c r="G53" s="2068"/>
      <c r="H53" s="1733"/>
      <c r="I53" s="2113"/>
      <c r="J53" s="2107">
        <v>2</v>
      </c>
      <c r="K53" s="2107" t="s">
        <v>1024</v>
      </c>
      <c r="L53" s="2107"/>
      <c r="M53" s="2114">
        <f ca="1" t="shared" ref="M53:O53" si="1">D55</f>
        <v>0</v>
      </c>
      <c r="N53" s="2107" t="str">
        <f t="shared" si="1"/>
        <v>销售额×税（费）率</v>
      </c>
      <c r="O53" s="2115" t="str">
        <f t="shared" si="1"/>
        <v>免征</v>
      </c>
    </row>
    <row r="54" ht="12" customHeight="1" spans="1:15">
      <c r="A54" s="2066" t="s">
        <v>1025</v>
      </c>
      <c r="B54" s="1592" t="s">
        <v>1026</v>
      </c>
      <c r="C54" s="2069"/>
      <c r="D54" s="1613">
        <f ca="1">C68</f>
        <v>39</v>
      </c>
      <c r="E54" s="1627" t="s">
        <v>1027</v>
      </c>
      <c r="F54" s="2067">
        <f>'数据-取费表'!B41</f>
        <v>0.056</v>
      </c>
      <c r="G54" s="2068"/>
      <c r="H54" s="2070"/>
      <c r="I54" s="2113"/>
      <c r="J54" s="2107">
        <v>3</v>
      </c>
      <c r="K54" s="2107" t="s">
        <v>1028</v>
      </c>
      <c r="L54" s="2107"/>
      <c r="M54" s="2114">
        <f ca="1" t="shared" ref="M54:O54" si="2">D56</f>
        <v>411</v>
      </c>
      <c r="N54" s="2107" t="str">
        <f t="shared" si="2"/>
        <v>增值额×税（费）率</v>
      </c>
      <c r="O54" s="2116" t="str">
        <f t="shared" si="2"/>
        <v>免征</v>
      </c>
    </row>
    <row r="55" ht="24" customHeight="1" spans="1:15">
      <c r="A55" s="2066" t="s">
        <v>1029</v>
      </c>
      <c r="B55" s="1617"/>
      <c r="C55" s="1617"/>
      <c r="D55" s="1718">
        <f ca="1">IF(H55="个人住宅",0,ROUND(D45*I55,0))</f>
        <v>0</v>
      </c>
      <c r="E55" s="1617" t="s">
        <v>1030</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7</v>
      </c>
      <c r="N55" s="505" t="str">
        <f t="shared" si="3"/>
        <v>差额计税</v>
      </c>
      <c r="O55" s="2119">
        <f t="shared" si="3"/>
        <v>0.01</v>
      </c>
    </row>
    <row r="56" ht="24.75" spans="1:15">
      <c r="A56" s="2066" t="s">
        <v>1031</v>
      </c>
      <c r="B56" s="1617"/>
      <c r="C56" s="1617"/>
      <c r="D56" s="1718">
        <f ca="1">IF(H56="个人住宅",D57,D58)</f>
        <v>411</v>
      </c>
      <c r="E56" s="1617" t="s">
        <v>1032</v>
      </c>
      <c r="F56" s="2067" t="str">
        <f>IF(H56="正常",F58,"免征")</f>
        <v>免征</v>
      </c>
      <c r="G56" s="2071" t="s">
        <v>1033</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1004</v>
      </c>
      <c r="B57" s="1592" t="s">
        <v>1034</v>
      </c>
      <c r="C57" s="2069"/>
      <c r="D57" s="2056">
        <v>0</v>
      </c>
      <c r="E57" s="1623" t="s">
        <v>1006</v>
      </c>
      <c r="F57" s="1558"/>
      <c r="G57" s="2068"/>
      <c r="H57" s="2073"/>
      <c r="I57" s="2083"/>
      <c r="J57" s="2107">
        <f>IF(AND(J55="",J56=""),4,IF(项目基本情况!K6="上海银行",'结果表--仓储'!J56+1,'结果表--仓储'!J55+1))</f>
        <v>5</v>
      </c>
      <c r="K57" s="2107" t="s">
        <v>1035</v>
      </c>
      <c r="L57" s="2120" t="s">
        <v>1036</v>
      </c>
      <c r="M57" s="2121"/>
      <c r="N57" s="2122">
        <f ca="1">SUMIF(M52:M56,"&lt;9e307")</f>
        <v>418</v>
      </c>
      <c r="O57" s="2123"/>
      <c r="P57" s="2124" t="e">
        <f ca="1">N57/M49</f>
        <v>#VALUE!</v>
      </c>
    </row>
    <row r="58" ht="24.75" spans="1:15">
      <c r="A58" s="2066" t="s">
        <v>1018</v>
      </c>
      <c r="B58" s="1592" t="s">
        <v>1037</v>
      </c>
      <c r="C58" s="1593"/>
      <c r="D58" s="1718">
        <f ca="1">IF(H58="转让取得",C81,C97)</f>
        <v>411</v>
      </c>
      <c r="E58" s="1617" t="s">
        <v>1032</v>
      </c>
      <c r="F58" s="1558" t="s">
        <v>124</v>
      </c>
      <c r="G58" s="2068"/>
      <c r="H58" s="2072"/>
      <c r="I58" s="2083"/>
      <c r="J58" s="2107"/>
      <c r="K58" s="2107"/>
      <c r="L58" s="2120" t="s">
        <v>1038</v>
      </c>
      <c r="M58" s="2125"/>
      <c r="N58" s="2126" t="str">
        <f ca="1">NUMBERSTRING(INT(N57*10000),2)&amp;"元整"</f>
        <v>肆佰壹拾捌万元整</v>
      </c>
      <c r="O58" s="2127"/>
    </row>
    <row r="59" ht="24.75" spans="1:15">
      <c r="A59" s="2074" t="s">
        <v>1039</v>
      </c>
      <c r="B59" s="2075"/>
      <c r="C59" s="2075"/>
      <c r="D59" s="2076">
        <f ca="1">IF(H59="非个人房产","——",IF(H59="个人住宅（满五唯一有凭证）",0,IF(H59="个人其他（无凭证）",ROUND(D45*F59,0),ROUND(C67*F59,0))))</f>
        <v>7</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1033</v>
      </c>
      <c r="H59" s="2080"/>
      <c r="I59" s="2128" t="s">
        <v>1040</v>
      </c>
      <c r="J59" s="505">
        <f>J57+1</f>
        <v>6</v>
      </c>
      <c r="K59" s="2107" t="s">
        <v>1041</v>
      </c>
      <c r="L59" s="2107" t="s">
        <v>1036</v>
      </c>
      <c r="M59" s="2129"/>
      <c r="N59" s="2130" t="e">
        <f ca="1">M49-N57</f>
        <v>#VALUE!</v>
      </c>
      <c r="O59" s="2131"/>
    </row>
    <row r="60" ht="12" customHeight="1" spans="1:15">
      <c r="A60" s="2081"/>
      <c r="B60" s="1927"/>
      <c r="C60" s="1927"/>
      <c r="D60" s="1927"/>
      <c r="E60" s="2082"/>
      <c r="F60" s="2083"/>
      <c r="G60" s="2083"/>
      <c r="H60" s="2084"/>
      <c r="I60" s="1949"/>
      <c r="J60" s="510"/>
      <c r="K60" s="2107"/>
      <c r="L60" s="2120" t="s">
        <v>1038</v>
      </c>
      <c r="M60" s="2125"/>
      <c r="N60" s="2126" t="e">
        <f ca="1">NUMBERSTRING(INT(N59*10000),2)&amp;"元整"</f>
        <v>#VALUE!</v>
      </c>
      <c r="O60" s="2127"/>
    </row>
    <row r="61" ht="14.25" spans="1:15">
      <c r="A61" s="2085" t="s">
        <v>1042</v>
      </c>
      <c r="B61" s="2085"/>
      <c r="C61" s="2085"/>
      <c r="D61" s="2085"/>
      <c r="E61" s="2085"/>
      <c r="F61" s="2083"/>
      <c r="G61" s="2083"/>
      <c r="H61" s="2084"/>
      <c r="I61" s="1949"/>
      <c r="J61" s="2107">
        <f>J59+1</f>
        <v>7</v>
      </c>
      <c r="K61" s="2107" t="s">
        <v>1043</v>
      </c>
      <c r="L61" s="2107"/>
      <c r="M61" s="2132"/>
      <c r="N61" s="2133" t="e">
        <f ca="1">ROUND(N59*10000/'数据-汇总表'!E3,0)</f>
        <v>#VALUE!</v>
      </c>
      <c r="O61" s="2134"/>
    </row>
    <row r="62" ht="13.5" spans="1:9">
      <c r="A62" s="2086" t="s">
        <v>1044</v>
      </c>
      <c r="B62" s="482"/>
      <c r="C62" s="482"/>
      <c r="D62" s="482" t="s">
        <v>1045</v>
      </c>
      <c r="E62" s="2087" t="s">
        <v>999</v>
      </c>
      <c r="F62" s="2083"/>
      <c r="G62" s="2083"/>
      <c r="H62" s="2084"/>
      <c r="I62" s="1949"/>
    </row>
    <row r="63" ht="13.5" spans="1:35">
      <c r="A63" s="2088" t="s">
        <v>1046</v>
      </c>
      <c r="B63" s="2089" t="s">
        <v>1047</v>
      </c>
      <c r="C63" s="2090">
        <f ca="1">ROUND((C64+C65)/(1+'数据-取费表'!C42),0)</f>
        <v>692</v>
      </c>
      <c r="D63" s="2089"/>
      <c r="E63" s="2091"/>
      <c r="F63" s="2083"/>
      <c r="G63" s="2083"/>
      <c r="H63" s="2084"/>
      <c r="I63" s="1949"/>
      <c r="J63" s="2135" t="s">
        <v>1048</v>
      </c>
      <c r="K63" s="2135" t="s">
        <v>1049</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1050</v>
      </c>
      <c r="B64" s="465" t="s">
        <v>1051</v>
      </c>
      <c r="C64" s="2093">
        <f ca="1">D45</f>
        <v>727</v>
      </c>
      <c r="D64" s="465" t="s">
        <v>124</v>
      </c>
      <c r="E64" s="2094"/>
      <c r="F64" s="2083"/>
      <c r="G64" s="2083"/>
      <c r="H64" s="2084"/>
      <c r="I64" s="1949"/>
      <c r="J64" s="2135"/>
      <c r="K64" s="2135" t="s">
        <v>1052</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1053</v>
      </c>
      <c r="Z64" s="1924"/>
      <c r="AI64" s="1925"/>
    </row>
    <row r="65" ht="14.25" customHeight="1" spans="1:35">
      <c r="A65" s="2092" t="s">
        <v>1054</v>
      </c>
      <c r="B65" s="465" t="s">
        <v>1055</v>
      </c>
      <c r="C65" s="2138"/>
      <c r="D65" s="465"/>
      <c r="E65" s="2094"/>
      <c r="F65" s="2083"/>
      <c r="G65" s="2083"/>
      <c r="H65" s="2084"/>
      <c r="I65" s="1949"/>
      <c r="J65" s="2135"/>
      <c r="K65" s="2135" t="s">
        <v>1056</v>
      </c>
      <c r="L65" s="2135" t="e">
        <f ca="1">IF(M49&gt;1000,M49*0.1%,IF(AND(M49&gt;500,M49&lt;=1000),M49*0.5%,IF(AND(M49&gt;50,M49&lt;=500),M49*1%,IF(AND(M49&gt;1,M49&lt;=50),M49*1.5%))))</f>
        <v>#VALUE!</v>
      </c>
      <c r="M65" s="1558" t="e">
        <f ca="1" t="shared" si="4"/>
        <v>#VALUE!</v>
      </c>
      <c r="N65" s="1733" t="s">
        <v>1053</v>
      </c>
      <c r="Z65" s="1924"/>
      <c r="AI65" s="1925"/>
    </row>
    <row r="66" ht="14.25" customHeight="1" spans="1:35">
      <c r="A66" s="2088" t="s">
        <v>1057</v>
      </c>
      <c r="B66" s="2139" t="s">
        <v>1058</v>
      </c>
      <c r="C66" s="2140"/>
      <c r="D66" s="2139" t="s">
        <v>124</v>
      </c>
      <c r="E66" s="2141" t="s">
        <v>1059</v>
      </c>
      <c r="F66" s="2083"/>
      <c r="G66" s="2083"/>
      <c r="H66" s="2084"/>
      <c r="I66" s="1949"/>
      <c r="J66" s="2135"/>
      <c r="K66" s="2135" t="s">
        <v>1060</v>
      </c>
      <c r="L66" s="2135" t="e">
        <f ca="1">M49*0.5%</f>
        <v>#VALUE!</v>
      </c>
      <c r="M66" s="1558" t="e">
        <f ca="1">IF(L66&gt;0.5,0.5,ROUND(L66,0))</f>
        <v>#VALUE!</v>
      </c>
      <c r="N66" s="1733" t="s">
        <v>1061</v>
      </c>
      <c r="Z66" s="1924"/>
      <c r="AI66" s="1925"/>
    </row>
    <row r="67" ht="14.25" customHeight="1" spans="1:35">
      <c r="A67" s="2088" t="s">
        <v>1062</v>
      </c>
      <c r="B67" s="2139" t="s">
        <v>1063</v>
      </c>
      <c r="C67" s="2142">
        <f ca="1">C63-C66</f>
        <v>692</v>
      </c>
      <c r="D67" s="465" t="s">
        <v>124</v>
      </c>
      <c r="E67" s="2094"/>
      <c r="F67" s="2083"/>
      <c r="G67" s="2083"/>
      <c r="H67" s="2084"/>
      <c r="I67" s="1949"/>
      <c r="J67" s="2135"/>
      <c r="K67" s="2135" t="s">
        <v>1064</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1065</v>
      </c>
      <c r="B68" s="2144" t="s">
        <v>1066</v>
      </c>
      <c r="C68" s="2145">
        <f ca="1">IF(C67&lt;=0,0,ROUND(C67*D68,0))</f>
        <v>39</v>
      </c>
      <c r="D68" s="2146">
        <f>'数据-取费表'!B41</f>
        <v>0.056</v>
      </c>
      <c r="E68" s="2147"/>
      <c r="F68" s="2083"/>
      <c r="G68" s="2083"/>
      <c r="H68" s="2084"/>
      <c r="I68" s="1949"/>
      <c r="J68" s="2135"/>
      <c r="K68" s="2135" t="s">
        <v>1067</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1068</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1069</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1044</v>
      </c>
      <c r="B71" s="482"/>
      <c r="C71" s="482"/>
      <c r="D71" s="482" t="s">
        <v>1045</v>
      </c>
      <c r="E71" s="2154" t="s">
        <v>999</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1046</v>
      </c>
      <c r="B72" s="2139" t="s">
        <v>1070</v>
      </c>
      <c r="C72" s="2142">
        <f ca="1">ROUND(D45/(1+'数据-取费表'!C42),0)</f>
        <v>692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1057</v>
      </c>
      <c r="B73" s="2049" t="s">
        <v>1071</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1050</v>
      </c>
      <c r="B74" s="465" t="s">
        <v>1072</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1073</v>
      </c>
      <c r="B75" s="465" t="s">
        <v>1074</v>
      </c>
      <c r="C75" s="2158"/>
      <c r="D75" s="465" t="s">
        <v>124</v>
      </c>
      <c r="E75" s="2159" t="s">
        <v>1075</v>
      </c>
      <c r="F75" s="2160"/>
      <c r="G75" s="2159" t="s">
        <v>1076</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1077</v>
      </c>
      <c r="B76" s="2162" t="s">
        <v>1078</v>
      </c>
      <c r="C76" s="465">
        <f>IF(F75="购房发票",ROUND(C75*H75*D76,0),0)</f>
        <v>0</v>
      </c>
      <c r="D76" s="2163">
        <v>0.05</v>
      </c>
      <c r="E76" s="1592" t="s">
        <v>1079</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1080</v>
      </c>
      <c r="B77" s="465" t="s">
        <v>1081</v>
      </c>
      <c r="C77" s="465">
        <f>ROUND(IF(G77="个人住宅",0,IF(G77="2016年5月1日前购买",C75*D77,C75*D77/(1+'数据-取费表'!C42))),0)</f>
        <v>0</v>
      </c>
      <c r="D77" s="2165">
        <f>'数据-取费表'!B48+'数据-取费表'!B49</f>
        <v>0.0305</v>
      </c>
      <c r="E77" s="1718" t="s">
        <v>1082</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1054</v>
      </c>
      <c r="B78" s="465" t="s">
        <v>1083</v>
      </c>
      <c r="C78" s="2168">
        <f ca="1">ROUND(D45*D78/(1+'数据-取费表'!C42),0)</f>
        <v>4</v>
      </c>
      <c r="D78" s="2169">
        <f>'数据-取费表'!B43</f>
        <v>0.006</v>
      </c>
      <c r="E78" s="2170" t="s">
        <v>1084</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1062</v>
      </c>
      <c r="B79" s="2139" t="s">
        <v>1085</v>
      </c>
      <c r="C79" s="2142">
        <f ca="1">C72-C73</f>
        <v>688</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1065</v>
      </c>
      <c r="B80" s="2139" t="s">
        <v>1086</v>
      </c>
      <c r="C80" s="2173">
        <f ca="1">IF(C79&lt;=0,0,C79/C73)</f>
        <v>172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1087</v>
      </c>
      <c r="B81" s="2144" t="s">
        <v>1088</v>
      </c>
      <c r="C81" s="2174">
        <f ca="1">ROUND(IF(C79&lt;=0,0,IF(C80&gt;=200%,C79*60%-C73*35%,IF(C80&gt;=100%,C79*50%-C73*15%,IF(C80&gt;=50%,C79*40%-C73*5%,IF(C80&lt;50%,C79*30%,0))))),0)</f>
        <v>411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1089</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1044</v>
      </c>
      <c r="B84" s="482"/>
      <c r="C84" s="482"/>
      <c r="D84" s="482" t="s">
        <v>1045</v>
      </c>
      <c r="E84" s="2154" t="s">
        <v>999</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1046</v>
      </c>
      <c r="B85" s="2139" t="s">
        <v>1070</v>
      </c>
      <c r="C85" s="2142">
        <f ca="1">ROUND(D45/(1+'数据-取费表'!C42),0)</f>
        <v>692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1057</v>
      </c>
      <c r="B86" s="2049" t="s">
        <v>1071</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1050</v>
      </c>
      <c r="B87" s="465" t="s">
        <v>1090</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1073</v>
      </c>
      <c r="B88" s="465" t="s">
        <v>1091</v>
      </c>
      <c r="C88" s="2185"/>
      <c r="D88" s="2169"/>
      <c r="E88" s="2186" t="s">
        <v>1092</v>
      </c>
      <c r="F88" s="2171"/>
      <c r="G88" s="2187" t="s">
        <v>1093</v>
      </c>
      <c r="H88" s="2188"/>
      <c r="I88" s="718"/>
      <c r="J88" s="2258" t="s">
        <v>1094</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1077</v>
      </c>
      <c r="B89" s="465" t="s">
        <v>1081</v>
      </c>
      <c r="C89" s="2168">
        <f>ROUND(C88*D89,0)</f>
        <v>0</v>
      </c>
      <c r="D89" s="2169">
        <f>'数据-取费表'!B48+'数据-取费表'!B49</f>
        <v>0.0305</v>
      </c>
      <c r="E89" s="2186" t="s">
        <v>1095</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1054</v>
      </c>
      <c r="B90" s="465" t="s">
        <v>1096</v>
      </c>
      <c r="C90" s="2185"/>
      <c r="D90" s="2169"/>
      <c r="E90" s="2186" t="str">
        <f>IF(H88="-","土地取得成本中已包含该笔费用"," ")</f>
        <v> </v>
      </c>
      <c r="F90" s="2171"/>
      <c r="G90" s="2189" t="s">
        <v>1097</v>
      </c>
      <c r="H90" s="2190"/>
      <c r="I90" s="718"/>
      <c r="J90" s="2258" t="s">
        <v>1098</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1099</v>
      </c>
      <c r="B91" s="465" t="s">
        <v>1100</v>
      </c>
      <c r="C91" s="2168">
        <f ca="1">IF(H91="——",成本法!C33,I91)</f>
        <v>0</v>
      </c>
      <c r="D91" s="2169"/>
      <c r="E91" s="2170" t="s">
        <v>1101</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1102</v>
      </c>
      <c r="B92" s="465" t="s">
        <v>1103</v>
      </c>
      <c r="C92" s="2168">
        <f ca="1">ROUND((C87+C90+C91)*D92,0)</f>
        <v>0</v>
      </c>
      <c r="D92" s="2192"/>
      <c r="E92" s="2170" t="s">
        <v>1104</v>
      </c>
      <c r="F92" s="2171"/>
      <c r="G92" s="2171"/>
      <c r="H92" s="2172"/>
      <c r="I92" s="718"/>
      <c r="J92" s="2260" t="s">
        <v>1105</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1106</v>
      </c>
      <c r="B93" s="465" t="s">
        <v>1083</v>
      </c>
      <c r="C93" s="2168">
        <f ca="1">ROUND(D45*D93/(1+'数据-取费表'!C42),0)</f>
        <v>4</v>
      </c>
      <c r="D93" s="2169">
        <f>'数据-取费表'!B43</f>
        <v>0.006</v>
      </c>
      <c r="E93" s="2170" t="s">
        <v>1084</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1107</v>
      </c>
      <c r="B94" s="465" t="s">
        <v>1108</v>
      </c>
      <c r="C94" s="2185">
        <f ca="1">ROUND((C87+C90+C91)*D94,0)</f>
        <v>0</v>
      </c>
      <c r="D94" s="2169">
        <v>0.2</v>
      </c>
      <c r="E94" s="2193" t="s">
        <v>1109</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1062</v>
      </c>
      <c r="B95" s="2139" t="s">
        <v>1085</v>
      </c>
      <c r="C95" s="2142">
        <f ca="1">ROUND(C85-C86,0)</f>
        <v>688</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1065</v>
      </c>
      <c r="B96" s="2139" t="s">
        <v>1086</v>
      </c>
      <c r="C96" s="2173">
        <f ca="1">IF(C95&lt;=0,0,C95/C86)</f>
        <v>172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1087</v>
      </c>
      <c r="B97" s="2144" t="s">
        <v>1088</v>
      </c>
      <c r="C97" s="2174">
        <f ca="1">ROUND(IF(C95&lt;=0,0,IF(C96&gt;=200%,C95*60%-C86*35%,IF(C96&gt;=100%,C95*50%-C86*15%,IF(C96&gt;=50%,C95*40%-C86*5%,IF(C96&lt;50%,C95*30%,0))))),0)</f>
        <v>411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1110</v>
      </c>
      <c r="B99" s="1927"/>
      <c r="C99" s="1927"/>
      <c r="D99" s="1927"/>
      <c r="E99" s="2082"/>
      <c r="F99" s="2082"/>
      <c r="G99" s="2082"/>
      <c r="H99" s="2030"/>
      <c r="I99" s="1949"/>
    </row>
    <row r="100" ht="18.75" customHeight="1" spans="1:9">
      <c r="A100" s="2197" t="s">
        <v>1111</v>
      </c>
      <c r="B100" s="2198"/>
      <c r="C100" s="2198"/>
      <c r="D100" s="2199"/>
      <c r="E100" s="2198" t="s">
        <v>1112</v>
      </c>
      <c r="F100" s="2198"/>
      <c r="G100" s="2198"/>
      <c r="H100" s="2199"/>
      <c r="I100" s="1949"/>
    </row>
    <row r="101" ht="18.75" customHeight="1" spans="1:9">
      <c r="A101" s="2200" t="s">
        <v>1113</v>
      </c>
      <c r="B101" s="2201"/>
      <c r="C101" s="2202" t="str">
        <f>C4</f>
        <v>比较法-仓储</v>
      </c>
      <c r="D101" s="2203" t="str">
        <f>D4</f>
        <v>成本法--仓储</v>
      </c>
      <c r="E101" s="2204" t="s">
        <v>1114</v>
      </c>
      <c r="F101" s="2205"/>
      <c r="G101" s="2206" t="s">
        <v>1115</v>
      </c>
      <c r="H101" s="2207">
        <f ca="1">H118</f>
        <v>727</v>
      </c>
      <c r="I101" s="1949"/>
    </row>
    <row r="102" ht="18.75" customHeight="1" spans="1:9">
      <c r="A102" s="2208" t="s">
        <v>1116</v>
      </c>
      <c r="B102" s="2209" t="s">
        <v>1115</v>
      </c>
      <c r="C102" s="2202">
        <f ca="1">C19</f>
        <v>563</v>
      </c>
      <c r="D102" s="2203">
        <f ca="1">D19</f>
        <v>836</v>
      </c>
      <c r="E102" s="2204"/>
      <c r="F102" s="2205"/>
      <c r="G102" s="2206" t="s">
        <v>99</v>
      </c>
      <c r="H102" s="2068">
        <f ca="1">I118</f>
        <v>6375</v>
      </c>
      <c r="I102" s="1949"/>
    </row>
    <row r="103" ht="42.75" customHeight="1" spans="1:9">
      <c r="A103" s="2208"/>
      <c r="B103" s="2209" t="s">
        <v>99</v>
      </c>
      <c r="C103" s="2210">
        <f ca="1">C20</f>
        <v>4940</v>
      </c>
      <c r="D103" s="2211">
        <f ca="1">D20</f>
        <v>7332</v>
      </c>
      <c r="E103" s="2212" t="s">
        <v>1117</v>
      </c>
      <c r="F103" s="2213"/>
      <c r="G103" s="2214" t="s">
        <v>102</v>
      </c>
      <c r="H103" s="2207">
        <f>IF(D36="正常操作",H104+H105+H106,H105+H106)</f>
        <v>0</v>
      </c>
      <c r="I103" s="1949"/>
    </row>
    <row r="104" ht="18.75" customHeight="1" spans="1:9">
      <c r="A104" s="2208" t="s">
        <v>1118</v>
      </c>
      <c r="B104" s="2215" t="s">
        <v>1115</v>
      </c>
      <c r="C104" s="2216">
        <f ca="1">H118</f>
        <v>727</v>
      </c>
      <c r="D104" s="2217"/>
      <c r="E104" s="2013" t="s">
        <v>1119</v>
      </c>
      <c r="F104" s="2218"/>
      <c r="G104" s="2214" t="s">
        <v>102</v>
      </c>
      <c r="H104" s="2219">
        <f>IF(D36="同一抵押权人同一抵押物续贷",C36&amp;"（续贷，未扣减，详见特别提示）",C36)</f>
        <v>0</v>
      </c>
      <c r="I104" s="1949"/>
    </row>
    <row r="105" ht="18.75" customHeight="1" spans="1:9">
      <c r="A105" s="2220"/>
      <c r="B105" s="2221" t="s">
        <v>99</v>
      </c>
      <c r="C105" s="2222">
        <f ca="1">I118</f>
        <v>6375</v>
      </c>
      <c r="D105" s="2223"/>
      <c r="E105" s="2013" t="s">
        <v>1120</v>
      </c>
      <c r="F105" s="2218"/>
      <c r="G105" s="2214" t="s">
        <v>102</v>
      </c>
      <c r="H105" s="2224">
        <f>C37</f>
        <v>0</v>
      </c>
      <c r="I105" s="1949"/>
    </row>
    <row r="106" ht="18.75" customHeight="1" spans="1:9">
      <c r="A106" s="1927" t="s">
        <v>1121</v>
      </c>
      <c r="B106" s="1927"/>
      <c r="C106" s="1927"/>
      <c r="D106" s="1927"/>
      <c r="E106" s="2225" t="s">
        <v>1122</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1115</v>
      </c>
      <c r="H107" s="2207">
        <f ca="1">IF(E107="——","——",H101-H103)</f>
        <v>727</v>
      </c>
      <c r="I107" s="1949"/>
    </row>
    <row r="108" ht="18.75" customHeight="1" spans="1:9">
      <c r="A108" s="1949"/>
      <c r="B108" s="1949"/>
      <c r="C108" s="1949"/>
      <c r="D108" s="1949"/>
      <c r="E108" s="2226"/>
      <c r="F108" s="2205"/>
      <c r="G108" s="2206" t="s">
        <v>99</v>
      </c>
      <c r="H108" s="2068">
        <f ca="1">ROUND(H107*10000/'数据-汇总表'!E3,0)</f>
        <v>216</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1115</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1115</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1121</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1123</v>
      </c>
      <c r="B115" s="2236"/>
      <c r="C115" s="2236"/>
      <c r="D115" s="2236"/>
      <c r="E115" s="2236"/>
      <c r="F115" s="2236"/>
      <c r="G115" s="2236"/>
      <c r="H115" s="2236"/>
      <c r="I115" s="2261"/>
    </row>
    <row r="116" ht="27" customHeight="1" spans="1:9">
      <c r="A116" s="1940" t="s">
        <v>1124</v>
      </c>
      <c r="B116" s="2237" t="s">
        <v>1125</v>
      </c>
      <c r="C116" s="2237" t="s">
        <v>1126</v>
      </c>
      <c r="D116" s="2238" t="s">
        <v>1127</v>
      </c>
      <c r="E116" s="2239"/>
      <c r="F116" s="2240" t="s">
        <v>1128</v>
      </c>
      <c r="G116" s="2240"/>
      <c r="H116" s="1940" t="s">
        <v>1129</v>
      </c>
      <c r="I116" s="1940"/>
    </row>
    <row r="117" ht="18.75" customHeight="1" spans="1:9">
      <c r="A117" s="1940"/>
      <c r="B117" s="2241"/>
      <c r="C117" s="2241"/>
      <c r="D117" s="1940" t="s">
        <v>1130</v>
      </c>
      <c r="E117" s="1940" t="s">
        <v>958</v>
      </c>
      <c r="F117" s="1940" t="s">
        <v>1130</v>
      </c>
      <c r="G117" s="1940" t="s">
        <v>958</v>
      </c>
      <c r="H117" s="1940" t="s">
        <v>1130</v>
      </c>
      <c r="I117" s="1940" t="s">
        <v>958</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727</v>
      </c>
      <c r="I118" s="1940">
        <f ca="1">ROUND(IF(D32="楼面单价",C32,H118*10000/B118),0)</f>
        <v>6375</v>
      </c>
    </row>
    <row r="119" ht="18.75" customHeight="1" spans="1:9">
      <c r="A119" s="1940" t="s">
        <v>1131</v>
      </c>
      <c r="B119" s="1940"/>
      <c r="C119" s="1940"/>
      <c r="D119" s="2243" t="e">
        <f ca="1" t="shared" ref="D119:H119" si="5">NUMBERSTRING(INT(D118*10000),2)&amp;"元整"</f>
        <v>#REF!</v>
      </c>
      <c r="E119" s="2244"/>
      <c r="F119" s="2243" t="e">
        <f ca="1" t="shared" si="5"/>
        <v>#REF!</v>
      </c>
      <c r="G119" s="2244"/>
      <c r="H119" s="2243" t="str">
        <f ca="1" t="shared" si="5"/>
        <v>柒佰贰拾柒万元整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1131</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727</v>
      </c>
      <c r="E122" s="2246"/>
      <c r="F122" s="2246"/>
      <c r="G122" s="2246"/>
      <c r="H122" s="2246"/>
      <c r="I122" s="2247"/>
      <c r="AA122" s="1923"/>
    </row>
    <row r="123" ht="18.75" customHeight="1" spans="1:27">
      <c r="A123" s="1940" t="s">
        <v>1131</v>
      </c>
      <c r="B123" s="1940"/>
      <c r="C123" s="1940"/>
      <c r="D123" s="2243" t="str">
        <f ca="1" t="shared" ref="D123:D127" si="7">NUMBERSTRING(INT(D122*10000),2)&amp;"元整"</f>
        <v>柒佰贰拾柒万元整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1131</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1131</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1132</v>
      </c>
      <c r="B129" s="2264"/>
      <c r="C129" s="2265" t="s">
        <v>1133</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1134</v>
      </c>
      <c r="G135" s="2277"/>
      <c r="H135" s="2277"/>
      <c r="I135" s="2285" t="s">
        <v>1135</v>
      </c>
    </row>
    <row r="136" customHeight="1" spans="1:9">
      <c r="A136" s="1923"/>
      <c r="B136" s="2278" t="s">
        <v>1136</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1137</v>
      </c>
    </row>
    <row r="139" customHeight="1" spans="1:9">
      <c r="A139" s="1923"/>
      <c r="B139" s="2278" t="s">
        <v>1138</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1137</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2.75"/>
  <cols>
    <col min="1" max="1" width="9.775" style="1831" customWidth="1"/>
    <col min="2" max="2" width="25.775" style="1832" customWidth="1"/>
    <col min="3" max="3" width="10.3333333333333" style="1833" customWidth="1"/>
    <col min="4" max="4" width="9.88333333333333" style="1832" customWidth="1"/>
    <col min="5" max="5" width="9.44166666666667" style="1831" customWidth="1"/>
    <col min="6" max="6" width="10.1083333333333" style="1832" customWidth="1"/>
    <col min="7" max="7" width="10.775" style="1832" customWidth="1"/>
    <col min="8" max="8" width="10" style="1832" customWidth="1"/>
    <col min="9" max="11" width="9.44166666666667" style="1832" customWidth="1"/>
    <col min="12" max="12" width="9" style="1832" customWidth="1"/>
    <col min="13" max="13" width="10.4416666666667" style="1832" customWidth="1"/>
    <col min="14" max="254" width="9" style="1832" customWidth="1"/>
    <col min="255" max="16384" width="6.66666666666667" style="1832"/>
  </cols>
  <sheetData>
    <row r="1" ht="20.25" spans="1:11">
      <c r="A1" s="149" t="s">
        <v>1740</v>
      </c>
      <c r="B1" s="1640"/>
      <c r="C1" s="1834"/>
      <c r="D1" s="1835"/>
      <c r="E1" s="1836"/>
      <c r="F1" s="1836"/>
      <c r="G1" s="1837"/>
      <c r="H1" s="1836"/>
      <c r="I1" s="1836"/>
      <c r="J1" s="1836"/>
      <c r="K1" s="1906">
        <f>MATCH(C1,'数据-取费表'!A6:A16,0)+5</f>
        <v>9</v>
      </c>
    </row>
    <row r="2" ht="18" customHeight="1" spans="1:11">
      <c r="A2" s="153" t="s">
        <v>1144</v>
      </c>
      <c r="B2" s="157">
        <f ca="1">C32</f>
        <v>-25</v>
      </c>
      <c r="C2" s="1838" t="s">
        <v>1741</v>
      </c>
      <c r="D2" s="1838"/>
      <c r="E2" s="1836"/>
      <c r="F2" s="1836"/>
      <c r="G2" s="1836"/>
      <c r="H2" s="1836"/>
      <c r="I2" s="1836"/>
      <c r="J2" s="1836"/>
      <c r="K2" s="1836"/>
    </row>
    <row r="3" ht="18" customHeight="1" spans="1:11">
      <c r="A3" s="156" t="s">
        <v>1146</v>
      </c>
      <c r="B3" s="157">
        <f ca="1">ROUND(B2*10000/IF(C1="",'数据-汇总表'!E3,INDIRECT("'数据-取费表'!K"&amp;$K$1)),0)</f>
        <v>-7</v>
      </c>
      <c r="C3" s="1838" t="s">
        <v>1742</v>
      </c>
      <c r="D3" s="1838"/>
      <c r="E3" s="1836"/>
      <c r="F3" s="1836"/>
      <c r="G3" s="1836"/>
      <c r="H3" s="1836"/>
      <c r="I3" s="1836"/>
      <c r="J3" s="1836"/>
      <c r="K3" s="1836"/>
    </row>
    <row r="4" s="1822" customFormat="1" ht="16.5" customHeight="1" spans="1:11">
      <c r="A4" s="1839" t="s">
        <v>1743</v>
      </c>
      <c r="B4" s="1840"/>
      <c r="C4" s="1841">
        <f>SUM(C8:K8)</f>
        <v>0</v>
      </c>
      <c r="D4" s="1840"/>
      <c r="E4" s="1840"/>
      <c r="F4" s="1840"/>
      <c r="G4" s="1840"/>
      <c r="H4" s="1840"/>
      <c r="I4" s="1840"/>
      <c r="J4" s="1840"/>
      <c r="K4" s="1907"/>
    </row>
    <row r="5" s="1823" customFormat="1" ht="24.75" spans="1:33">
      <c r="A5" s="1842" t="s">
        <v>1744</v>
      </c>
      <c r="B5" s="1843" t="s">
        <v>1745</v>
      </c>
      <c r="C5" s="1844" t="s">
        <v>1746</v>
      </c>
      <c r="D5" s="1844" t="s">
        <v>1747</v>
      </c>
      <c r="E5" s="1844" t="s">
        <v>1748</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1050</v>
      </c>
      <c r="B6" s="1602" t="s">
        <v>1749</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1054</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1099</v>
      </c>
      <c r="B8" s="1849" t="s">
        <v>1750</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1751</v>
      </c>
      <c r="B9" s="1840"/>
      <c r="C9" s="1840"/>
      <c r="D9" s="1840"/>
      <c r="E9" s="1840"/>
      <c r="F9" s="1840"/>
      <c r="G9" s="1840"/>
      <c r="H9" s="1840"/>
      <c r="I9" s="1840"/>
      <c r="J9" s="1840"/>
      <c r="K9" s="1907"/>
    </row>
    <row r="10" s="1825" customFormat="1" ht="13.5" customHeight="1" spans="1:11">
      <c r="A10" s="1842" t="s">
        <v>1744</v>
      </c>
      <c r="B10" s="1852" t="s">
        <v>1745</v>
      </c>
      <c r="C10" s="1853" t="s">
        <v>1752</v>
      </c>
      <c r="D10" s="1854" t="s">
        <v>1753</v>
      </c>
      <c r="E10" s="1854" t="s">
        <v>1754</v>
      </c>
      <c r="F10" s="1854" t="s">
        <v>1755</v>
      </c>
      <c r="G10" s="1852"/>
      <c r="H10" s="1855"/>
      <c r="I10" s="1855"/>
      <c r="J10" s="1855"/>
      <c r="K10" s="1913"/>
    </row>
    <row r="11" s="1826" customFormat="1" ht="13.5" customHeight="1" spans="1:11">
      <c r="A11" s="1856" t="s">
        <v>1340</v>
      </c>
      <c r="B11" s="1857" t="s">
        <v>1756</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1344</v>
      </c>
      <c r="B12" s="1857" t="s">
        <v>1757</v>
      </c>
      <c r="C12" s="1595">
        <f ca="1">ROUND(C11*F12,0)</f>
        <v>0</v>
      </c>
      <c r="D12" s="1859"/>
      <c r="E12" s="1606"/>
      <c r="F12" s="1861">
        <f>'数据-取费表'!B33</f>
        <v>0.03</v>
      </c>
      <c r="G12" s="1852" t="s">
        <v>1758</v>
      </c>
      <c r="H12" s="1855"/>
      <c r="I12" s="1855"/>
      <c r="J12" s="1855"/>
      <c r="K12" s="1913"/>
    </row>
    <row r="13" s="1826" customFormat="1" ht="13.5" customHeight="1" spans="1:11">
      <c r="A13" s="1856" t="s">
        <v>1759</v>
      </c>
      <c r="B13" s="1857" t="s">
        <v>1760</v>
      </c>
      <c r="C13" s="1595">
        <f ca="1">ROUND(IF(C1="",SUMIF('数据-取费表'!C:C,"住宅",'数据-取费表'!P:P)*F13,IF(INDIRECT("'数据-取费表'!c"&amp;$K$1)="住宅",INDIRECT("'数据-取费表'!P"&amp;$K$1)*F13,0)),0)</f>
        <v>0</v>
      </c>
      <c r="D13" s="1862"/>
      <c r="E13" s="1606"/>
      <c r="F13" s="1861">
        <f>'数据-取费表'!B34</f>
        <v>0</v>
      </c>
      <c r="G13" s="1852" t="s">
        <v>1761</v>
      </c>
      <c r="H13" s="1855"/>
      <c r="I13" s="1855"/>
      <c r="J13" s="1855"/>
      <c r="K13" s="1913"/>
    </row>
    <row r="14" s="1827" customFormat="1" ht="13.5" customHeight="1" spans="1:33">
      <c r="A14" s="1856" t="s">
        <v>1762</v>
      </c>
      <c r="B14" s="1857" t="s">
        <v>1763</v>
      </c>
      <c r="C14" s="1595">
        <f ca="1">ROUND(D14*E14*F11/10000,0)</f>
        <v>0</v>
      </c>
      <c r="D14" s="1862">
        <f ca="1">IF(C1="",'数据-汇总表'!E3,INDIRECT("'数据-取费表'!K"&amp;$K$1)+INDIRECT("'数据-取费表'!S"&amp;$K$1))</f>
        <v>33735.37</v>
      </c>
      <c r="E14" s="1595">
        <f>'数据-取费表'!B35</f>
        <v>200</v>
      </c>
      <c r="F14" s="1861"/>
      <c r="G14" s="1852" t="s">
        <v>1764</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1765</v>
      </c>
      <c r="B15" s="1857" t="s">
        <v>1766</v>
      </c>
      <c r="C15" s="1863">
        <f ca="1">ROUND(C11*F15,0)</f>
        <v>0</v>
      </c>
      <c r="D15" s="1864"/>
      <c r="E15" s="1863"/>
      <c r="F15" s="1865">
        <f>'数据-取费表'!B36</f>
        <v>0.015</v>
      </c>
      <c r="G15" s="1602" t="s">
        <v>1767</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1073</v>
      </c>
      <c r="B16" s="1857" t="s">
        <v>1768</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1077</v>
      </c>
      <c r="B17" s="1857" t="s">
        <v>1769</v>
      </c>
      <c r="C17" s="1595">
        <f ca="1">ROUND(D17*E17/10000,0)</f>
        <v>0</v>
      </c>
      <c r="D17" s="1862">
        <f ca="1">D14</f>
        <v>33735.37</v>
      </c>
      <c r="E17" s="1595">
        <f>'数据-取费表'!B32</f>
        <v>0</v>
      </c>
      <c r="F17" s="1864"/>
      <c r="G17" s="1602" t="s">
        <v>1770</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1771</v>
      </c>
      <c r="B18" s="1857" t="s">
        <v>1772</v>
      </c>
      <c r="C18" s="1595">
        <f ca="1">C19+C20-IF(C1="",'数据-取费表'!B29,IF(G18="已全部缴纳",C19+C20,H18))</f>
        <v>23</v>
      </c>
      <c r="D18" s="1862"/>
      <c r="E18" s="1595"/>
      <c r="F18" s="1861"/>
      <c r="G18" s="1867"/>
      <c r="H18" s="1868"/>
      <c r="I18" s="1914" t="s">
        <v>1773</v>
      </c>
      <c r="J18" s="1719"/>
      <c r="K18" s="1720"/>
    </row>
    <row r="19" s="1826" customFormat="1" ht="13.5" customHeight="1" spans="1:11">
      <c r="A19" s="1856" t="s">
        <v>1340</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1344</v>
      </c>
      <c r="B20" s="1857" t="s">
        <v>1774</v>
      </c>
      <c r="C20" s="1595">
        <f ca="1">ROUND(D20*E20/10000,0)</f>
        <v>675</v>
      </c>
      <c r="D20" s="1862">
        <f ca="1">IF(C1="",'数据-汇总表'!E6,IF(INDIRECT("'数据-取费表'!c"&amp;$K$1)="住宅",INDIRECT("'数据-取费表'!s"&amp;$K$1),INDIRECT("'数据-取费表'!k"&amp;$K$1)+INDIRECT("'数据-取费表'!s"&amp;$K$1)))</f>
        <v>33735.37</v>
      </c>
      <c r="E20" s="1595">
        <f>'数据-取费表'!B28</f>
        <v>200</v>
      </c>
      <c r="F20" s="1861"/>
      <c r="G20" s="1718"/>
      <c r="H20" s="1870"/>
      <c r="I20" s="1870"/>
      <c r="J20" s="1870"/>
      <c r="K20" s="1915"/>
    </row>
    <row r="21" s="1826" customFormat="1" ht="13.5" customHeight="1" spans="1:11">
      <c r="A21" s="1845" t="s">
        <v>1050</v>
      </c>
      <c r="B21" s="1871" t="s">
        <v>1775</v>
      </c>
      <c r="C21" s="1872">
        <f ca="1">C16+C17+C18</f>
        <v>23</v>
      </c>
      <c r="D21" s="1873"/>
      <c r="E21" s="1874"/>
      <c r="F21" s="1874"/>
      <c r="G21" s="1602" t="s">
        <v>1776</v>
      </c>
      <c r="H21" s="1719"/>
      <c r="I21" s="1719"/>
      <c r="J21" s="1719"/>
      <c r="K21" s="1720"/>
    </row>
    <row r="22" s="1826" customFormat="1" ht="13.5" customHeight="1" spans="1:11">
      <c r="A22" s="1845" t="s">
        <v>1054</v>
      </c>
      <c r="B22" s="1871" t="s">
        <v>1777</v>
      </c>
      <c r="C22" s="1872">
        <f ca="1">ROUND(C21*F22,0)</f>
        <v>0</v>
      </c>
      <c r="D22" s="1874"/>
      <c r="E22" s="1874"/>
      <c r="F22" s="1875">
        <f>'数据-取费表'!B37</f>
        <v>0.01</v>
      </c>
      <c r="G22" s="1852" t="s">
        <v>1778</v>
      </c>
      <c r="H22" s="1855"/>
      <c r="I22" s="1855"/>
      <c r="J22" s="1855"/>
      <c r="K22" s="1913"/>
    </row>
    <row r="23" s="1826" customFormat="1" ht="13.5" customHeight="1" spans="1:11">
      <c r="A23" s="1845" t="s">
        <v>1099</v>
      </c>
      <c r="B23" s="1871" t="s">
        <v>1779</v>
      </c>
      <c r="C23" s="1872">
        <f ca="1">ROUND(C4*F23*F11,0)</f>
        <v>0</v>
      </c>
      <c r="D23" s="1874"/>
      <c r="E23" s="1874"/>
      <c r="F23" s="1875">
        <f>'数据-取费表'!B38</f>
        <v>0.01</v>
      </c>
      <c r="G23" s="1852" t="s">
        <v>1780</v>
      </c>
      <c r="H23" s="1855"/>
      <c r="I23" s="1855"/>
      <c r="J23" s="1855"/>
      <c r="K23" s="1913"/>
    </row>
    <row r="24" s="1826" customFormat="1" ht="13.5" customHeight="1" spans="1:11">
      <c r="A24" s="1845" t="s">
        <v>1102</v>
      </c>
      <c r="B24" s="1871" t="s">
        <v>1781</v>
      </c>
      <c r="C24" s="1876">
        <f>ROUND(F24/(1+'数据-取费表'!C42),4)</f>
        <v>0.029</v>
      </c>
      <c r="D24" s="1874" t="s">
        <v>1782</v>
      </c>
      <c r="E24" s="1874"/>
      <c r="F24" s="1875">
        <f>IF(项目基本情况!B8="出让",0,'数据-取费表'!B48+'数据-取费表'!B49)</f>
        <v>0.0305</v>
      </c>
      <c r="G24" s="1852" t="s">
        <v>1783</v>
      </c>
      <c r="H24" s="1877"/>
      <c r="I24" s="1877"/>
      <c r="J24" s="1877"/>
      <c r="K24" s="1916"/>
    </row>
    <row r="25" s="1826" customFormat="1" ht="13.5" customHeight="1" spans="1:11">
      <c r="A25" s="1845" t="s">
        <v>1106</v>
      </c>
      <c r="B25" s="1873" t="s">
        <v>1784</v>
      </c>
      <c r="C25" s="1878">
        <f ca="1">C27</f>
        <v>0</v>
      </c>
      <c r="D25" s="1876">
        <f ca="1">C26</f>
        <v>0</v>
      </c>
      <c r="E25" s="1879" t="s">
        <v>1782</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1073</v>
      </c>
      <c r="B26" s="1881" t="s">
        <v>1785</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1077</v>
      </c>
      <c r="B27" s="1881" t="s">
        <v>1786</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1107</v>
      </c>
      <c r="B28" s="1888" t="s">
        <v>1787</v>
      </c>
      <c r="C28" s="1889">
        <f ca="1">C30</f>
        <v>3</v>
      </c>
      <c r="D28" s="1876">
        <f ca="1">C29</f>
        <v>0</v>
      </c>
      <c r="E28" s="1879" t="s">
        <v>1782</v>
      </c>
      <c r="F28" s="1075">
        <f ca="1">IF(C1="",'数据-取费表'!Q16,INDIRECT("'数据-取费表'!q"&amp;$K$1))</f>
        <v>0.14</v>
      </c>
      <c r="G28" s="1890"/>
      <c r="H28" s="1877"/>
      <c r="I28" s="1877"/>
      <c r="J28" s="1877"/>
      <c r="K28" s="1916"/>
    </row>
    <row r="29" s="1830" customFormat="1" ht="13.5" customHeight="1" spans="1:11">
      <c r="A29" s="1856" t="s">
        <v>1073</v>
      </c>
      <c r="B29" s="1891" t="s">
        <v>1788</v>
      </c>
      <c r="C29" s="1883">
        <f ca="1">ROUND((1+C24)*F28*'数据-取费表'!B24/'数据-取费表'!B20,4)</f>
        <v>0</v>
      </c>
      <c r="D29" s="1883"/>
      <c r="E29" s="1884"/>
      <c r="F29" s="1892"/>
      <c r="G29" s="1602" t="s">
        <v>1789</v>
      </c>
      <c r="H29" s="1719"/>
      <c r="I29" s="1719"/>
      <c r="J29" s="1719"/>
      <c r="K29" s="1720"/>
    </row>
    <row r="30" s="1830" customFormat="1" ht="13.5" customHeight="1" spans="1:11">
      <c r="A30" s="1856" t="s">
        <v>1077</v>
      </c>
      <c r="B30" s="1891" t="s">
        <v>1790</v>
      </c>
      <c r="C30" s="1893">
        <f ca="1">ROUND((C21+C22+C23)*F28,0)</f>
        <v>3</v>
      </c>
      <c r="D30" s="1883"/>
      <c r="E30" s="1884"/>
      <c r="F30" s="1892"/>
      <c r="G30" s="1602"/>
      <c r="H30" s="1719"/>
      <c r="I30" s="1719"/>
      <c r="J30" s="1719"/>
      <c r="K30" s="1720"/>
    </row>
    <row r="31" s="1826" customFormat="1" ht="13.5" customHeight="1" spans="1:11">
      <c r="A31" s="1894" t="s">
        <v>1791</v>
      </c>
      <c r="B31" s="1895" t="s">
        <v>1792</v>
      </c>
      <c r="C31" s="1896">
        <f>ROUND(C4*F31/(1+'数据-取费表'!C42),0)</f>
        <v>0</v>
      </c>
      <c r="D31" s="1897"/>
      <c r="E31" s="1898"/>
      <c r="F31" s="1899">
        <f>'数据-取费表'!B41</f>
        <v>0.056</v>
      </c>
      <c r="G31" s="1900" t="s">
        <v>1793</v>
      </c>
      <c r="H31" s="1901"/>
      <c r="I31" s="1901"/>
      <c r="J31" s="1901"/>
      <c r="K31" s="1917"/>
    </row>
    <row r="32" s="1825" customFormat="1" ht="13.5" customHeight="1" spans="1:11">
      <c r="A32" s="1902" t="s">
        <v>1794</v>
      </c>
      <c r="B32" s="1903"/>
      <c r="C32" s="1904">
        <f ca="1">ROUND((C4-C21-C22-C23-C25-C28-C31)/(1+C24+D25+D28),0)</f>
        <v>-25</v>
      </c>
      <c r="D32" s="1903"/>
      <c r="E32" s="1903"/>
      <c r="F32" s="1903"/>
      <c r="G32" s="1905" t="s">
        <v>1795</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1624</v>
      </c>
      <c r="B1" s="1063"/>
      <c r="C1" s="1527"/>
      <c r="D1" s="1528"/>
      <c r="E1" s="1529" t="s">
        <v>1625</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1627</v>
      </c>
      <c r="B2" s="1534" t="e">
        <f ca="1">C40+J29+L46</f>
        <v>#DIV/0!</v>
      </c>
      <c r="C2" s="1535" t="s">
        <v>1628</v>
      </c>
      <c r="D2" s="1535"/>
      <c r="E2" s="1537"/>
      <c r="F2" s="1538"/>
      <c r="G2" s="1539"/>
      <c r="H2" s="1540"/>
      <c r="I2" s="1540"/>
      <c r="J2" s="1540"/>
      <c r="K2" s="1706"/>
      <c r="L2" s="1540"/>
      <c r="M2" s="1540"/>
    </row>
    <row r="3" ht="18" customHeight="1" spans="1:13">
      <c r="A3" s="1541" t="s">
        <v>1637</v>
      </c>
      <c r="B3" s="1542">
        <f ca="1">IF(ISERROR(B2*10000/F43),0,ROUND(B2*10000/F43,0))</f>
        <v>0</v>
      </c>
      <c r="C3" s="1535" t="s">
        <v>1638</v>
      </c>
      <c r="D3" s="1535"/>
      <c r="E3" s="1537"/>
      <c r="F3" s="1538"/>
      <c r="G3" s="1539"/>
      <c r="H3" s="1543" t="s">
        <v>1796</v>
      </c>
      <c r="I3" s="1707"/>
      <c r="J3" s="1707"/>
      <c r="K3" s="1708"/>
      <c r="L3" s="1707"/>
      <c r="M3" s="1707"/>
    </row>
    <row r="4" ht="18" customHeight="1" spans="1:13">
      <c r="A4" s="1544" t="s">
        <v>1797</v>
      </c>
      <c r="B4" s="1545" t="s">
        <v>1798</v>
      </c>
      <c r="C4" s="1545" t="s">
        <v>1799</v>
      </c>
      <c r="D4" s="1545" t="s">
        <v>1800</v>
      </c>
      <c r="E4" s="1546" t="s">
        <v>1801</v>
      </c>
      <c r="F4" s="1547"/>
      <c r="G4" s="651"/>
      <c r="H4" s="1544" t="s">
        <v>1797</v>
      </c>
      <c r="I4" s="1545" t="s">
        <v>1798</v>
      </c>
      <c r="J4" s="1545" t="s">
        <v>1799</v>
      </c>
      <c r="K4" s="1545" t="s">
        <v>1800</v>
      </c>
      <c r="L4" s="1546" t="s">
        <v>1801</v>
      </c>
      <c r="M4" s="1547"/>
    </row>
    <row r="5" ht="18" customHeight="1" spans="1:13">
      <c r="A5" s="1548">
        <v>1</v>
      </c>
      <c r="B5" s="1549" t="s">
        <v>1802</v>
      </c>
      <c r="C5" s="1550">
        <f ca="1">C6+C10+C12</f>
        <v>0</v>
      </c>
      <c r="D5" s="1551" t="s">
        <v>1803</v>
      </c>
      <c r="E5" s="1552"/>
      <c r="F5" s="1553"/>
      <c r="G5" s="651"/>
      <c r="H5" s="1548">
        <v>1</v>
      </c>
      <c r="I5" s="1549" t="s">
        <v>1802</v>
      </c>
      <c r="J5" s="1550">
        <f ca="1">J6+J10+J12</f>
        <v>0</v>
      </c>
      <c r="K5" s="1551" t="s">
        <v>1803</v>
      </c>
      <c r="L5" s="1552"/>
      <c r="M5" s="1553"/>
    </row>
    <row r="6" ht="18" customHeight="1" spans="1:13">
      <c r="A6" s="1554" t="s">
        <v>1050</v>
      </c>
      <c r="B6" s="1555" t="s">
        <v>1804</v>
      </c>
      <c r="C6" s="1556">
        <f ca="1">ROUND(F6*F8*F7*(1-F9)/10000,0)</f>
        <v>0</v>
      </c>
      <c r="D6" s="1557" t="s">
        <v>1805</v>
      </c>
      <c r="E6" s="1558" t="s">
        <v>1806</v>
      </c>
      <c r="F6" s="1559">
        <f ca="1">INDIRECT("'数据-取费表'!u"&amp;$G$1)</f>
        <v>0</v>
      </c>
      <c r="G6" s="651"/>
      <c r="H6" s="1554" t="s">
        <v>1050</v>
      </c>
      <c r="I6" s="1555" t="s">
        <v>1804</v>
      </c>
      <c r="J6" s="1635">
        <f ca="1">ROUND(M6*M8*M7*(1-M9)/10000,0)</f>
        <v>0</v>
      </c>
      <c r="K6" s="1557" t="s">
        <v>1807</v>
      </c>
      <c r="L6" s="1558" t="s">
        <v>1806</v>
      </c>
      <c r="M6" s="1559">
        <f ca="1">INDIRECT("'数据-取费表'!z"&amp;$G$1)</f>
        <v>0</v>
      </c>
    </row>
    <row r="7" ht="18" customHeight="1" spans="1:13">
      <c r="A7" s="1560"/>
      <c r="B7" s="1561"/>
      <c r="C7" s="1562"/>
      <c r="D7" s="1563"/>
      <c r="E7" s="1564" t="s">
        <v>1808</v>
      </c>
      <c r="F7" s="1559">
        <f ca="1">IF(INDIRECT("'数据-取费表'!ah"&amp;$G$1)="",INDIRECT("'数据-取费表'!k"&amp;$G$1),INDIRECT("'数据-取费表'!ah"&amp;$G$1))</f>
        <v>0</v>
      </c>
      <c r="G7" s="651"/>
      <c r="H7" s="1565"/>
      <c r="I7" s="1561"/>
      <c r="J7" s="1566"/>
      <c r="K7" s="1563"/>
      <c r="L7" s="1558" t="s">
        <v>1808</v>
      </c>
      <c r="M7" s="1559">
        <f ca="1">F7</f>
        <v>0</v>
      </c>
    </row>
    <row r="8" ht="18" customHeight="1" spans="1:13">
      <c r="A8" s="1565"/>
      <c r="B8" s="1561"/>
      <c r="C8" s="1566"/>
      <c r="D8" s="1563"/>
      <c r="E8" s="1558" t="s">
        <v>1809</v>
      </c>
      <c r="F8" s="1559">
        <f ca="1">INDIRECT("'数据-取费表'!ai"&amp;$G$1)</f>
        <v>0</v>
      </c>
      <c r="G8" s="651"/>
      <c r="H8" s="1565"/>
      <c r="I8" s="1561"/>
      <c r="J8" s="1566"/>
      <c r="K8" s="1563"/>
      <c r="L8" s="1558" t="s">
        <v>1809</v>
      </c>
      <c r="M8" s="1559">
        <f ca="1">INDIRECT("'数据-取费表'!ai"&amp;$G$1)</f>
        <v>0</v>
      </c>
    </row>
    <row r="9" ht="18" customHeight="1" spans="1:13">
      <c r="A9" s="1565"/>
      <c r="B9" s="1567"/>
      <c r="C9" s="1566"/>
      <c r="D9" s="1563"/>
      <c r="E9" s="1558" t="s">
        <v>1810</v>
      </c>
      <c r="F9" s="1568">
        <f ca="1">INDIRECT("'数据-取费表'!w"&amp;$G$1)</f>
        <v>0</v>
      </c>
      <c r="G9" s="651"/>
      <c r="H9" s="1565"/>
      <c r="I9" s="1567"/>
      <c r="J9" s="1566"/>
      <c r="K9" s="1563"/>
      <c r="L9" s="1572" t="s">
        <v>1810</v>
      </c>
      <c r="M9" s="1577">
        <f ca="1">INDIRECT("'数据-取费表'!ab"&amp;$G$1)</f>
        <v>0</v>
      </c>
    </row>
    <row r="10" ht="18" customHeight="1" spans="1:13">
      <c r="A10" s="1554" t="s">
        <v>1054</v>
      </c>
      <c r="B10" s="1569" t="s">
        <v>1811</v>
      </c>
      <c r="C10" s="1570">
        <f ca="1">ROUND(IF(F10="押一",C6/12*F11,IF(F10="押二",C6/12*2*F11,IF(F10="押三",C6/12*3*F11,C11*F11))),0)</f>
        <v>0</v>
      </c>
      <c r="D10" s="1571" t="s">
        <v>1812</v>
      </c>
      <c r="E10" s="1572" t="s">
        <v>1813</v>
      </c>
      <c r="F10" s="1573"/>
      <c r="G10" s="651"/>
      <c r="H10" s="1554" t="s">
        <v>1054</v>
      </c>
      <c r="I10" s="1569" t="s">
        <v>1811</v>
      </c>
      <c r="J10" s="1635">
        <f ca="1">ROUND(IF(M10="押一",J6/12*M11,IF(M10="押二",J6/12*2*M11,IF(M10="押三",J6/12*3*M11,J11*M11))),0)</f>
        <v>0</v>
      </c>
      <c r="K10" s="1571" t="s">
        <v>1812</v>
      </c>
      <c r="L10" s="1572" t="s">
        <v>1813</v>
      </c>
      <c r="M10" s="1573" t="s">
        <v>1814</v>
      </c>
    </row>
    <row r="11" ht="18" customHeight="1" spans="1:13">
      <c r="A11" s="1574"/>
      <c r="B11" s="1575" t="s">
        <v>1815</v>
      </c>
      <c r="C11" s="1576"/>
      <c r="D11" s="1815"/>
      <c r="E11" s="1572" t="s">
        <v>1816</v>
      </c>
      <c r="F11" s="1577">
        <f ca="1">'数据-取费表'!B39</f>
        <v>0.015</v>
      </c>
      <c r="G11" s="651"/>
      <c r="H11" s="1578"/>
      <c r="I11" s="1575" t="s">
        <v>1815</v>
      </c>
      <c r="J11" s="1576"/>
      <c r="K11" s="1711"/>
      <c r="L11" s="1572" t="s">
        <v>1816</v>
      </c>
      <c r="M11" s="1712">
        <f ca="1">'数据-取费表'!B39</f>
        <v>0.015</v>
      </c>
    </row>
    <row r="12" ht="18" customHeight="1" spans="1:13">
      <c r="A12" s="1579" t="s">
        <v>1099</v>
      </c>
      <c r="B12" s="1580" t="s">
        <v>1817</v>
      </c>
      <c r="C12" s="1581"/>
      <c r="D12" s="1582"/>
      <c r="E12" s="1583"/>
      <c r="F12" s="1584"/>
      <c r="G12" s="651"/>
      <c r="H12" s="1579" t="s">
        <v>1099</v>
      </c>
      <c r="I12" s="1580" t="s">
        <v>1817</v>
      </c>
      <c r="J12" s="1581"/>
      <c r="K12" s="1713"/>
      <c r="L12" s="1583"/>
      <c r="M12" s="1714"/>
    </row>
    <row r="13" ht="18" customHeight="1" spans="1:13">
      <c r="A13" s="1585">
        <v>2</v>
      </c>
      <c r="B13" s="1586" t="s">
        <v>1818</v>
      </c>
      <c r="C13" s="1587">
        <f ca="1">ROUND(C29*F13,0)</f>
        <v>0</v>
      </c>
      <c r="D13" s="1588" t="s">
        <v>1819</v>
      </c>
      <c r="E13" s="1588" t="s">
        <v>1820</v>
      </c>
      <c r="F13" s="1589">
        <f ca="1">INDIRECT("'数据-取费表'!y"&amp;$G$1)</f>
        <v>0</v>
      </c>
      <c r="G13" s="651"/>
      <c r="H13" s="1585">
        <v>2</v>
      </c>
      <c r="I13" s="1586" t="s">
        <v>1818</v>
      </c>
      <c r="J13" s="1715">
        <f ca="1">ROUND(J14*J15,0)</f>
        <v>0</v>
      </c>
      <c r="K13" s="1613" t="s">
        <v>1819</v>
      </c>
      <c r="L13" s="1716"/>
      <c r="M13" s="1717"/>
    </row>
    <row r="14" ht="18" customHeight="1" spans="1:13">
      <c r="A14" s="1590" t="s">
        <v>1073</v>
      </c>
      <c r="B14" s="1558" t="s">
        <v>1821</v>
      </c>
      <c r="C14" s="1591">
        <f ca="1">INDIRECT("'数据-取费表'!m"&amp;$G$1)+INDIRECT("'数据-取费表'!t"&amp;$G$1)</f>
        <v>0</v>
      </c>
      <c r="D14" s="1592" t="s">
        <v>1822</v>
      </c>
      <c r="E14" s="1593"/>
      <c r="F14" s="1594"/>
      <c r="G14" s="651"/>
      <c r="H14" s="1590" t="s">
        <v>1050</v>
      </c>
      <c r="I14" s="1558" t="s">
        <v>1823</v>
      </c>
      <c r="J14" s="1595">
        <f ca="1">C29</f>
        <v>0</v>
      </c>
      <c r="K14" s="1718"/>
      <c r="L14" s="1719"/>
      <c r="M14" s="1720"/>
    </row>
    <row r="15" s="1523" customFormat="1" ht="18" customHeight="1" spans="1:37">
      <c r="A15" s="1590" t="s">
        <v>1077</v>
      </c>
      <c r="B15" s="1558" t="s">
        <v>1757</v>
      </c>
      <c r="C15" s="1595">
        <f ca="1">ROUND(C14*F15,0)</f>
        <v>0</v>
      </c>
      <c r="D15" s="1596" t="s">
        <v>1824</v>
      </c>
      <c r="E15" s="1596" t="s">
        <v>1825</v>
      </c>
      <c r="F15" s="1597">
        <f>'数据-取费表'!B33</f>
        <v>0.03</v>
      </c>
      <c r="G15" s="1598"/>
      <c r="H15" s="1599" t="s">
        <v>1054</v>
      </c>
      <c r="I15" s="1583" t="s">
        <v>1820</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1080</v>
      </c>
      <c r="B16" s="1558" t="s">
        <v>1760</v>
      </c>
      <c r="C16" s="1595">
        <f ca="1">ROUND(INDIRECT("'数据-取费表'!m"&amp;$G$1)*F16,0)</f>
        <v>0</v>
      </c>
      <c r="D16" s="1558" t="s">
        <v>1824</v>
      </c>
      <c r="E16" s="1558" t="s">
        <v>1825</v>
      </c>
      <c r="F16" s="1600">
        <f ca="1">IF(INDIRECT("'数据-取费表'!c"&amp;$G$1)="住宅",'数据-取费表'!B34,0)</f>
        <v>0</v>
      </c>
      <c r="G16" s="651"/>
      <c r="H16" s="1585" t="s">
        <v>756</v>
      </c>
      <c r="I16" s="1586" t="s">
        <v>1826</v>
      </c>
      <c r="J16" s="1587">
        <f ca="1">ROUND(J17+J22+J23+J24,0)</f>
        <v>0</v>
      </c>
      <c r="K16" s="1613" t="s">
        <v>1827</v>
      </c>
      <c r="L16" s="1614"/>
      <c r="M16" s="1553"/>
    </row>
    <row r="17" s="1523" customFormat="1" ht="18" customHeight="1" spans="1:37">
      <c r="A17" s="1590" t="s">
        <v>1828</v>
      </c>
      <c r="B17" s="1558" t="s">
        <v>1829</v>
      </c>
      <c r="C17" s="1595">
        <f ca="1">ROUND(F17*(F43+INDIRECT("'数据-取费表'!S"&amp;$G$1))/10000,0)</f>
        <v>0</v>
      </c>
      <c r="D17" s="1558" t="s">
        <v>1830</v>
      </c>
      <c r="E17" s="1558" t="s">
        <v>1831</v>
      </c>
      <c r="F17" s="1601">
        <f>'数据-取费表'!B35</f>
        <v>200</v>
      </c>
      <c r="G17" s="1598"/>
      <c r="H17" s="1590" t="s">
        <v>1050</v>
      </c>
      <c r="I17" s="1558" t="s">
        <v>1832</v>
      </c>
      <c r="J17" s="1616">
        <f ca="1">ROUND(IF(AND(项目基本情况!B11="自然人",项目基本情况!B10="北京市"),J6*M17/(1+'数据-取费表'!C42),J18+J19+J20),0)</f>
        <v>0</v>
      </c>
      <c r="K17" s="1592" t="s">
        <v>1833</v>
      </c>
      <c r="L17" s="1617" t="s">
        <v>1834</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1835</v>
      </c>
      <c r="B18" s="1558" t="s">
        <v>1766</v>
      </c>
      <c r="C18" s="1595">
        <f ca="1">ROUND(C14*F18,0)</f>
        <v>0</v>
      </c>
      <c r="D18" s="1558" t="s">
        <v>1824</v>
      </c>
      <c r="E18" s="1558" t="s">
        <v>1825</v>
      </c>
      <c r="F18" s="1600">
        <f>'数据-取费表'!B36</f>
        <v>0.015</v>
      </c>
      <c r="G18" s="1598"/>
      <c r="H18" s="1590" t="s">
        <v>1073</v>
      </c>
      <c r="I18" s="1558" t="s">
        <v>1836</v>
      </c>
      <c r="J18" s="1595">
        <f ca="1">ROUND(J6*M18/(1+'数据-取费表'!C42),2)</f>
        <v>0</v>
      </c>
      <c r="K18" s="1617" t="s">
        <v>1837</v>
      </c>
      <c r="L18" s="1558" t="s">
        <v>1825</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1050</v>
      </c>
      <c r="B19" s="1558" t="s">
        <v>1838</v>
      </c>
      <c r="C19" s="1595">
        <f ca="1">SUM(C14:C18)</f>
        <v>0</v>
      </c>
      <c r="D19" s="1602" t="s">
        <v>1839</v>
      </c>
      <c r="E19" s="1603"/>
      <c r="F19" s="1601"/>
      <c r="G19" s="651"/>
      <c r="H19" s="1590" t="s">
        <v>1077</v>
      </c>
      <c r="I19" s="1558" t="s">
        <v>1840</v>
      </c>
      <c r="J19" s="1595">
        <f ca="1">IF(K19="按租金收入计税",ROUND(J6*M19/(1+'数据-取费表'!C42),2),ROUND(C29*M19*0.7,2))</f>
        <v>0</v>
      </c>
      <c r="K19" s="1620" t="s">
        <v>1841</v>
      </c>
      <c r="L19" s="1558" t="s">
        <v>1825</v>
      </c>
      <c r="M19" s="1600">
        <f>IF(K19="按租金收入计税",'数据-取费表'!B51,'数据-取费表'!B50)</f>
        <v>0.012</v>
      </c>
    </row>
    <row r="20" s="1523" customFormat="1" ht="18" customHeight="1" spans="1:37">
      <c r="A20" s="1590" t="s">
        <v>1054</v>
      </c>
      <c r="B20" s="1558" t="s">
        <v>1842</v>
      </c>
      <c r="C20" s="1595">
        <f ca="1">ROUND(C19*F20,0)</f>
        <v>0</v>
      </c>
      <c r="D20" s="1604" t="s">
        <v>1843</v>
      </c>
      <c r="E20" s="1558" t="s">
        <v>1825</v>
      </c>
      <c r="F20" s="1600">
        <f>'数据-取费表'!B37</f>
        <v>0.01</v>
      </c>
      <c r="G20" s="1598"/>
      <c r="H20" s="1590" t="s">
        <v>1080</v>
      </c>
      <c r="I20" s="1557" t="s">
        <v>1844</v>
      </c>
      <c r="J20" s="1622">
        <f ca="1">ROUND(M20*M21/10000,2)</f>
        <v>0</v>
      </c>
      <c r="K20" s="1623" t="s">
        <v>1845</v>
      </c>
      <c r="L20" s="1558" t="s">
        <v>1846</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1099</v>
      </c>
      <c r="B21" s="1558" t="s">
        <v>1847</v>
      </c>
      <c r="C21" s="1595" t="s">
        <v>124</v>
      </c>
      <c r="D21" s="1604" t="s">
        <v>1848</v>
      </c>
      <c r="E21" s="1558" t="s">
        <v>1849</v>
      </c>
      <c r="F21" s="1600">
        <f>'数据-取费表'!B38</f>
        <v>0.01</v>
      </c>
      <c r="G21" s="1598"/>
      <c r="H21" s="1605"/>
      <c r="I21" s="1724"/>
      <c r="J21" s="1626"/>
      <c r="K21" s="1627"/>
      <c r="L21" s="1558" t="s">
        <v>1850</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1102</v>
      </c>
      <c r="B22" s="1558" t="s">
        <v>1851</v>
      </c>
      <c r="C22" s="1595"/>
      <c r="D22" s="1602" t="str">
        <f>IF(F23&lt;=1,"单利计息。","复利计息。")&amp;"建造成本、管理费用、销售费用产生的利息。"</f>
        <v>复利计息。建造成本、管理费用、销售费用产生的利息。</v>
      </c>
      <c r="E22" s="1603"/>
      <c r="F22" s="1601"/>
      <c r="G22" s="651"/>
      <c r="H22" s="1590" t="s">
        <v>1054</v>
      </c>
      <c r="I22" s="1558" t="s">
        <v>1852</v>
      </c>
      <c r="J22" s="1595">
        <f ca="1">ROUND(J14*M22,1)</f>
        <v>0</v>
      </c>
      <c r="K22" s="1617" t="s">
        <v>1853</v>
      </c>
      <c r="L22" s="1558" t="s">
        <v>1825</v>
      </c>
      <c r="M22" s="1629">
        <f ca="1">INDIRECT("'数据-取费表'!Ak"&amp;$G$1)</f>
        <v>0</v>
      </c>
    </row>
    <row r="23" s="1523" customFormat="1" ht="18" customHeight="1" spans="1:37">
      <c r="A23" s="1590" t="s">
        <v>1073</v>
      </c>
      <c r="B23" s="1558" t="s">
        <v>1854</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1855</v>
      </c>
      <c r="F23" s="1607">
        <f>'数据-取费表'!B20</f>
        <v>2</v>
      </c>
      <c r="G23" s="1598"/>
      <c r="H23" s="1590" t="s">
        <v>1099</v>
      </c>
      <c r="I23" s="1558" t="s">
        <v>1856</v>
      </c>
      <c r="J23" s="1595">
        <f ca="1">ROUND(J13*M23,1)</f>
        <v>0</v>
      </c>
      <c r="K23" s="1617" t="s">
        <v>1857</v>
      </c>
      <c r="L23" s="1558" t="s">
        <v>1825</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1077</v>
      </c>
      <c r="B24" s="1558" t="s">
        <v>1858</v>
      </c>
      <c r="C24" s="1595">
        <f ca="1">ROUND(IF('数据-取费表'!B22&lt;=1,F21*F24*F23/2,F21*(POWER((1+F24),F23/2)-1)),4)</f>
        <v>0.0004</v>
      </c>
      <c r="D24" s="1606" t="str">
        <f>IF(F23&lt;=1,"销售费用×利率×(建设周期÷2)","销售费用×((1+利率)^(建设周期÷2)-1)")</f>
        <v>销售费用×((1+利率)^(建设周期÷2)-1)</v>
      </c>
      <c r="E24" s="1558" t="s">
        <v>1859</v>
      </c>
      <c r="F24" s="1608">
        <f ca="1">'数据-取费表'!B40</f>
        <v>0.0435</v>
      </c>
      <c r="G24" s="1598"/>
      <c r="H24" s="1599" t="s">
        <v>1102</v>
      </c>
      <c r="I24" s="1583" t="s">
        <v>1842</v>
      </c>
      <c r="J24" s="1609">
        <f ca="1">ROUND(J5*M24,1)</f>
        <v>0</v>
      </c>
      <c r="K24" s="1610" t="s">
        <v>1860</v>
      </c>
      <c r="L24" s="1583" t="s">
        <v>1825</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1106</v>
      </c>
      <c r="B25" s="1558" t="s">
        <v>1861</v>
      </c>
      <c r="C25" s="1595"/>
      <c r="D25" s="1602" t="s">
        <v>1862</v>
      </c>
      <c r="E25" s="1603"/>
      <c r="F25" s="1601"/>
      <c r="G25" s="651"/>
      <c r="H25" s="1585" t="s">
        <v>759</v>
      </c>
      <c r="I25" s="1631" t="s">
        <v>1863</v>
      </c>
      <c r="J25" s="1587">
        <f ca="1">J5-J16</f>
        <v>0</v>
      </c>
      <c r="K25" s="1632" t="s">
        <v>1864</v>
      </c>
      <c r="L25" s="1633"/>
      <c r="M25" s="1634"/>
    </row>
    <row r="26" spans="1:13">
      <c r="A26" s="1590" t="s">
        <v>1073</v>
      </c>
      <c r="B26" s="1558" t="s">
        <v>1865</v>
      </c>
      <c r="C26" s="1595">
        <f ca="1">ROUND((C19+C20)*F26,0)</f>
        <v>0</v>
      </c>
      <c r="D26" s="1604" t="s">
        <v>1866</v>
      </c>
      <c r="E26" s="1572" t="s">
        <v>1867</v>
      </c>
      <c r="F26" s="1568">
        <f ca="1">INDIRECT("'数据-取费表'!q"&amp;$G$1)</f>
        <v>0</v>
      </c>
      <c r="G26" s="651"/>
      <c r="H26" s="1548" t="s">
        <v>774</v>
      </c>
      <c r="I26" s="1549" t="s">
        <v>1868</v>
      </c>
      <c r="J26" s="1635">
        <f ca="1">IF(J5&lt;&gt;0,ROUND(J25*(1-((1+M28)/(1+M26))^M27)/(M26-M28),0),0)</f>
        <v>0</v>
      </c>
      <c r="K26" s="1623" t="s">
        <v>1869</v>
      </c>
      <c r="L26" s="1558" t="s">
        <v>1870</v>
      </c>
      <c r="M26" s="1568">
        <f ca="1">INDIRECT("'数据-取费表'!I"&amp;$G$1)</f>
        <v>0</v>
      </c>
    </row>
    <row r="27" ht="18" customHeight="1" spans="1:13">
      <c r="A27" s="1590" t="s">
        <v>1077</v>
      </c>
      <c r="B27" s="1558" t="s">
        <v>1871</v>
      </c>
      <c r="C27" s="1595">
        <f ca="1">ROUND(F21*F26,4)</f>
        <v>0</v>
      </c>
      <c r="D27" s="1604" t="s">
        <v>1872</v>
      </c>
      <c r="E27" s="1596"/>
      <c r="F27" s="1597"/>
      <c r="G27" s="651"/>
      <c r="H27" s="1565"/>
      <c r="I27" s="1637"/>
      <c r="J27" s="1566"/>
      <c r="K27" s="1638" t="s">
        <v>1873</v>
      </c>
      <c r="L27" s="1558" t="s">
        <v>1874</v>
      </c>
      <c r="M27" s="1639">
        <f ca="1">INDIRECT("'数据-取费表'!ag"&amp;$G$1)</f>
        <v>0</v>
      </c>
    </row>
    <row r="28" s="1523" customFormat="1" ht="18" customHeight="1" spans="1:37">
      <c r="A28" s="1590" t="s">
        <v>1107</v>
      </c>
      <c r="B28" s="1558" t="s">
        <v>1875</v>
      </c>
      <c r="C28" s="1595">
        <f>ROUND(F28/(1+'数据-取费表'!C42),4)</f>
        <v>0.0533</v>
      </c>
      <c r="D28" s="1604" t="s">
        <v>1876</v>
      </c>
      <c r="E28" s="1558" t="s">
        <v>1825</v>
      </c>
      <c r="F28" s="1600">
        <f>'数据-取费表'!B41</f>
        <v>0.056</v>
      </c>
      <c r="G28" s="1598"/>
      <c r="H28" s="1574"/>
      <c r="I28" s="1641"/>
      <c r="J28" s="1587"/>
      <c r="K28" s="1627"/>
      <c r="L28" s="1558" t="s">
        <v>1877</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1791</v>
      </c>
      <c r="B29" s="1583" t="s">
        <v>1878</v>
      </c>
      <c r="C29" s="1609">
        <f ca="1">ROUND((C19+C20+C23+C26)/(1-F21-C24-C27-C28),0)</f>
        <v>0</v>
      </c>
      <c r="D29" s="1610"/>
      <c r="E29" s="1583"/>
      <c r="F29" s="1611"/>
      <c r="G29" s="1598"/>
      <c r="H29" s="1612" t="s">
        <v>784</v>
      </c>
      <c r="I29" s="1642" t="s">
        <v>1879</v>
      </c>
      <c r="J29" s="1643">
        <f ca="1">ROUND(J26/(1+F40)^F41,0)</f>
        <v>0</v>
      </c>
      <c r="K29" s="1644" t="s">
        <v>1880</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756</v>
      </c>
      <c r="B30" s="1586" t="s">
        <v>1826</v>
      </c>
      <c r="C30" s="1587">
        <f ca="1">ROUND(C31+C36+C37+C38,0)</f>
        <v>0</v>
      </c>
      <c r="D30" s="1613" t="s">
        <v>1827</v>
      </c>
      <c r="E30" s="1614"/>
      <c r="F30" s="1553"/>
      <c r="G30" s="651"/>
      <c r="H30" s="1615"/>
      <c r="I30" s="1725"/>
      <c r="J30" s="1726"/>
      <c r="K30" s="1727"/>
      <c r="L30" s="1728"/>
      <c r="M30" s="1729"/>
    </row>
    <row r="31" ht="18" customHeight="1" spans="1:13">
      <c r="A31" s="1590" t="s">
        <v>1050</v>
      </c>
      <c r="B31" s="1558" t="s">
        <v>1832</v>
      </c>
      <c r="C31" s="1616">
        <f ca="1">ROUND(IF(AND(项目基本情况!B11="自然人",项目基本情况!B10="北京市"),C6*F31/(1+'数据-取费表'!C42),C32+C33+C34),0)</f>
        <v>0</v>
      </c>
      <c r="D31" s="1592" t="s">
        <v>1833</v>
      </c>
      <c r="E31" s="1617" t="s">
        <v>1834</v>
      </c>
      <c r="F31" s="1618" t="str">
        <f ca="1">IF(项目基本情况!B11="企业","——",IF('数据-取费表'!B10="住宅",IF(F6*F7*F8/12/(1+'数据-取费表'!F30)&gt;100000,4%,2.5%),IF(F6*F7*F8/12/(1+'数据-取费表'!F30)&gt;100000,12%,7%)))</f>
        <v>——</v>
      </c>
      <c r="G31" s="651"/>
      <c r="H31" s="1619" t="s">
        <v>1881</v>
      </c>
      <c r="I31" s="1725"/>
      <c r="J31" s="1726"/>
      <c r="K31" s="1727"/>
      <c r="L31" s="1728"/>
      <c r="M31" s="1729"/>
    </row>
    <row r="32" ht="18" customHeight="1" spans="1:13">
      <c r="A32" s="1590" t="s">
        <v>1073</v>
      </c>
      <c r="B32" s="1558" t="s">
        <v>1836</v>
      </c>
      <c r="C32" s="1595">
        <f ca="1">IF(项目基本情况!B11="自然人","——",ROUND(C6*F32/(1+'数据-取费表'!C42),2))</f>
        <v>0</v>
      </c>
      <c r="D32" s="1617" t="s">
        <v>1837</v>
      </c>
      <c r="E32" s="1558" t="s">
        <v>1825</v>
      </c>
      <c r="F32" s="1608">
        <f>'数据-取费表'!B41</f>
        <v>0.056</v>
      </c>
      <c r="G32" s="651"/>
      <c r="H32" s="1615"/>
      <c r="I32" s="1725"/>
      <c r="J32" s="1726"/>
      <c r="K32" s="1727"/>
      <c r="L32" s="1728"/>
      <c r="M32" s="1729"/>
    </row>
    <row r="33" ht="18" customHeight="1" spans="1:13">
      <c r="A33" s="1590" t="s">
        <v>1077</v>
      </c>
      <c r="B33" s="1558" t="s">
        <v>1840</v>
      </c>
      <c r="C33" s="1595">
        <f ca="1">IF(项目基本情况!B11="自然人","——",IF(D33="按租金收入计税",ROUND(C6*F33/(1+'数据-取费表'!C42),2),IF(D33="按房产原值计税",ROUND(C29*F33*0.7,2),INDIRECT("'数据-取费表'!Aj"&amp;$G$1))))</f>
        <v>0</v>
      </c>
      <c r="D33" s="1620" t="s">
        <v>1841</v>
      </c>
      <c r="E33" s="1558" t="s">
        <v>1825</v>
      </c>
      <c r="F33" s="1600">
        <f>IF(D33="按票据","——",IF(D33="按租金收入计税",'数据-取费表'!B51,'数据-取费表'!B50))</f>
        <v>0.012</v>
      </c>
      <c r="G33" s="651"/>
      <c r="H33" s="1621"/>
      <c r="I33" s="1725"/>
      <c r="J33" s="1726"/>
      <c r="K33" s="1730"/>
      <c r="L33" s="1621"/>
      <c r="M33" s="1621"/>
    </row>
    <row r="34" ht="18" customHeight="1" spans="1:13">
      <c r="A34" s="1554" t="s">
        <v>1080</v>
      </c>
      <c r="B34" s="1557" t="s">
        <v>1844</v>
      </c>
      <c r="C34" s="1622">
        <f ca="1">IF(项目基本情况!B11="自然人","——",ROUND(F34*F35/10000,2))</f>
        <v>0</v>
      </c>
      <c r="D34" s="1623" t="s">
        <v>1845</v>
      </c>
      <c r="E34" s="1558" t="s">
        <v>1846</v>
      </c>
      <c r="F34" s="1607">
        <f>'数据-取费表'!B52</f>
        <v>0</v>
      </c>
      <c r="G34" s="651"/>
      <c r="H34" s="1615"/>
      <c r="I34" s="1725"/>
      <c r="J34" s="1726"/>
      <c r="K34" s="1731"/>
      <c r="L34" s="1732"/>
      <c r="M34" s="1732"/>
    </row>
    <row r="35" ht="18" customHeight="1" spans="1:13">
      <c r="A35" s="1624"/>
      <c r="B35" s="1625"/>
      <c r="C35" s="1626"/>
      <c r="D35" s="1627"/>
      <c r="E35" s="1558" t="s">
        <v>1850</v>
      </c>
      <c r="F35" s="1559">
        <f ca="1">INDIRECT("'数据-取费表'!r"&amp;$G$1)</f>
        <v>0</v>
      </c>
      <c r="G35" s="651"/>
      <c r="H35" s="1615"/>
      <c r="I35" s="1725"/>
      <c r="J35" s="1726"/>
      <c r="K35" s="1730"/>
      <c r="L35" s="1621"/>
      <c r="M35" s="1621"/>
    </row>
    <row r="36" ht="18" customHeight="1" spans="1:13">
      <c r="A36" s="1628" t="s">
        <v>1054</v>
      </c>
      <c r="B36" s="1558" t="s">
        <v>1852</v>
      </c>
      <c r="C36" s="1595">
        <f ca="1">ROUND(C29*F36,1)</f>
        <v>0</v>
      </c>
      <c r="D36" s="1617" t="s">
        <v>1882</v>
      </c>
      <c r="E36" s="1558" t="s">
        <v>1825</v>
      </c>
      <c r="F36" s="1629">
        <f ca="1">INDIRECT("'数据-取费表'!Ak"&amp;$G$1)</f>
        <v>0</v>
      </c>
      <c r="G36" s="651"/>
      <c r="H36" s="1621"/>
      <c r="I36" s="1725"/>
      <c r="J36" s="1726"/>
      <c r="K36" s="1733"/>
      <c r="L36" s="1621"/>
      <c r="M36" s="1621"/>
    </row>
    <row r="37" ht="18" customHeight="1" spans="1:13">
      <c r="A37" s="1590" t="s">
        <v>1099</v>
      </c>
      <c r="B37" s="1558" t="s">
        <v>1856</v>
      </c>
      <c r="C37" s="1595">
        <f ca="1">ROUND(C13*F37,1)</f>
        <v>0</v>
      </c>
      <c r="D37" s="1617" t="s">
        <v>1857</v>
      </c>
      <c r="E37" s="1558" t="s">
        <v>1825</v>
      </c>
      <c r="F37" s="1630">
        <f ca="1">INDIRECT("'数据-取费表'!Al"&amp;$G$1)</f>
        <v>0</v>
      </c>
      <c r="G37" s="651"/>
      <c r="H37" s="1621"/>
      <c r="I37" s="1725"/>
      <c r="J37" s="1726"/>
      <c r="K37" s="1733"/>
      <c r="L37" s="1621"/>
      <c r="M37" s="1621"/>
    </row>
    <row r="38" ht="18" customHeight="1" spans="1:13">
      <c r="A38" s="1599" t="s">
        <v>1102</v>
      </c>
      <c r="B38" s="1583" t="s">
        <v>1842</v>
      </c>
      <c r="C38" s="1609">
        <f ca="1">ROUND(C5*F38,1)</f>
        <v>0</v>
      </c>
      <c r="D38" s="1610" t="s">
        <v>1860</v>
      </c>
      <c r="E38" s="1583" t="s">
        <v>1825</v>
      </c>
      <c r="F38" s="1584">
        <f ca="1">INDIRECT("'数据-取费表'!Am"&amp;$G$1)</f>
        <v>0</v>
      </c>
      <c r="G38" s="651"/>
      <c r="H38" s="1621"/>
      <c r="I38" s="1725"/>
      <c r="J38" s="1726"/>
      <c r="K38" s="1734"/>
      <c r="L38" s="1621"/>
      <c r="M38" s="1621"/>
    </row>
    <row r="39" ht="24.6" customHeight="1" spans="1:13">
      <c r="A39" s="1585" t="s">
        <v>759</v>
      </c>
      <c r="B39" s="1631" t="s">
        <v>1863</v>
      </c>
      <c r="C39" s="1587">
        <f ca="1">C5-C30</f>
        <v>0</v>
      </c>
      <c r="D39" s="1632" t="s">
        <v>1864</v>
      </c>
      <c r="E39" s="1633"/>
      <c r="F39" s="1634"/>
      <c r="G39" s="651"/>
      <c r="H39" s="1621"/>
      <c r="I39" s="1725"/>
      <c r="J39" s="1726"/>
      <c r="K39" s="1734"/>
      <c r="L39" s="1621"/>
      <c r="M39" s="1621"/>
    </row>
    <row r="40" ht="18" customHeight="1" spans="1:13">
      <c r="A40" s="1548" t="s">
        <v>774</v>
      </c>
      <c r="B40" s="1549" t="s">
        <v>1883</v>
      </c>
      <c r="C40" s="1635" t="e">
        <f ca="1">ROUND(C39*(1-((1+F42)/(1+F40))^F41)/(F40-F42),0)</f>
        <v>#DIV/0!</v>
      </c>
      <c r="D40" s="1623" t="s">
        <v>1869</v>
      </c>
      <c r="E40" s="1558" t="s">
        <v>1870</v>
      </c>
      <c r="F40" s="1568">
        <f ca="1">INDIRECT("'数据-取费表'!I"&amp;$G$1)</f>
        <v>0</v>
      </c>
      <c r="G40" s="651"/>
      <c r="H40" s="1636"/>
      <c r="I40" s="1725"/>
      <c r="J40" s="1726"/>
      <c r="K40" s="1734"/>
      <c r="L40" s="1636"/>
      <c r="M40" s="1636"/>
    </row>
    <row r="41" ht="18" customHeight="1" spans="1:13">
      <c r="A41" s="1565"/>
      <c r="B41" s="1637"/>
      <c r="C41" s="1566"/>
      <c r="D41" s="1638" t="s">
        <v>1873</v>
      </c>
      <c r="E41" s="1558" t="s">
        <v>1874</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1877</v>
      </c>
      <c r="F42" s="1568">
        <f ca="1">INDIRECT("'数据-取费表'!v"&amp;$G$1)</f>
        <v>0</v>
      </c>
      <c r="G42" s="651"/>
      <c r="H42" s="1640"/>
      <c r="I42" s="1725"/>
      <c r="J42" s="1726"/>
      <c r="K42" s="1733"/>
      <c r="L42" s="1640"/>
      <c r="M42" s="1640"/>
    </row>
    <row r="43" ht="18" customHeight="1" spans="1:13">
      <c r="A43" s="1612" t="s">
        <v>784</v>
      </c>
      <c r="B43" s="1642" t="s">
        <v>1884</v>
      </c>
      <c r="C43" s="1643" t="e">
        <f ca="1">ROUND(C40*10000/F43,0)</f>
        <v>#DIV/0!</v>
      </c>
      <c r="D43" s="1644" t="s">
        <v>1885</v>
      </c>
      <c r="E43" s="1645" t="s">
        <v>1886</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1887</v>
      </c>
      <c r="P45" s="1636"/>
      <c r="Q45" s="1636"/>
      <c r="R45" s="1636"/>
    </row>
    <row r="46" s="651" customFormat="1" ht="13.5" spans="1:18">
      <c r="A46" s="1651" t="s">
        <v>1888</v>
      </c>
      <c r="C46" s="1652" t="e">
        <f ca="1">C68-C40</f>
        <v>#DIV/0!</v>
      </c>
      <c r="D46" s="1653" t="str">
        <f>C2</f>
        <v>万元</v>
      </c>
      <c r="E46" s="1647"/>
      <c r="F46" s="1647"/>
      <c r="I46" s="1737" t="s">
        <v>1889</v>
      </c>
      <c r="J46" s="1738"/>
      <c r="K46" s="1739"/>
      <c r="L46" s="1740" t="e">
        <f ca="1">IF(M47="住宅",0,IF(L48&gt;J51,L60,J60))</f>
        <v>#DIV/0!</v>
      </c>
      <c r="O46" s="1741" t="s">
        <v>1890</v>
      </c>
      <c r="P46" s="1742" t="s">
        <v>1891</v>
      </c>
      <c r="Q46" s="1788" t="s">
        <v>1892</v>
      </c>
      <c r="R46" s="1788" t="s">
        <v>1893</v>
      </c>
    </row>
    <row r="47" s="651" customFormat="1" ht="13.5" spans="1:18">
      <c r="A47" s="1654" t="s">
        <v>1797</v>
      </c>
      <c r="B47" s="1655" t="s">
        <v>1798</v>
      </c>
      <c r="C47" s="1816" t="s">
        <v>1799</v>
      </c>
      <c r="D47" s="1655" t="s">
        <v>1800</v>
      </c>
      <c r="E47" s="1656" t="s">
        <v>1801</v>
      </c>
      <c r="F47" s="1657"/>
      <c r="G47" s="1658"/>
      <c r="I47" s="1743" t="s">
        <v>1894</v>
      </c>
      <c r="J47" s="1744"/>
      <c r="K47" s="1745" t="s">
        <v>1895</v>
      </c>
      <c r="L47" s="1746">
        <f ca="1">INDIRECT("'数据-取费表'!d"&amp;$G$1)</f>
        <v>0</v>
      </c>
      <c r="M47" s="1747" t="str">
        <f>IF(ISNUMBER(FIND("住宅",C1)),"住宅","非住宅")</f>
        <v>非住宅</v>
      </c>
      <c r="O47" s="1748" t="s">
        <v>1340</v>
      </c>
      <c r="P47" s="1749" t="s">
        <v>1896</v>
      </c>
      <c r="Q47" s="1789" t="e">
        <f ca="1">C40+J29</f>
        <v>#DIV/0!</v>
      </c>
      <c r="R47" s="1789" t="s">
        <v>1897</v>
      </c>
    </row>
    <row r="48" s="651" customFormat="1" ht="26.25" spans="1:18">
      <c r="A48" s="1659" t="s">
        <v>749</v>
      </c>
      <c r="B48" s="1549" t="s">
        <v>1802</v>
      </c>
      <c r="C48" s="1660">
        <f ca="1">C49+C53+C55</f>
        <v>0</v>
      </c>
      <c r="D48" s="1661"/>
      <c r="E48" s="1662"/>
      <c r="F48" s="1663"/>
      <c r="G48" s="1658"/>
      <c r="H48" s="1664"/>
      <c r="I48" s="713" t="s">
        <v>1898</v>
      </c>
      <c r="J48" s="1750"/>
      <c r="K48" s="1751" t="s">
        <v>1899</v>
      </c>
      <c r="L48" s="1752">
        <f ca="1">INDIRECT("'数据-取费表'!f"&amp;$G$1)</f>
        <v>0</v>
      </c>
      <c r="O48" s="1748" t="s">
        <v>1344</v>
      </c>
      <c r="P48" s="1749" t="s">
        <v>1900</v>
      </c>
      <c r="Q48" s="1789" t="e">
        <f ca="1">J60</f>
        <v>#DIV/0!</v>
      </c>
      <c r="R48" s="1789" t="s">
        <v>1901</v>
      </c>
    </row>
    <row r="49" s="651" customFormat="1" ht="13.5" spans="1:18">
      <c r="A49" s="1665" t="s">
        <v>1902</v>
      </c>
      <c r="B49" s="1666" t="s">
        <v>1903</v>
      </c>
      <c r="C49" s="1667">
        <f ca="1">ROUND(F49*F51*F50*(1-F52)/10000,0)</f>
        <v>0</v>
      </c>
      <c r="D49" s="1668" t="s">
        <v>1807</v>
      </c>
      <c r="E49" s="1669" t="s">
        <v>1904</v>
      </c>
      <c r="F49" s="1670"/>
      <c r="G49" s="1671"/>
      <c r="H49" s="1664"/>
      <c r="I49" s="713" t="s">
        <v>1905</v>
      </c>
      <c r="J49" s="1753"/>
      <c r="K49" s="1751" t="s">
        <v>1906</v>
      </c>
      <c r="L49" s="1754"/>
      <c r="O49" s="1755" t="s">
        <v>1907</v>
      </c>
      <c r="P49" s="1749" t="s">
        <v>1908</v>
      </c>
      <c r="Q49" s="1789">
        <f ca="1">C29</f>
        <v>0</v>
      </c>
      <c r="R49" s="1789" t="s">
        <v>1897</v>
      </c>
    </row>
    <row r="50" s="651" customFormat="1" ht="13.5" spans="1:18">
      <c r="A50" s="1672"/>
      <c r="B50" s="1673"/>
      <c r="C50" s="1817"/>
      <c r="D50" s="1675"/>
      <c r="E50" s="1676" t="s">
        <v>1808</v>
      </c>
      <c r="F50" s="1677">
        <f ca="1">F7</f>
        <v>0</v>
      </c>
      <c r="H50" s="1664"/>
      <c r="I50" s="713" t="s">
        <v>1909</v>
      </c>
      <c r="J50" s="1756">
        <f>SUMPRODUCT((I63:I65=J47)*(J62:L62=J48)*(J63:L65))</f>
        <v>0</v>
      </c>
      <c r="K50" s="1751" t="s">
        <v>1910</v>
      </c>
      <c r="L50" s="1754"/>
      <c r="M50" s="1757"/>
      <c r="O50" s="1755" t="s">
        <v>1911</v>
      </c>
      <c r="P50" s="1749" t="s">
        <v>1912</v>
      </c>
      <c r="Q50" s="1790" t="e">
        <f ca="1">J58</f>
        <v>#DIV/0!</v>
      </c>
      <c r="R50" s="1789"/>
    </row>
    <row r="51" s="651" customFormat="1" ht="13.5" spans="1:18">
      <c r="A51" s="1678"/>
      <c r="B51" s="1673"/>
      <c r="C51" s="1674"/>
      <c r="D51" s="1675"/>
      <c r="E51" s="1679" t="s">
        <v>1809</v>
      </c>
      <c r="F51" s="1559">
        <f ca="1">F8</f>
        <v>0</v>
      </c>
      <c r="I51" s="1758" t="s">
        <v>1913</v>
      </c>
      <c r="J51" s="1759">
        <f>IF(J49="",J50,J49+J50-YEAR('数据-取费表'!B2))</f>
        <v>0</v>
      </c>
      <c r="K51" s="1760" t="s">
        <v>1914</v>
      </c>
      <c r="L51" s="1761">
        <f ca="1">ROUND(-PV(INDIRECT("'数据-取费表'!h"&amp;$G$1),J51,(C39-C13*C76),0),0)</f>
        <v>0</v>
      </c>
      <c r="M51" s="1762"/>
      <c r="O51" s="1755" t="s">
        <v>1915</v>
      </c>
      <c r="P51" s="1749" t="s">
        <v>1916</v>
      </c>
      <c r="Q51" s="1790">
        <f>J52</f>
        <v>0</v>
      </c>
      <c r="R51" s="1789"/>
    </row>
    <row r="52" s="651" customFormat="1" ht="13.5" spans="1:18">
      <c r="A52" s="1678"/>
      <c r="B52" s="1673"/>
      <c r="C52" s="1674"/>
      <c r="D52" s="1675"/>
      <c r="E52" s="1679" t="s">
        <v>1810</v>
      </c>
      <c r="F52" s="1680"/>
      <c r="I52" s="1763" t="s">
        <v>1917</v>
      </c>
      <c r="J52" s="1764"/>
      <c r="K52" s="1763" t="s">
        <v>1918</v>
      </c>
      <c r="L52" s="1764"/>
      <c r="O52" s="1755" t="s">
        <v>1919</v>
      </c>
      <c r="P52" s="1749" t="s">
        <v>1920</v>
      </c>
      <c r="Q52" s="1789">
        <f ca="1">J53</f>
        <v>0</v>
      </c>
      <c r="R52" s="1789" t="s">
        <v>1921</v>
      </c>
    </row>
    <row r="53" s="651" customFormat="1" ht="24.75" spans="1:18">
      <c r="A53" s="1818" t="s">
        <v>1922</v>
      </c>
      <c r="B53" s="1819" t="s">
        <v>1811</v>
      </c>
      <c r="C53" s="1570">
        <f ca="1">ROUND(IF(F53="押一",C49/12*F11,IF(F53="押二",C49/12*2*F11,IF(F53="押三",C49/12*3*F11,C54*F11))),0)</f>
        <v>0</v>
      </c>
      <c r="D53" s="1571" t="s">
        <v>1812</v>
      </c>
      <c r="E53" s="1572" t="s">
        <v>1813</v>
      </c>
      <c r="F53" s="1573"/>
      <c r="I53" s="1765" t="s">
        <v>1923</v>
      </c>
      <c r="J53" s="1766">
        <f ca="1">IF(M47="住宅",IF(D1="——",MAX(J51,L48),MAX(J51,L48-'数据-取费表'!B24)),IF(D1="——",MIN(J51,L48),MIN(J51,L48-'数据-取费表'!B24)))</f>
        <v>0</v>
      </c>
      <c r="K53" s="1767" t="s">
        <v>1924</v>
      </c>
      <c r="L53" s="1768"/>
      <c r="O53" s="1748" t="s">
        <v>1759</v>
      </c>
      <c r="P53" s="1749" t="s">
        <v>1925</v>
      </c>
      <c r="Q53" s="1789" t="e">
        <f ca="1">Q47+Q48</f>
        <v>#DIV/0!</v>
      </c>
      <c r="R53" s="1789" t="s">
        <v>1926</v>
      </c>
    </row>
    <row r="54" s="651" customFormat="1" ht="13.5" spans="1:18">
      <c r="A54" s="1820"/>
      <c r="B54" s="1575" t="s">
        <v>1815</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1927</v>
      </c>
      <c r="P54" s="1771"/>
      <c r="Q54" s="1771"/>
      <c r="R54" s="1771"/>
    </row>
    <row r="55" s="651" customFormat="1" ht="13.5" spans="1:18">
      <c r="A55" s="1579" t="s">
        <v>1099</v>
      </c>
      <c r="B55" s="1580" t="s">
        <v>1817</v>
      </c>
      <c r="C55" s="1581"/>
      <c r="D55" s="1571"/>
      <c r="E55" s="1683"/>
      <c r="F55" s="1684"/>
      <c r="I55" s="1772" t="s">
        <v>1928</v>
      </c>
      <c r="J55" s="1773" t="e">
        <f ca="1">ROUND(IF(J47="钢混",J57/J50,1-(1-2%)*(J50-J57)/J50),3)</f>
        <v>#DIV/0!</v>
      </c>
      <c r="K55" s="1774" t="s">
        <v>1929</v>
      </c>
      <c r="L55" s="1775" t="s">
        <v>1930</v>
      </c>
      <c r="O55" s="1741" t="s">
        <v>1890</v>
      </c>
      <c r="P55" s="1742" t="s">
        <v>1891</v>
      </c>
      <c r="Q55" s="1788" t="s">
        <v>1892</v>
      </c>
      <c r="R55" s="1788" t="s">
        <v>1893</v>
      </c>
    </row>
    <row r="56" s="651" customFormat="1" ht="25.5" spans="1:18">
      <c r="A56" s="1685">
        <v>2</v>
      </c>
      <c r="B56" s="1686" t="s">
        <v>1818</v>
      </c>
      <c r="C56" s="189">
        <f ca="1">C13</f>
        <v>0</v>
      </c>
      <c r="D56" s="1687"/>
      <c r="E56" s="1688"/>
      <c r="F56" s="1684"/>
      <c r="I56" s="1776" t="s">
        <v>1931</v>
      </c>
      <c r="J56" s="1777"/>
      <c r="K56" s="713" t="s">
        <v>1932</v>
      </c>
      <c r="L56" s="1752">
        <f ca="1">IF(L48&lt;J51,"——",L48-J53)</f>
        <v>0</v>
      </c>
      <c r="O56" s="1748" t="s">
        <v>1340</v>
      </c>
      <c r="P56" s="1749" t="s">
        <v>1896</v>
      </c>
      <c r="Q56" s="1789" t="e">
        <f ca="1">C40+J29</f>
        <v>#DIV/0!</v>
      </c>
      <c r="R56" s="1789" t="s">
        <v>1897</v>
      </c>
    </row>
    <row r="57" s="651" customFormat="1" ht="24.75" spans="1:18">
      <c r="A57" s="1689"/>
      <c r="B57" s="1690" t="s">
        <v>1878</v>
      </c>
      <c r="C57" s="199">
        <f ca="1">C29</f>
        <v>0</v>
      </c>
      <c r="D57" s="1691"/>
      <c r="E57" s="1692"/>
      <c r="F57" s="1693"/>
      <c r="I57" s="1778" t="s">
        <v>1933</v>
      </c>
      <c r="J57" s="1779">
        <f ca="1">IF(OR(M47="住宅",J51&lt;L48,J56="是"),"——",J51-L48)</f>
        <v>0</v>
      </c>
      <c r="K57" s="713" t="s">
        <v>1934</v>
      </c>
      <c r="L57" s="1752">
        <f ca="1">IF(L48&lt;J51,"——",IF(L55="比较法",L49,IF(L55="基准地价",L50,L51)))</f>
        <v>0</v>
      </c>
      <c r="O57" s="1748" t="s">
        <v>1344</v>
      </c>
      <c r="P57" s="1749" t="s">
        <v>1935</v>
      </c>
      <c r="Q57" s="1789" t="e">
        <f ca="1">L60</f>
        <v>#DIV/0!</v>
      </c>
      <c r="R57" s="1789" t="s">
        <v>1936</v>
      </c>
    </row>
    <row r="58" s="651" customFormat="1" ht="24.75" spans="1:18">
      <c r="A58" s="1694" t="s">
        <v>756</v>
      </c>
      <c r="B58" s="1686" t="s">
        <v>1826</v>
      </c>
      <c r="C58" s="1570">
        <f ca="1">ROUND(C59+C64+C65+C66,0)</f>
        <v>0</v>
      </c>
      <c r="D58" s="1695" t="s">
        <v>1827</v>
      </c>
      <c r="E58" s="1696"/>
      <c r="F58" s="1663"/>
      <c r="I58" s="1778" t="s">
        <v>1937</v>
      </c>
      <c r="J58" s="1780" t="e">
        <f ca="1">IF(J55&lt;0.4,0.4,J55)</f>
        <v>#DIV/0!</v>
      </c>
      <c r="K58" s="1760" t="s">
        <v>1938</v>
      </c>
      <c r="L58" s="1752" t="e">
        <f ca="1">ROUND(POWER(1+L52,L47-L48)*(POWER(1+L52,L48)-1)/(POWER(1+L52,L47)-1),4)</f>
        <v>#DIV/0!</v>
      </c>
      <c r="O58" s="1755" t="s">
        <v>1907</v>
      </c>
      <c r="P58" s="1749" t="s">
        <v>1939</v>
      </c>
      <c r="Q58" s="1789">
        <f>IF(L55="比较法",L49,IF(L55="基准地价",L50,0))</f>
        <v>0</v>
      </c>
      <c r="R58" s="1789" t="s">
        <v>1897</v>
      </c>
    </row>
    <row r="59" s="651" customFormat="1" ht="24.75" spans="1:18">
      <c r="A59" s="1590" t="s">
        <v>1050</v>
      </c>
      <c r="B59" s="1690" t="s">
        <v>1832</v>
      </c>
      <c r="C59" s="1616">
        <f ca="1">ROUND(IF(AND(项目基本情况!B11="自然人",项目基本情况!B10="北京市"),C49*F59/(1+'数据-取费表'!C42),C60+C61+C62),0)</f>
        <v>0</v>
      </c>
      <c r="D59" s="1697" t="s">
        <v>1833</v>
      </c>
      <c r="E59" s="1698" t="s">
        <v>1834</v>
      </c>
      <c r="F59" s="1618" t="str">
        <f ca="1">IF(项目基本情况!B11="企业","——",IF('数据-取费表'!B10="住宅",IF(F49*F50*F51/12/(1+'数据-取费表'!F30)&gt;100000,4%,2.5%),IF(F49*F50*F51/12/(1+'数据-取费表'!F30)&gt;100000,12%,7%)))</f>
        <v>——</v>
      </c>
      <c r="I59" s="1778" t="s">
        <v>1940</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1911</v>
      </c>
      <c r="P59" s="1749" t="s">
        <v>1941</v>
      </c>
      <c r="Q59" s="1790">
        <f>L52</f>
        <v>0</v>
      </c>
      <c r="R59" s="1789"/>
    </row>
    <row r="60" s="651" customFormat="1" ht="17.25" spans="1:18">
      <c r="A60" s="1590" t="s">
        <v>1073</v>
      </c>
      <c r="B60" s="1690" t="s">
        <v>1836</v>
      </c>
      <c r="C60" s="1595">
        <f ca="1">IF(项目基本情况!B11="自然人","——",ROUND(C48*F60/(1+'数据-取费表'!C42),2))</f>
        <v>0</v>
      </c>
      <c r="D60" s="1698" t="s">
        <v>1837</v>
      </c>
      <c r="E60" s="1690" t="s">
        <v>1825</v>
      </c>
      <c r="F60" s="1608">
        <f t="shared" ref="F60:F66" si="0">F32</f>
        <v>0.056</v>
      </c>
      <c r="I60" s="1781" t="s">
        <v>1942</v>
      </c>
      <c r="J60" s="1782" t="e">
        <f ca="1">IF(OR(M47="住宅",J51&lt;L48,J56="是"),"0",ROUND(J59/(1+J52)^J53,0))</f>
        <v>#DIV/0!</v>
      </c>
      <c r="K60" s="1783" t="s">
        <v>1943</v>
      </c>
      <c r="L60" s="1782" t="e">
        <f ca="1">IF(OR(M47="住宅",L48&lt;J51),0,ROUND(L57*(L58/L59-1),0))</f>
        <v>#DIV/0!</v>
      </c>
      <c r="O60" s="1755" t="s">
        <v>1915</v>
      </c>
      <c r="P60" s="1749" t="s">
        <v>1944</v>
      </c>
      <c r="Q60" s="1789" t="e">
        <f ca="1">L58</f>
        <v>#DIV/0!</v>
      </c>
      <c r="R60" s="1789" t="s">
        <v>1945</v>
      </c>
    </row>
    <row r="61" s="651" customFormat="1" ht="13.5" spans="1:18">
      <c r="A61" s="1590" t="s">
        <v>1077</v>
      </c>
      <c r="B61" s="1690" t="s">
        <v>1840</v>
      </c>
      <c r="C61" s="1595">
        <f ca="1">IF(项目基本情况!B11="自然人","——",IF(D61="按租金收入计税",ROUND(C49*F61/(1+'数据-取费表'!C42),2),IF(D61="按房产原值计税",ROUND(C57*F61*0.7,2),INDIRECT("'数据-取费表'!Aj"&amp;$G$1))))</f>
        <v>0</v>
      </c>
      <c r="D61" s="1620" t="s">
        <v>1841</v>
      </c>
      <c r="E61" s="1690" t="s">
        <v>1825</v>
      </c>
      <c r="F61" s="1600">
        <f t="shared" si="0"/>
        <v>0.012</v>
      </c>
      <c r="I61" s="1636"/>
      <c r="J61" s="1636"/>
      <c r="K61" s="1636"/>
      <c r="L61" s="1636"/>
      <c r="O61" s="1755" t="s">
        <v>1919</v>
      </c>
      <c r="P61" s="1749" t="str">
        <f>K59</f>
        <v>建设期及建筑物耐用年限下的土地年期修正系数Kn</v>
      </c>
      <c r="Q61" s="1789" t="e">
        <f ca="1">L59</f>
        <v>#DIV/0!</v>
      </c>
      <c r="R61" s="1789" t="s">
        <v>1946</v>
      </c>
    </row>
    <row r="62" s="651" customFormat="1" ht="13.5" spans="1:18">
      <c r="A62" s="1590" t="s">
        <v>1080</v>
      </c>
      <c r="B62" s="1699" t="s">
        <v>1844</v>
      </c>
      <c r="C62" s="1622">
        <f ca="1">IF(项目基本情况!B11="自然人","——",ROUND(F62*F63/10000,2))</f>
        <v>0</v>
      </c>
      <c r="D62" s="1700" t="s">
        <v>1845</v>
      </c>
      <c r="E62" s="1690" t="s">
        <v>1846</v>
      </c>
      <c r="F62" s="1607">
        <f t="shared" si="0"/>
        <v>0</v>
      </c>
      <c r="I62" s="1784" t="s">
        <v>1947</v>
      </c>
      <c r="J62" s="1785" t="s">
        <v>1948</v>
      </c>
      <c r="K62" s="1785" t="s">
        <v>1949</v>
      </c>
      <c r="L62" s="1785" t="s">
        <v>1950</v>
      </c>
      <c r="M62" s="1786" t="s">
        <v>1951</v>
      </c>
      <c r="O62" s="1748" t="s">
        <v>1759</v>
      </c>
      <c r="P62" s="1749" t="s">
        <v>1925</v>
      </c>
      <c r="Q62" s="1789" t="e">
        <f ca="1">Q56+Q57</f>
        <v>#DIV/0!</v>
      </c>
      <c r="R62" s="1789" t="s">
        <v>1926</v>
      </c>
    </row>
    <row r="63" s="651" customFormat="1" ht="13.5" spans="1:18">
      <c r="A63" s="1605"/>
      <c r="B63" s="1701"/>
      <c r="C63" s="1626"/>
      <c r="D63" s="1702"/>
      <c r="E63" s="1690" t="s">
        <v>1850</v>
      </c>
      <c r="F63" s="1559">
        <f ca="1" t="shared" si="0"/>
        <v>0</v>
      </c>
      <c r="I63" s="1784" t="s">
        <v>1952</v>
      </c>
      <c r="J63" s="1785">
        <v>70</v>
      </c>
      <c r="K63" s="1785">
        <v>50</v>
      </c>
      <c r="L63" s="1785">
        <v>80</v>
      </c>
      <c r="M63" s="1787">
        <v>0.02</v>
      </c>
      <c r="O63" s="1736" t="s">
        <v>1953</v>
      </c>
      <c r="P63" s="1771"/>
      <c r="Q63" s="1771"/>
      <c r="R63" s="1771"/>
    </row>
    <row r="64" s="651" customFormat="1" ht="13.5" spans="1:18">
      <c r="A64" s="1590" t="s">
        <v>1054</v>
      </c>
      <c r="B64" s="1690" t="s">
        <v>1852</v>
      </c>
      <c r="C64" s="1595">
        <f ca="1">ROUND(C57*F64,1)</f>
        <v>0</v>
      </c>
      <c r="D64" s="1698" t="s">
        <v>1882</v>
      </c>
      <c r="E64" s="1690" t="s">
        <v>1825</v>
      </c>
      <c r="F64" s="1629">
        <f ca="1" t="shared" si="0"/>
        <v>0</v>
      </c>
      <c r="I64" s="1784" t="s">
        <v>1954</v>
      </c>
      <c r="J64" s="1785">
        <v>50</v>
      </c>
      <c r="K64" s="1785">
        <v>35</v>
      </c>
      <c r="L64" s="1785">
        <v>60</v>
      </c>
      <c r="M64" s="1786">
        <v>0</v>
      </c>
      <c r="O64" s="1741" t="s">
        <v>1890</v>
      </c>
      <c r="P64" s="1742" t="s">
        <v>1891</v>
      </c>
      <c r="Q64" s="1788" t="s">
        <v>1892</v>
      </c>
      <c r="R64" s="1788" t="s">
        <v>1893</v>
      </c>
    </row>
    <row r="65" s="651" customFormat="1" ht="13.5" spans="1:18">
      <c r="A65" s="1590" t="s">
        <v>1099</v>
      </c>
      <c r="B65" s="1690" t="s">
        <v>1856</v>
      </c>
      <c r="C65" s="1595">
        <f ca="1">ROUND(C56*F65,1)</f>
        <v>0</v>
      </c>
      <c r="D65" s="1698" t="s">
        <v>1857</v>
      </c>
      <c r="E65" s="1690" t="s">
        <v>1825</v>
      </c>
      <c r="F65" s="1630">
        <f ca="1" t="shared" si="0"/>
        <v>0</v>
      </c>
      <c r="I65" s="1784" t="s">
        <v>1955</v>
      </c>
      <c r="J65" s="1785">
        <v>40</v>
      </c>
      <c r="K65" s="1785">
        <v>30</v>
      </c>
      <c r="L65" s="1785">
        <v>50</v>
      </c>
      <c r="M65" s="1787">
        <v>0.02</v>
      </c>
      <c r="O65" s="1748" t="s">
        <v>1340</v>
      </c>
      <c r="P65" s="1749" t="s">
        <v>1896</v>
      </c>
      <c r="Q65" s="1789" t="e">
        <f ca="1">C40+J29</f>
        <v>#DIV/0!</v>
      </c>
      <c r="R65" s="1789" t="s">
        <v>1897</v>
      </c>
    </row>
    <row r="66" s="651" customFormat="1" ht="17.25" spans="1:18">
      <c r="A66" s="1590" t="s">
        <v>1102</v>
      </c>
      <c r="B66" s="1690" t="s">
        <v>1842</v>
      </c>
      <c r="C66" s="1595">
        <f ca="1">ROUND(C48*F66,1)</f>
        <v>0</v>
      </c>
      <c r="D66" s="1698" t="s">
        <v>1860</v>
      </c>
      <c r="E66" s="1690" t="s">
        <v>1825</v>
      </c>
      <c r="F66" s="1568">
        <f ca="1" t="shared" si="0"/>
        <v>0</v>
      </c>
      <c r="O66" s="1748" t="s">
        <v>1344</v>
      </c>
      <c r="P66" s="1749" t="s">
        <v>1935</v>
      </c>
      <c r="Q66" s="1789" t="e">
        <f ca="1">L60</f>
        <v>#DIV/0!</v>
      </c>
      <c r="R66" s="1789" t="s">
        <v>1936</v>
      </c>
    </row>
    <row r="67" s="651" customFormat="1" ht="17.25" spans="1:18">
      <c r="A67" s="1685" t="s">
        <v>759</v>
      </c>
      <c r="B67" s="1791" t="s">
        <v>1863</v>
      </c>
      <c r="C67" s="1570">
        <f ca="1">C48-C58</f>
        <v>0</v>
      </c>
      <c r="D67" s="1697" t="s">
        <v>1864</v>
      </c>
      <c r="E67" s="1792"/>
      <c r="F67" s="1793"/>
      <c r="O67" s="1755" t="s">
        <v>1907</v>
      </c>
      <c r="P67" s="1749" t="s">
        <v>1939</v>
      </c>
      <c r="Q67" s="1814">
        <f ca="1">L51</f>
        <v>0</v>
      </c>
      <c r="R67" s="1789" t="s">
        <v>1956</v>
      </c>
    </row>
    <row r="68" s="651" customFormat="1" ht="17.25" spans="1:18">
      <c r="A68" s="1794" t="s">
        <v>774</v>
      </c>
      <c r="B68" s="1795" t="s">
        <v>1883</v>
      </c>
      <c r="C68" s="1635" t="e">
        <f ca="1">ROUND(C67*(1-((1+F70)/(1+F68))^F69)/(F68-F70),0)</f>
        <v>#DIV/0!</v>
      </c>
      <c r="D68" s="1700" t="s">
        <v>1869</v>
      </c>
      <c r="E68" s="1690" t="s">
        <v>1870</v>
      </c>
      <c r="F68" s="1568">
        <f ca="1">F40</f>
        <v>0</v>
      </c>
      <c r="O68" s="1755" t="s">
        <v>1911</v>
      </c>
      <c r="P68" s="1813" t="s">
        <v>1957</v>
      </c>
      <c r="Q68" s="1789">
        <f ca="1">ROUND(Q69-Q70*Q71,0)</f>
        <v>0</v>
      </c>
      <c r="R68" s="1789" t="s">
        <v>1958</v>
      </c>
    </row>
    <row r="69" s="651" customFormat="1" ht="13.5" spans="1:18">
      <c r="A69" s="1796"/>
      <c r="B69" s="1797"/>
      <c r="C69" s="1566"/>
      <c r="D69" s="1798" t="s">
        <v>1873</v>
      </c>
      <c r="E69" s="1690" t="s">
        <v>1874</v>
      </c>
      <c r="F69" s="1639">
        <f ca="1">F41</f>
        <v>0</v>
      </c>
      <c r="O69" s="1755" t="s">
        <v>1959</v>
      </c>
      <c r="P69" s="1813" t="s">
        <v>1960</v>
      </c>
      <c r="Q69" s="1789">
        <f ca="1">C39</f>
        <v>0</v>
      </c>
      <c r="R69" s="1789" t="s">
        <v>1897</v>
      </c>
    </row>
    <row r="70" s="651" customFormat="1" ht="13.5" spans="1:18">
      <c r="A70" s="1799"/>
      <c r="B70" s="1800"/>
      <c r="C70" s="1587"/>
      <c r="D70" s="1702"/>
      <c r="E70" s="1690" t="s">
        <v>1877</v>
      </c>
      <c r="F70" s="1680"/>
      <c r="O70" s="1755" t="s">
        <v>1961</v>
      </c>
      <c r="P70" s="1813" t="s">
        <v>1962</v>
      </c>
      <c r="Q70" s="1789">
        <f ca="1">C13</f>
        <v>0</v>
      </c>
      <c r="R70" s="1789" t="s">
        <v>1897</v>
      </c>
    </row>
    <row r="71" s="651" customFormat="1" ht="13.5" spans="1:18">
      <c r="A71" s="1801" t="s">
        <v>784</v>
      </c>
      <c r="B71" s="1802" t="s">
        <v>1884</v>
      </c>
      <c r="C71" s="1643" t="e">
        <f ca="1">ROUND(C68*10000/F71,0)</f>
        <v>#DIV/0!</v>
      </c>
      <c r="D71" s="1803" t="s">
        <v>1885</v>
      </c>
      <c r="E71" s="1804" t="s">
        <v>1886</v>
      </c>
      <c r="F71" s="1646">
        <f ca="1">F43</f>
        <v>0</v>
      </c>
      <c r="O71" s="1755" t="s">
        <v>1963</v>
      </c>
      <c r="P71" s="1813" t="s">
        <v>1964</v>
      </c>
      <c r="Q71" s="1790">
        <f ca="1">C76</f>
        <v>0</v>
      </c>
      <c r="R71" s="1789"/>
    </row>
    <row r="72" s="651" customFormat="1" ht="13.5" spans="2:18">
      <c r="B72" s="1805"/>
      <c r="C72" s="1805"/>
      <c r="O72" s="1755" t="s">
        <v>1915</v>
      </c>
      <c r="P72" s="1749" t="s">
        <v>1941</v>
      </c>
      <c r="Q72" s="1790">
        <f>L52</f>
        <v>0</v>
      </c>
      <c r="R72" s="1789"/>
    </row>
    <row r="73" ht="17.25" spans="1:18">
      <c r="A73" s="651"/>
      <c r="B73" s="1805"/>
      <c r="C73" s="1805"/>
      <c r="D73" s="651"/>
      <c r="E73" s="651"/>
      <c r="F73" s="651"/>
      <c r="O73" s="1755" t="s">
        <v>1919</v>
      </c>
      <c r="P73" s="1749" t="s">
        <v>1944</v>
      </c>
      <c r="Q73" s="1789" t="e">
        <f ca="1">L58</f>
        <v>#DIV/0!</v>
      </c>
      <c r="R73" s="1789" t="s">
        <v>1945</v>
      </c>
    </row>
    <row r="74" ht="13.5" spans="1:18">
      <c r="A74" s="651"/>
      <c r="B74" s="234" t="s">
        <v>1965</v>
      </c>
      <c r="C74" s="1806"/>
      <c r="D74" s="651"/>
      <c r="E74" s="651"/>
      <c r="F74" s="651"/>
      <c r="O74" s="1755" t="s">
        <v>1966</v>
      </c>
      <c r="P74" s="1749" t="str">
        <f>K59</f>
        <v>建设期及建筑物耐用年限下的土地年期修正系数Kn</v>
      </c>
      <c r="Q74" s="1789" t="e">
        <f ca="1">L59</f>
        <v>#DIV/0!</v>
      </c>
      <c r="R74" s="1789" t="s">
        <v>1946</v>
      </c>
    </row>
    <row r="75" ht="13.5" spans="1:18">
      <c r="A75" s="651"/>
      <c r="B75" s="1807" t="s">
        <v>1967</v>
      </c>
      <c r="C75" s="1808">
        <f ca="1">ROUND(C13*C76,0)</f>
        <v>0</v>
      </c>
      <c r="D75" s="651"/>
      <c r="E75" s="651"/>
      <c r="F75" s="651"/>
      <c r="K75" s="1735"/>
      <c r="L75" s="651"/>
      <c r="O75" s="1748" t="s">
        <v>1759</v>
      </c>
      <c r="P75" s="1749" t="s">
        <v>1925</v>
      </c>
      <c r="Q75" s="1789" t="e">
        <f ca="1">Q65+Q66</f>
        <v>#DIV/0!</v>
      </c>
      <c r="R75" s="1789" t="s">
        <v>1926</v>
      </c>
    </row>
    <row r="76" spans="2:12">
      <c r="B76" s="456" t="s">
        <v>1968</v>
      </c>
      <c r="C76" s="1809">
        <f ca="1">INDIRECT("'数据-取费表'!j"&amp;$G$1)</f>
        <v>0</v>
      </c>
      <c r="I76" s="651"/>
      <c r="J76" s="651"/>
      <c r="K76" s="1735"/>
      <c r="L76" s="651"/>
    </row>
    <row r="77" spans="2:12">
      <c r="B77" s="1810" t="s">
        <v>1969</v>
      </c>
      <c r="C77" s="1811"/>
      <c r="I77" s="651"/>
      <c r="J77" s="651"/>
      <c r="K77" s="1735"/>
      <c r="L77" s="651"/>
    </row>
    <row r="78" spans="2:3">
      <c r="B78" s="232" t="s">
        <v>1970</v>
      </c>
      <c r="C78" s="1812"/>
    </row>
    <row r="79" spans="2:3">
      <c r="B79" s="1807" t="s">
        <v>1971</v>
      </c>
      <c r="C79" s="235" t="e">
        <f ca="1">1-C80</f>
        <v>#DIV/0!</v>
      </c>
    </row>
    <row r="80" spans="2:3">
      <c r="B80" s="1807" t="s">
        <v>1972</v>
      </c>
      <c r="C80" s="235" t="e">
        <f ca="1">ROUND(C75/C39,3)</f>
        <v>#DIV/0!</v>
      </c>
    </row>
    <row r="81" spans="2:3">
      <c r="B81" s="232" t="s">
        <v>1973</v>
      </c>
      <c r="C81" s="199"/>
    </row>
    <row r="82" spans="2:3">
      <c r="B82" s="234" t="s">
        <v>1421</v>
      </c>
      <c r="C82" s="236" t="e">
        <f ca="1">1-C83</f>
        <v>#DIV/0!</v>
      </c>
    </row>
    <row r="83" spans="2:3">
      <c r="B83" s="234" t="s">
        <v>1422</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1624</v>
      </c>
      <c r="B1" s="1063"/>
      <c r="C1" s="1527" t="s">
        <v>460</v>
      </c>
      <c r="D1" s="1528"/>
      <c r="E1" s="1529" t="s">
        <v>1625</v>
      </c>
      <c r="F1" s="1530">
        <f ca="1">J53</f>
        <v>50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1627</v>
      </c>
      <c r="B2" s="1534">
        <f ca="1">ROUND(D2/10000,0)</f>
        <v>249</v>
      </c>
      <c r="C2" s="1535" t="s">
        <v>1628</v>
      </c>
      <c r="D2" s="1536">
        <f ca="1">C40+J29+L46</f>
        <v>2485585</v>
      </c>
      <c r="E2" s="1537" t="s">
        <v>1974</v>
      </c>
      <c r="F2" s="1538"/>
      <c r="G2" s="1539"/>
      <c r="H2" s="1540"/>
      <c r="I2" s="1540"/>
      <c r="J2" s="1540"/>
      <c r="K2" s="1706"/>
      <c r="L2" s="1540"/>
      <c r="M2" s="1540"/>
    </row>
    <row r="3" ht="18" customHeight="1" spans="1:13">
      <c r="A3" s="1541" t="s">
        <v>1637</v>
      </c>
      <c r="B3" s="1542">
        <f ca="1">IF(ISERROR(D2/F43),0,ROUND(D2/F43,0))</f>
        <v>2180</v>
      </c>
      <c r="C3" s="1535" t="s">
        <v>1638</v>
      </c>
      <c r="D3" s="1535"/>
      <c r="E3" s="1537"/>
      <c r="F3" s="1538"/>
      <c r="G3" s="1539"/>
      <c r="H3" s="1543" t="s">
        <v>1796</v>
      </c>
      <c r="I3" s="1707"/>
      <c r="J3" s="1707"/>
      <c r="K3" s="1708"/>
      <c r="L3" s="1707"/>
      <c r="M3" s="1707"/>
    </row>
    <row r="4" ht="18" customHeight="1" spans="1:13">
      <c r="A4" s="1544" t="s">
        <v>1797</v>
      </c>
      <c r="B4" s="1545" t="s">
        <v>1798</v>
      </c>
      <c r="C4" s="1545" t="s">
        <v>1799</v>
      </c>
      <c r="D4" s="1545" t="s">
        <v>1800</v>
      </c>
      <c r="E4" s="1546" t="s">
        <v>1801</v>
      </c>
      <c r="F4" s="1547"/>
      <c r="G4" s="651"/>
      <c r="H4" s="1544" t="s">
        <v>1797</v>
      </c>
      <c r="I4" s="1545" t="s">
        <v>1798</v>
      </c>
      <c r="J4" s="1545" t="s">
        <v>1799</v>
      </c>
      <c r="K4" s="1545" t="s">
        <v>1800</v>
      </c>
      <c r="L4" s="1546" t="s">
        <v>1801</v>
      </c>
      <c r="M4" s="1547"/>
    </row>
    <row r="5" ht="18" customHeight="1" spans="1:13">
      <c r="A5" s="1548">
        <v>1</v>
      </c>
      <c r="B5" s="1549" t="s">
        <v>1802</v>
      </c>
      <c r="C5" s="1550">
        <f ca="1">C6+C10+C12</f>
        <v>225024</v>
      </c>
      <c r="D5" s="1551" t="s">
        <v>1803</v>
      </c>
      <c r="E5" s="1552"/>
      <c r="F5" s="1553"/>
      <c r="G5" s="651"/>
      <c r="H5" s="1548">
        <v>1</v>
      </c>
      <c r="I5" s="1549" t="s">
        <v>1802</v>
      </c>
      <c r="J5" s="1550">
        <f ca="1">J6+J10+J12</f>
        <v>0</v>
      </c>
      <c r="K5" s="1551" t="s">
        <v>1803</v>
      </c>
      <c r="L5" s="1552"/>
      <c r="M5" s="1553"/>
    </row>
    <row r="6" ht="18" customHeight="1" spans="1:13">
      <c r="A6" s="1554" t="s">
        <v>1050</v>
      </c>
      <c r="B6" s="1555" t="s">
        <v>1804</v>
      </c>
      <c r="C6" s="1556">
        <f ca="1">ROUND(F6*F8*F7*(1-F9),0)</f>
        <v>224743</v>
      </c>
      <c r="D6" s="1557" t="s">
        <v>1975</v>
      </c>
      <c r="E6" s="1558" t="s">
        <v>1806</v>
      </c>
      <c r="F6" s="1559">
        <f ca="1">INDIRECT("'数据-取费表'!u"&amp;$G$1)</f>
        <v>0.6</v>
      </c>
      <c r="G6" s="651"/>
      <c r="H6" s="1554" t="s">
        <v>1050</v>
      </c>
      <c r="I6" s="1555" t="s">
        <v>1804</v>
      </c>
      <c r="J6" s="1635">
        <f ca="1">ROUND(M6*M8*M7*(1-M9),0)</f>
        <v>0</v>
      </c>
      <c r="K6" s="1709" t="s">
        <v>1976</v>
      </c>
      <c r="L6" s="1558" t="s">
        <v>1806</v>
      </c>
      <c r="M6" s="1559">
        <f ca="1">INDIRECT("'数据-取费表'!z"&amp;$G$1)</f>
        <v>0</v>
      </c>
    </row>
    <row r="7" ht="18" customHeight="1" spans="1:13">
      <c r="A7" s="1560"/>
      <c r="B7" s="1561"/>
      <c r="C7" s="1562"/>
      <c r="D7" s="1563"/>
      <c r="E7" s="1564" t="s">
        <v>1808</v>
      </c>
      <c r="F7" s="1559">
        <f ca="1">IF(INDIRECT("'数据-取费表'!ah"&amp;$G$1)="",INDIRECT("'数据-取费表'!k"&amp;$G$1),INDIRECT("'数据-取费表'!ah"&amp;$G$1))</f>
        <v>1140.25</v>
      </c>
      <c r="G7" s="651"/>
      <c r="H7" s="1565"/>
      <c r="I7" s="1561"/>
      <c r="J7" s="1566"/>
      <c r="K7" s="1563"/>
      <c r="L7" s="1558" t="s">
        <v>1808</v>
      </c>
      <c r="M7" s="1559">
        <f ca="1">F7</f>
        <v>1140.25</v>
      </c>
    </row>
    <row r="8" ht="18" customHeight="1" spans="1:13">
      <c r="A8" s="1565"/>
      <c r="B8" s="1561"/>
      <c r="C8" s="1566"/>
      <c r="D8" s="1563"/>
      <c r="E8" s="1558" t="s">
        <v>1809</v>
      </c>
      <c r="F8" s="1559">
        <f ca="1">INDIRECT("'数据-取费表'!ai"&amp;$G$1)</f>
        <v>365</v>
      </c>
      <c r="G8" s="651"/>
      <c r="H8" s="1565"/>
      <c r="I8" s="1561"/>
      <c r="J8" s="1566"/>
      <c r="K8" s="1563"/>
      <c r="L8" s="1558" t="s">
        <v>1809</v>
      </c>
      <c r="M8" s="1559">
        <f ca="1">INDIRECT("'数据-取费表'!ai"&amp;$G$1)</f>
        <v>365</v>
      </c>
    </row>
    <row r="9" ht="18" customHeight="1" spans="1:13">
      <c r="A9" s="1565"/>
      <c r="B9" s="1567"/>
      <c r="C9" s="1566"/>
      <c r="D9" s="1563"/>
      <c r="E9" s="1558" t="s">
        <v>1810</v>
      </c>
      <c r="F9" s="1568">
        <f ca="1">INDIRECT("'数据-取费表'!w"&amp;$G$1)</f>
        <v>0.1</v>
      </c>
      <c r="G9" s="651"/>
      <c r="H9" s="1565"/>
      <c r="I9" s="1567"/>
      <c r="J9" s="1566"/>
      <c r="K9" s="1563"/>
      <c r="L9" s="1572" t="s">
        <v>1810</v>
      </c>
      <c r="M9" s="1577">
        <f ca="1">INDIRECT("'数据-取费表'!ab"&amp;$G$1)</f>
        <v>0</v>
      </c>
    </row>
    <row r="10" ht="18" customHeight="1" spans="1:13">
      <c r="A10" s="1554" t="s">
        <v>1054</v>
      </c>
      <c r="B10" s="1569" t="s">
        <v>1811</v>
      </c>
      <c r="C10" s="1570">
        <f ca="1">ROUND(IF(F10="押一",C6/12*F11,IF(F10="押二",C6/12*2*F11,IF(F10="押三",C6/12*3*F11,C11*F11))),0)</f>
        <v>281</v>
      </c>
      <c r="D10" s="1571" t="s">
        <v>1812</v>
      </c>
      <c r="E10" s="1572" t="s">
        <v>1813</v>
      </c>
      <c r="F10" s="1573" t="s">
        <v>1723</v>
      </c>
      <c r="G10" s="651"/>
      <c r="H10" s="1554" t="s">
        <v>1054</v>
      </c>
      <c r="I10" s="1569" t="s">
        <v>1811</v>
      </c>
      <c r="J10" s="1635">
        <f ca="1">ROUND(IF(M10="押一",J6/12*M11,IF(M10="押二",J6/12*2*M11,IF(M10="押三",J6/12*3*M11,J11*M11))),0)</f>
        <v>0</v>
      </c>
      <c r="K10" s="1710" t="s">
        <v>1977</v>
      </c>
      <c r="L10" s="1572" t="s">
        <v>1813</v>
      </c>
      <c r="M10" s="1573"/>
    </row>
    <row r="11" ht="18" customHeight="1" spans="1:13">
      <c r="A11" s="1574"/>
      <c r="B11" s="1575" t="s">
        <v>1978</v>
      </c>
      <c r="C11" s="1576"/>
      <c r="D11" s="1563"/>
      <c r="E11" s="1572" t="s">
        <v>1816</v>
      </c>
      <c r="F11" s="1577">
        <f ca="1">'数据-取费表'!B39</f>
        <v>0.015</v>
      </c>
      <c r="G11" s="651"/>
      <c r="H11" s="1578"/>
      <c r="I11" s="1575" t="s">
        <v>1979</v>
      </c>
      <c r="J11" s="1576"/>
      <c r="K11" s="1711"/>
      <c r="L11" s="1572" t="s">
        <v>1816</v>
      </c>
      <c r="M11" s="1712">
        <f ca="1">'数据-取费表'!B39</f>
        <v>0.015</v>
      </c>
    </row>
    <row r="12" ht="18" customHeight="1" spans="1:13">
      <c r="A12" s="1579" t="s">
        <v>1099</v>
      </c>
      <c r="B12" s="1580" t="s">
        <v>1817</v>
      </c>
      <c r="C12" s="1581"/>
      <c r="D12" s="1582"/>
      <c r="E12" s="1583"/>
      <c r="F12" s="1584"/>
      <c r="G12" s="651"/>
      <c r="H12" s="1579" t="s">
        <v>1099</v>
      </c>
      <c r="I12" s="1580" t="s">
        <v>1817</v>
      </c>
      <c r="J12" s="1581"/>
      <c r="K12" s="1713"/>
      <c r="L12" s="1583"/>
      <c r="M12" s="1714"/>
    </row>
    <row r="13" ht="18" customHeight="1" spans="1:13">
      <c r="A13" s="1585">
        <v>2</v>
      </c>
      <c r="B13" s="1586" t="s">
        <v>1818</v>
      </c>
      <c r="C13" s="1587">
        <f ca="1">ROUND(C29*F13,0)</f>
        <v>4381978</v>
      </c>
      <c r="D13" s="1588" t="s">
        <v>1819</v>
      </c>
      <c r="E13" s="1588" t="s">
        <v>1820</v>
      </c>
      <c r="F13" s="1589">
        <f ca="1">INDIRECT("'数据-取费表'!y"&amp;$G$1)</f>
        <v>0.95</v>
      </c>
      <c r="G13" s="651"/>
      <c r="H13" s="1585">
        <v>2</v>
      </c>
      <c r="I13" s="1586" t="s">
        <v>1818</v>
      </c>
      <c r="J13" s="1715">
        <f ca="1">ROUND(J14*J15,0)</f>
        <v>0</v>
      </c>
      <c r="K13" s="1613" t="s">
        <v>1819</v>
      </c>
      <c r="L13" s="1716"/>
      <c r="M13" s="1717"/>
    </row>
    <row r="14" ht="18" customHeight="1" spans="1:13">
      <c r="A14" s="1590" t="s">
        <v>1073</v>
      </c>
      <c r="B14" s="1558" t="s">
        <v>1821</v>
      </c>
      <c r="C14" s="1591">
        <f ca="1">ROUND(INDIRECT("'数据-取费表'!l"&amp;$G$1)*F43+'数据-取费表'!L14*INDIRECT("'数据-取费表'!S"&amp;$G$1),0)</f>
        <v>3420750</v>
      </c>
      <c r="D14" s="1592" t="s">
        <v>1822</v>
      </c>
      <c r="E14" s="1593"/>
      <c r="F14" s="1594"/>
      <c r="G14" s="651"/>
      <c r="H14" s="1590" t="s">
        <v>1050</v>
      </c>
      <c r="I14" s="1558" t="s">
        <v>1823</v>
      </c>
      <c r="J14" s="1595">
        <f ca="1">C29</f>
        <v>4612608</v>
      </c>
      <c r="K14" s="1718"/>
      <c r="L14" s="1719"/>
      <c r="M14" s="1720"/>
    </row>
    <row r="15" s="1523" customFormat="1" ht="18" customHeight="1" spans="1:37">
      <c r="A15" s="1590" t="s">
        <v>1077</v>
      </c>
      <c r="B15" s="1558" t="s">
        <v>1757</v>
      </c>
      <c r="C15" s="1595">
        <f ca="1">ROUND(C14*F15,0)</f>
        <v>102623</v>
      </c>
      <c r="D15" s="1596" t="s">
        <v>1824</v>
      </c>
      <c r="E15" s="1596" t="s">
        <v>1825</v>
      </c>
      <c r="F15" s="1597">
        <f>'数据-取费表'!B33</f>
        <v>0.03</v>
      </c>
      <c r="G15" s="1598"/>
      <c r="H15" s="1599" t="s">
        <v>1054</v>
      </c>
      <c r="I15" s="1583" t="s">
        <v>1820</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1080</v>
      </c>
      <c r="B16" s="1558" t="s">
        <v>1760</v>
      </c>
      <c r="C16" s="1595">
        <f ca="1">ROUND(INDIRECT("'数据-取费表'!l"&amp;$G$1)*F43*F16,0)</f>
        <v>0</v>
      </c>
      <c r="D16" s="1558" t="s">
        <v>1824</v>
      </c>
      <c r="E16" s="1558" t="s">
        <v>1825</v>
      </c>
      <c r="F16" s="1600">
        <f ca="1">IF(INDIRECT("'数据-取费表'!c"&amp;$G$1)="住宅",'数据-取费表'!B34,0)</f>
        <v>0</v>
      </c>
      <c r="G16" s="651"/>
      <c r="H16" s="1585" t="s">
        <v>756</v>
      </c>
      <c r="I16" s="1586" t="s">
        <v>1826</v>
      </c>
      <c r="J16" s="1587">
        <f ca="1">ROUND(J17+J22+J23+J24,0)</f>
        <v>84872</v>
      </c>
      <c r="K16" s="1613" t="s">
        <v>1827</v>
      </c>
      <c r="L16" s="1614"/>
      <c r="M16" s="1553"/>
    </row>
    <row r="17" s="1523" customFormat="1" ht="18" customHeight="1" spans="1:37">
      <c r="A17" s="1590" t="s">
        <v>1828</v>
      </c>
      <c r="B17" s="1558" t="s">
        <v>1829</v>
      </c>
      <c r="C17" s="1595">
        <f ca="1">ROUND(F17*(F43+INDIRECT("'数据-取费表'!S"&amp;$G$1)),0)</f>
        <v>228050</v>
      </c>
      <c r="D17" s="1558" t="s">
        <v>1830</v>
      </c>
      <c r="E17" s="1558" t="s">
        <v>1831</v>
      </c>
      <c r="F17" s="1601">
        <f>'数据-取费表'!B35</f>
        <v>200</v>
      </c>
      <c r="G17" s="1598"/>
      <c r="H17" s="1590" t="s">
        <v>1050</v>
      </c>
      <c r="I17" s="1558" t="s">
        <v>1832</v>
      </c>
      <c r="J17" s="1616">
        <f ca="1">ROUND(IF(AND(项目基本情况!B11="自然人",项目基本情况!B10="北京市"),J6*M17/(1+'数据-取费表'!C42),J18+J19+J20),0)</f>
        <v>38746</v>
      </c>
      <c r="K17" s="1592" t="s">
        <v>1833</v>
      </c>
      <c r="L17" s="1617" t="s">
        <v>1834</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1835</v>
      </c>
      <c r="B18" s="1558" t="s">
        <v>1766</v>
      </c>
      <c r="C18" s="1595">
        <f ca="1">ROUND(C14*F18,0)</f>
        <v>51311</v>
      </c>
      <c r="D18" s="1558" t="s">
        <v>1824</v>
      </c>
      <c r="E18" s="1558" t="s">
        <v>1825</v>
      </c>
      <c r="F18" s="1600">
        <f>'数据-取费表'!B36</f>
        <v>0.015</v>
      </c>
      <c r="G18" s="1598"/>
      <c r="H18" s="1590" t="s">
        <v>1073</v>
      </c>
      <c r="I18" s="1558" t="s">
        <v>1836</v>
      </c>
      <c r="J18" s="1595">
        <f ca="1">ROUND(J6*M18/(1+'数据-取费表'!C42),0)</f>
        <v>0</v>
      </c>
      <c r="K18" s="1617" t="s">
        <v>1837</v>
      </c>
      <c r="L18" s="1558" t="s">
        <v>1825</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1050</v>
      </c>
      <c r="B19" s="1558" t="s">
        <v>1838</v>
      </c>
      <c r="C19" s="1595">
        <f ca="1">SUM(C14:C18)</f>
        <v>3802734</v>
      </c>
      <c r="D19" s="1602" t="s">
        <v>1839</v>
      </c>
      <c r="E19" s="1603"/>
      <c r="F19" s="1601"/>
      <c r="G19" s="651"/>
      <c r="H19" s="1590" t="s">
        <v>1077</v>
      </c>
      <c r="I19" s="1558" t="s">
        <v>1840</v>
      </c>
      <c r="J19" s="1595">
        <f ca="1">IF(K19="按租金收入计税",ROUND(J6*M19/(1+'数据-取费表'!C42),0),ROUND(C29*M19*0.7,0))</f>
        <v>38746</v>
      </c>
      <c r="K19" s="1620" t="s">
        <v>1841</v>
      </c>
      <c r="L19" s="1558" t="s">
        <v>1825</v>
      </c>
      <c r="M19" s="1600">
        <f>IF(K19="按租金收入计税",'数据-取费表'!B51,'数据-取费表'!B50)</f>
        <v>0.012</v>
      </c>
    </row>
    <row r="20" s="1523" customFormat="1" ht="18" customHeight="1" spans="1:37">
      <c r="A20" s="1590" t="s">
        <v>1054</v>
      </c>
      <c r="B20" s="1558" t="s">
        <v>1842</v>
      </c>
      <c r="C20" s="1595">
        <f ca="1">ROUND(C19*F20,0)</f>
        <v>38027</v>
      </c>
      <c r="D20" s="1604" t="s">
        <v>1843</v>
      </c>
      <c r="E20" s="1558" t="s">
        <v>1825</v>
      </c>
      <c r="F20" s="1600">
        <f>'数据-取费表'!B37</f>
        <v>0.01</v>
      </c>
      <c r="G20" s="1598"/>
      <c r="H20" s="1590" t="s">
        <v>1080</v>
      </c>
      <c r="I20" s="1557" t="s">
        <v>1844</v>
      </c>
      <c r="J20" s="1622">
        <f ca="1">ROUND(M20*M21,0)</f>
        <v>0</v>
      </c>
      <c r="K20" s="1623" t="s">
        <v>1845</v>
      </c>
      <c r="L20" s="1558" t="s">
        <v>1846</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1099</v>
      </c>
      <c r="B21" s="1558" t="s">
        <v>1847</v>
      </c>
      <c r="C21" s="1595" t="s">
        <v>124</v>
      </c>
      <c r="D21" s="1604" t="s">
        <v>1848</v>
      </c>
      <c r="E21" s="1558" t="s">
        <v>1849</v>
      </c>
      <c r="F21" s="1600">
        <f>'数据-取费表'!B38</f>
        <v>0.01</v>
      </c>
      <c r="G21" s="1598"/>
      <c r="H21" s="1605"/>
      <c r="I21" s="1724"/>
      <c r="J21" s="1626"/>
      <c r="K21" s="1627"/>
      <c r="L21" s="1558" t="s">
        <v>1850</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1102</v>
      </c>
      <c r="B22" s="1558" t="s">
        <v>1851</v>
      </c>
      <c r="C22" s="1595"/>
      <c r="D22" s="1602" t="str">
        <f>IF(F23&lt;=1,"单利计息。","复利计息。")&amp;"建造成本、管理费用、销售费用产生的利息。"</f>
        <v>复利计息。建造成本、管理费用、销售费用产生的利息。</v>
      </c>
      <c r="E22" s="1603"/>
      <c r="F22" s="1601"/>
      <c r="G22" s="651"/>
      <c r="H22" s="1590" t="s">
        <v>1054</v>
      </c>
      <c r="I22" s="1558" t="s">
        <v>1852</v>
      </c>
      <c r="J22" s="1595">
        <f ca="1">ROUND(J14*M22,0)</f>
        <v>46126</v>
      </c>
      <c r="K22" s="1617" t="s">
        <v>1853</v>
      </c>
      <c r="L22" s="1558" t="s">
        <v>1825</v>
      </c>
      <c r="M22" s="1629">
        <f ca="1">INDIRECT("'数据-取费表'!Ak"&amp;$G$1)</f>
        <v>0.01</v>
      </c>
    </row>
    <row r="23" s="1523" customFormat="1" ht="18" customHeight="1" spans="1:37">
      <c r="A23" s="1590" t="s">
        <v>1073</v>
      </c>
      <c r="B23" s="1558" t="s">
        <v>1854</v>
      </c>
      <c r="C23" s="1595">
        <f ca="1">IF('数据-取费表'!B22&lt;=1,ROUND(C19*F24*F23/2,0)+ROUND(C20*F24*F23/2,0),ROUND(C19*(POWER((1+F24),F23/2)-1),0)+ROUND(C20*(POWER((1+F24),F23/2)-1),0))</f>
        <v>167073</v>
      </c>
      <c r="D23" s="1606" t="str">
        <f>IF(F23&lt;=1,"(建造成本+管理费用)×利率×(建设周期÷2)","(建造成本+管理费用)×((1+利率)^(建设周期÷2)-1)")</f>
        <v>(建造成本+管理费用)×((1+利率)^(建设周期÷2)-1)</v>
      </c>
      <c r="E23" s="1558" t="s">
        <v>1855</v>
      </c>
      <c r="F23" s="1607">
        <f>'数据-取费表'!B20</f>
        <v>2</v>
      </c>
      <c r="G23" s="1598"/>
      <c r="H23" s="1590" t="s">
        <v>1099</v>
      </c>
      <c r="I23" s="1558" t="s">
        <v>1856</v>
      </c>
      <c r="J23" s="1595">
        <f ca="1">ROUND(J13*M23,0)</f>
        <v>0</v>
      </c>
      <c r="K23" s="1617" t="s">
        <v>1857</v>
      </c>
      <c r="L23" s="1558" t="s">
        <v>1825</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1077</v>
      </c>
      <c r="B24" s="1558" t="s">
        <v>1858</v>
      </c>
      <c r="C24" s="1595">
        <f ca="1">ROUND(IF('数据-取费表'!B22&lt;=1,F21*F24*F23/2,F21*(POWER((1+F24),F23/2)-1)),4)</f>
        <v>0.0004</v>
      </c>
      <c r="D24" s="1606" t="str">
        <f>IF(F23&lt;=1,"销售费用×利率×(建设周期÷2)","销售费用×((1+利率)^(建设周期÷2)-1)")</f>
        <v>销售费用×((1+利率)^(建设周期÷2)-1)</v>
      </c>
      <c r="E24" s="1558" t="s">
        <v>1859</v>
      </c>
      <c r="F24" s="1608">
        <f ca="1">'数据-取费表'!B40</f>
        <v>0.0435</v>
      </c>
      <c r="G24" s="1598"/>
      <c r="H24" s="1599" t="s">
        <v>1102</v>
      </c>
      <c r="I24" s="1583" t="s">
        <v>1842</v>
      </c>
      <c r="J24" s="1609">
        <f ca="1">ROUND(J5*M24,0)</f>
        <v>0</v>
      </c>
      <c r="K24" s="1610" t="s">
        <v>1860</v>
      </c>
      <c r="L24" s="1583" t="s">
        <v>1825</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1106</v>
      </c>
      <c r="B25" s="1558" t="s">
        <v>1861</v>
      </c>
      <c r="C25" s="1595"/>
      <c r="D25" s="1602" t="s">
        <v>1862</v>
      </c>
      <c r="E25" s="1603"/>
      <c r="F25" s="1601"/>
      <c r="G25" s="651"/>
      <c r="H25" s="1585" t="s">
        <v>759</v>
      </c>
      <c r="I25" s="1631" t="s">
        <v>1863</v>
      </c>
      <c r="J25" s="1587">
        <f ca="1">J5-J16</f>
        <v>-84872</v>
      </c>
      <c r="K25" s="1632" t="s">
        <v>1864</v>
      </c>
      <c r="L25" s="1633"/>
      <c r="M25" s="1634"/>
    </row>
    <row r="26" ht="18" customHeight="1" spans="1:13">
      <c r="A26" s="1590" t="s">
        <v>1073</v>
      </c>
      <c r="B26" s="1558" t="s">
        <v>1865</v>
      </c>
      <c r="C26" s="1595">
        <f ca="1">ROUND((C19+C20)*F26,0)</f>
        <v>307261</v>
      </c>
      <c r="D26" s="1604" t="s">
        <v>1866</v>
      </c>
      <c r="E26" s="1572" t="s">
        <v>1867</v>
      </c>
      <c r="F26" s="1568">
        <f ca="1">INDIRECT("'数据-取费表'!q"&amp;$G$1)</f>
        <v>0.08</v>
      </c>
      <c r="G26" s="651"/>
      <c r="H26" s="1548" t="s">
        <v>774</v>
      </c>
      <c r="I26" s="1549" t="s">
        <v>1868</v>
      </c>
      <c r="J26" s="1635">
        <f ca="1">IF(J5&lt;&gt;0,ROUND(J25*(1-((1+M28)/(1+M26))^M27)/(M26-M28),0),0)</f>
        <v>0</v>
      </c>
      <c r="K26" s="1623" t="s">
        <v>1869</v>
      </c>
      <c r="L26" s="1558" t="s">
        <v>1870</v>
      </c>
      <c r="M26" s="1568">
        <f ca="1">INDIRECT("'数据-取费表'!I"&amp;$G$1)</f>
        <v>0.055</v>
      </c>
    </row>
    <row r="27" ht="18" customHeight="1" spans="1:13">
      <c r="A27" s="1590" t="s">
        <v>1077</v>
      </c>
      <c r="B27" s="1558" t="s">
        <v>1871</v>
      </c>
      <c r="C27" s="1595">
        <f ca="1">ROUND(F21*F26,4)</f>
        <v>0.0008</v>
      </c>
      <c r="D27" s="1604" t="s">
        <v>1872</v>
      </c>
      <c r="E27" s="1596"/>
      <c r="F27" s="1597"/>
      <c r="G27" s="651"/>
      <c r="H27" s="1565"/>
      <c r="I27" s="1637"/>
      <c r="J27" s="1566"/>
      <c r="K27" s="1638" t="s">
        <v>1873</v>
      </c>
      <c r="L27" s="1558" t="s">
        <v>1874</v>
      </c>
      <c r="M27" s="1639">
        <f ca="1">INDIRECT("'数据-取费表'!ag"&amp;$G$1)</f>
        <v>0</v>
      </c>
    </row>
    <row r="28" s="1523" customFormat="1" ht="18" customHeight="1" spans="1:37">
      <c r="A28" s="1590" t="s">
        <v>1107</v>
      </c>
      <c r="B28" s="1558" t="s">
        <v>1875</v>
      </c>
      <c r="C28" s="1595">
        <f>ROUND(F28/(1+'数据-取费表'!C42),4)</f>
        <v>0.0533</v>
      </c>
      <c r="D28" s="1604" t="s">
        <v>1876</v>
      </c>
      <c r="E28" s="1558" t="s">
        <v>1825</v>
      </c>
      <c r="F28" s="1600">
        <f>'数据-取费表'!B41</f>
        <v>0.056</v>
      </c>
      <c r="G28" s="1598"/>
      <c r="H28" s="1574"/>
      <c r="I28" s="1641"/>
      <c r="J28" s="1587"/>
      <c r="K28" s="1627"/>
      <c r="L28" s="1558" t="s">
        <v>1877</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1791</v>
      </c>
      <c r="B29" s="1583" t="s">
        <v>1878</v>
      </c>
      <c r="C29" s="1609">
        <f ca="1">ROUND((C19+C20+C23+C26)/(1-F21-C24-C27-C28),0)</f>
        <v>4612608</v>
      </c>
      <c r="D29" s="1610"/>
      <c r="E29" s="1583"/>
      <c r="F29" s="1611"/>
      <c r="G29" s="1598"/>
      <c r="H29" s="1612" t="s">
        <v>784</v>
      </c>
      <c r="I29" s="1642" t="s">
        <v>1879</v>
      </c>
      <c r="J29" s="1643">
        <f ca="1">ROUND(J26/(1+F40)^F41,0)</f>
        <v>0</v>
      </c>
      <c r="K29" s="1644" t="s">
        <v>1880</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756</v>
      </c>
      <c r="B30" s="1586" t="s">
        <v>1826</v>
      </c>
      <c r="C30" s="1587">
        <f ca="1">ROUND(C31+C36+C37+C38,0)</f>
        <v>90429</v>
      </c>
      <c r="D30" s="1613" t="s">
        <v>1827</v>
      </c>
      <c r="E30" s="1614"/>
      <c r="F30" s="1553"/>
      <c r="G30" s="651"/>
      <c r="H30" s="1615"/>
      <c r="I30" s="1725"/>
      <c r="J30" s="1726"/>
      <c r="K30" s="1727"/>
      <c r="L30" s="1728"/>
      <c r="M30" s="1729"/>
    </row>
    <row r="31" ht="18" customHeight="1" spans="1:13">
      <c r="A31" s="1590" t="s">
        <v>1050</v>
      </c>
      <c r="B31" s="1558" t="s">
        <v>1832</v>
      </c>
      <c r="C31" s="1616">
        <f ca="1">ROUND(IF(AND(项目基本情况!B11="自然人",项目基本情况!B10="北京市"),C6*F31/(1+'数据-取费表'!C42),C32+C33+C34),0)</f>
        <v>37671</v>
      </c>
      <c r="D31" s="1592" t="s">
        <v>1833</v>
      </c>
      <c r="E31" s="1617" t="s">
        <v>1834</v>
      </c>
      <c r="F31" s="1618" t="str">
        <f ca="1">IF(项目基本情况!B11="企业","——",IF('数据-取费表'!B10="住宅",IF(F6*F7*F8/12/(1+'数据-取费表'!F30)&gt;100000,4%,2.5%),IF(F6*F7*F8/12/(1+'数据-取费表'!F30)&gt;100000,12%,7%)))</f>
        <v>——</v>
      </c>
      <c r="G31" s="651"/>
      <c r="H31" s="1619" t="s">
        <v>1881</v>
      </c>
      <c r="I31" s="1725"/>
      <c r="J31" s="1726"/>
      <c r="K31" s="1727"/>
      <c r="L31" s="1728"/>
      <c r="M31" s="1729"/>
    </row>
    <row r="32" ht="18" customHeight="1" spans="1:13">
      <c r="A32" s="1590" t="s">
        <v>1073</v>
      </c>
      <c r="B32" s="1558" t="s">
        <v>1836</v>
      </c>
      <c r="C32" s="1595">
        <f ca="1">IF(项目基本情况!B11="自然人","——",ROUND(C6*F32/(1+'数据-取费表'!C42),0))</f>
        <v>11986</v>
      </c>
      <c r="D32" s="1617" t="s">
        <v>1837</v>
      </c>
      <c r="E32" s="1558" t="s">
        <v>1825</v>
      </c>
      <c r="F32" s="1608">
        <f>'数据-取费表'!B41</f>
        <v>0.056</v>
      </c>
      <c r="G32" s="651"/>
      <c r="H32" s="1615"/>
      <c r="I32" s="1725"/>
      <c r="J32" s="1726"/>
      <c r="K32" s="1727"/>
      <c r="L32" s="1728"/>
      <c r="M32" s="1729"/>
    </row>
    <row r="33" ht="18" customHeight="1" spans="1:13">
      <c r="A33" s="1590" t="s">
        <v>1077</v>
      </c>
      <c r="B33" s="1558" t="s">
        <v>1840</v>
      </c>
      <c r="C33" s="1595">
        <f ca="1">IF(项目基本情况!B11="自然人","——",IF(D33="按租金收入计税",ROUND(C6*F33/(1+'数据-取费表'!C42),0),IF(D33="按房产原值计税",ROUND(C29*F33*0.7,0),INDIRECT("'数据-取费表'!Aj"&amp;$G$1))))</f>
        <v>25685</v>
      </c>
      <c r="D33" s="1620" t="s">
        <v>1980</v>
      </c>
      <c r="E33" s="1558" t="s">
        <v>1825</v>
      </c>
      <c r="F33" s="1600">
        <f>IF(D33="按票据","——",IF(D33="按租金收入计税",'数据-取费表'!B51,'数据-取费表'!B50))</f>
        <v>0.12</v>
      </c>
      <c r="G33" s="651"/>
      <c r="H33" s="1621"/>
      <c r="I33" s="1725"/>
      <c r="J33" s="1726"/>
      <c r="K33" s="1730"/>
      <c r="L33" s="1621"/>
      <c r="M33" s="1621"/>
    </row>
    <row r="34" ht="18" customHeight="1" spans="1:13">
      <c r="A34" s="1554" t="s">
        <v>1080</v>
      </c>
      <c r="B34" s="1557" t="s">
        <v>1844</v>
      </c>
      <c r="C34" s="1622">
        <f ca="1">IF(项目基本情况!B11="自然人","——",ROUND(F34*F35,))</f>
        <v>0</v>
      </c>
      <c r="D34" s="1623" t="s">
        <v>1845</v>
      </c>
      <c r="E34" s="1558" t="s">
        <v>1846</v>
      </c>
      <c r="F34" s="1607">
        <f>'数据-取费表'!B52</f>
        <v>0</v>
      </c>
      <c r="G34" s="651"/>
      <c r="H34" s="1615"/>
      <c r="I34" s="1725"/>
      <c r="J34" s="1726"/>
      <c r="K34" s="1731"/>
      <c r="L34" s="1732"/>
      <c r="M34" s="1732"/>
    </row>
    <row r="35" ht="18" customHeight="1" spans="1:13">
      <c r="A35" s="1624"/>
      <c r="B35" s="1625"/>
      <c r="C35" s="1626"/>
      <c r="D35" s="1627"/>
      <c r="E35" s="1558" t="s">
        <v>1850</v>
      </c>
      <c r="F35" s="1559">
        <f ca="1">INDIRECT("'数据-取费表'!r"&amp;$G$1)</f>
        <v>0</v>
      </c>
      <c r="G35" s="651"/>
      <c r="H35" s="1615"/>
      <c r="I35" s="1725"/>
      <c r="J35" s="1726"/>
      <c r="K35" s="1730"/>
      <c r="L35" s="1621"/>
      <c r="M35" s="1621"/>
    </row>
    <row r="36" ht="18" customHeight="1" spans="1:13">
      <c r="A36" s="1628" t="s">
        <v>1054</v>
      </c>
      <c r="B36" s="1558" t="s">
        <v>1852</v>
      </c>
      <c r="C36" s="1595">
        <f ca="1">ROUND(C29*F36,0)</f>
        <v>46126</v>
      </c>
      <c r="D36" s="1617" t="s">
        <v>1882</v>
      </c>
      <c r="E36" s="1558" t="s">
        <v>1825</v>
      </c>
      <c r="F36" s="1629">
        <f ca="1">INDIRECT("'数据-取费表'!Ak"&amp;$G$1)</f>
        <v>0.01</v>
      </c>
      <c r="G36" s="651"/>
      <c r="H36" s="1621"/>
      <c r="I36" s="1725"/>
      <c r="J36" s="1726"/>
      <c r="K36" s="1733"/>
      <c r="L36" s="1621"/>
      <c r="M36" s="1621"/>
    </row>
    <row r="37" ht="18" customHeight="1" spans="1:13">
      <c r="A37" s="1590" t="s">
        <v>1099</v>
      </c>
      <c r="B37" s="1558" t="s">
        <v>1856</v>
      </c>
      <c r="C37" s="1595">
        <f ca="1">ROUND(C13*F37,0)</f>
        <v>4382</v>
      </c>
      <c r="D37" s="1617" t="s">
        <v>1857</v>
      </c>
      <c r="E37" s="1558" t="s">
        <v>1825</v>
      </c>
      <c r="F37" s="1630">
        <f ca="1">INDIRECT("'数据-取费表'!Al"&amp;$G$1)</f>
        <v>0.001</v>
      </c>
      <c r="G37" s="651"/>
      <c r="H37" s="1621"/>
      <c r="I37" s="1725"/>
      <c r="J37" s="1726"/>
      <c r="K37" s="1733"/>
      <c r="L37" s="1621"/>
      <c r="M37" s="1621"/>
    </row>
    <row r="38" ht="18" customHeight="1" spans="1:13">
      <c r="A38" s="1599" t="s">
        <v>1102</v>
      </c>
      <c r="B38" s="1583" t="s">
        <v>1842</v>
      </c>
      <c r="C38" s="1609">
        <f ca="1">ROUND(C5*F38,1)</f>
        <v>2250.2</v>
      </c>
      <c r="D38" s="1610" t="s">
        <v>1860</v>
      </c>
      <c r="E38" s="1583" t="s">
        <v>1825</v>
      </c>
      <c r="F38" s="1584">
        <f ca="1">INDIRECT("'数据-取费表'!Am"&amp;$G$1)</f>
        <v>0.01</v>
      </c>
      <c r="G38" s="651"/>
      <c r="H38" s="1621"/>
      <c r="I38" s="1725"/>
      <c r="J38" s="1726"/>
      <c r="K38" s="1734"/>
      <c r="L38" s="1621"/>
      <c r="M38" s="1621"/>
    </row>
    <row r="39" ht="24.6" customHeight="1" spans="1:13">
      <c r="A39" s="1585" t="s">
        <v>759</v>
      </c>
      <c r="B39" s="1631" t="s">
        <v>1863</v>
      </c>
      <c r="C39" s="1587">
        <f ca="1">C5-C30</f>
        <v>134595</v>
      </c>
      <c r="D39" s="1632" t="s">
        <v>1864</v>
      </c>
      <c r="E39" s="1633"/>
      <c r="F39" s="1634"/>
      <c r="G39" s="651"/>
      <c r="H39" s="1621"/>
      <c r="I39" s="1725"/>
      <c r="J39" s="1726"/>
      <c r="K39" s="1734"/>
      <c r="L39" s="1621"/>
      <c r="M39" s="1621"/>
    </row>
    <row r="40" ht="18" customHeight="1" spans="1:13">
      <c r="A40" s="1548" t="s">
        <v>774</v>
      </c>
      <c r="B40" s="1549" t="s">
        <v>1883</v>
      </c>
      <c r="C40" s="1635">
        <f ca="1">ROUND(C39*(1-((1+F42)/(1+F40))^F41)/(F40-F42),0)</f>
        <v>2454359</v>
      </c>
      <c r="D40" s="1623" t="s">
        <v>1869</v>
      </c>
      <c r="E40" s="1558" t="s">
        <v>1870</v>
      </c>
      <c r="F40" s="1568">
        <f ca="1">INDIRECT("'数据-取费表'!I"&amp;$G$1)</f>
        <v>0.055</v>
      </c>
      <c r="G40" s="651"/>
      <c r="H40" s="1636"/>
      <c r="I40" s="1725"/>
      <c r="J40" s="1726"/>
      <c r="K40" s="1734"/>
      <c r="L40" s="1636"/>
      <c r="M40" s="1636"/>
    </row>
    <row r="41" ht="18" customHeight="1" spans="1:13">
      <c r="A41" s="1565"/>
      <c r="B41" s="1637"/>
      <c r="C41" s="1566"/>
      <c r="D41" s="1638" t="s">
        <v>1873</v>
      </c>
      <c r="E41" s="1558" t="s">
        <v>1874</v>
      </c>
      <c r="F41" s="1639">
        <f ca="1">IF(INDIRECT("'数据-取费表'!af"&amp;$G$1)=0,INDIRECT("'数据-取费表'!ae"&amp;$G$1),INDIRECT("'数据-取费表'!af"&amp;$G$1))</f>
        <v>50</v>
      </c>
      <c r="G41" s="651"/>
      <c r="H41" s="1640"/>
      <c r="I41" s="1725"/>
      <c r="J41" s="1726"/>
      <c r="K41" s="1733"/>
      <c r="L41" s="1640"/>
      <c r="M41" s="1640"/>
    </row>
    <row r="42" ht="18" customHeight="1" spans="1:13">
      <c r="A42" s="1574"/>
      <c r="B42" s="1641"/>
      <c r="C42" s="1587"/>
      <c r="D42" s="1627"/>
      <c r="E42" s="1558" t="s">
        <v>1877</v>
      </c>
      <c r="F42" s="1568">
        <f ca="1">INDIRECT("'数据-取费表'!v"&amp;$G$1)</f>
        <v>0.005</v>
      </c>
      <c r="G42" s="651"/>
      <c r="H42" s="1640"/>
      <c r="I42" s="1725"/>
      <c r="J42" s="1726"/>
      <c r="K42" s="1733"/>
      <c r="L42" s="1640"/>
      <c r="M42" s="1640"/>
    </row>
    <row r="43" ht="18" customHeight="1" spans="1:13">
      <c r="A43" s="1612" t="s">
        <v>784</v>
      </c>
      <c r="B43" s="1642" t="s">
        <v>1884</v>
      </c>
      <c r="C43" s="1643">
        <f ca="1">ROUND(C40/F43,0)</f>
        <v>2152</v>
      </c>
      <c r="D43" s="1644" t="s">
        <v>1885</v>
      </c>
      <c r="E43" s="1645" t="s">
        <v>1886</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-10440749</v>
      </c>
      <c r="D45" s="1650" t="s">
        <v>1981</v>
      </c>
      <c r="E45" s="1647"/>
      <c r="F45" s="1647"/>
      <c r="O45" s="1736" t="s">
        <v>1887</v>
      </c>
      <c r="P45" s="1636"/>
      <c r="Q45" s="1636"/>
      <c r="R45" s="1636"/>
    </row>
    <row r="46" s="651" customFormat="1" ht="13.5" spans="1:18">
      <c r="A46" s="1651" t="s">
        <v>1888</v>
      </c>
      <c r="C46" s="1652">
        <f ca="1">ROUND(C45/10000,0)</f>
        <v>-1044</v>
      </c>
      <c r="D46" s="1653" t="str">
        <f>C2</f>
        <v>万元</v>
      </c>
      <c r="I46" s="1737" t="s">
        <v>1889</v>
      </c>
      <c r="J46" s="1738"/>
      <c r="K46" s="1739"/>
      <c r="L46" s="1740">
        <f ca="1">IF(M47="住宅",0,IF(L48&gt;J51,L60,J60))</f>
        <v>31226</v>
      </c>
      <c r="O46" s="1741" t="s">
        <v>1890</v>
      </c>
      <c r="P46" s="1742" t="s">
        <v>1891</v>
      </c>
      <c r="Q46" s="1788" t="s">
        <v>1892</v>
      </c>
      <c r="R46" s="1788" t="s">
        <v>1893</v>
      </c>
    </row>
    <row r="47" s="651" customFormat="1" ht="13.5" spans="1:18">
      <c r="A47" s="1654" t="s">
        <v>1797</v>
      </c>
      <c r="B47" s="1655" t="s">
        <v>1798</v>
      </c>
      <c r="C47" s="1655" t="s">
        <v>1799</v>
      </c>
      <c r="D47" s="1655" t="s">
        <v>1800</v>
      </c>
      <c r="E47" s="1656" t="s">
        <v>1801</v>
      </c>
      <c r="F47" s="1657"/>
      <c r="G47" s="1658"/>
      <c r="I47" s="1743" t="s">
        <v>1894</v>
      </c>
      <c r="J47" s="1744" t="s">
        <v>1260</v>
      </c>
      <c r="K47" s="1745" t="s">
        <v>1895</v>
      </c>
      <c r="L47" s="1746">
        <f ca="1">INDIRECT("'数据-取费表'!d"&amp;$G$1)</f>
        <v>50</v>
      </c>
      <c r="M47" s="1747" t="str">
        <f>IF(ISNUMBER(FIND("住宅",C1)),"住宅","非住宅")</f>
        <v>非住宅</v>
      </c>
      <c r="O47" s="1748" t="s">
        <v>1340</v>
      </c>
      <c r="P47" s="1749" t="s">
        <v>1896</v>
      </c>
      <c r="Q47" s="1789">
        <f ca="1">C40+J29</f>
        <v>2454359</v>
      </c>
      <c r="R47" s="1789" t="s">
        <v>1897</v>
      </c>
    </row>
    <row r="48" s="651" customFormat="1" ht="26.25" spans="1:18">
      <c r="A48" s="1659" t="s">
        <v>749</v>
      </c>
      <c r="B48" s="1549" t="s">
        <v>1802</v>
      </c>
      <c r="C48" s="1660">
        <f ca="1">C49+C53+C55</f>
        <v>0</v>
      </c>
      <c r="D48" s="1661"/>
      <c r="E48" s="1662"/>
      <c r="F48" s="1663"/>
      <c r="G48" s="1658"/>
      <c r="H48" s="1664"/>
      <c r="I48" s="713" t="s">
        <v>1898</v>
      </c>
      <c r="J48" s="1750" t="s">
        <v>1982</v>
      </c>
      <c r="K48" s="1751" t="s">
        <v>1899</v>
      </c>
      <c r="L48" s="1752">
        <f ca="1">INDIRECT("'数据-取费表'!f"&amp;$G$1)</f>
        <v>50</v>
      </c>
      <c r="O48" s="1748" t="s">
        <v>1344</v>
      </c>
      <c r="P48" s="1749" t="s">
        <v>1900</v>
      </c>
      <c r="Q48" s="1789">
        <f ca="1">J60</f>
        <v>31226</v>
      </c>
      <c r="R48" s="1789" t="s">
        <v>1901</v>
      </c>
    </row>
    <row r="49" s="651" customFormat="1" ht="13.5" spans="1:18">
      <c r="A49" s="1665" t="s">
        <v>1902</v>
      </c>
      <c r="B49" s="1666" t="s">
        <v>1903</v>
      </c>
      <c r="C49" s="1667">
        <f ca="1">ROUND(F49*F51*F50*(1-F52),0)</f>
        <v>0</v>
      </c>
      <c r="D49" s="1668" t="s">
        <v>1983</v>
      </c>
      <c r="E49" s="1669" t="s">
        <v>1904</v>
      </c>
      <c r="F49" s="1670"/>
      <c r="G49" s="1671"/>
      <c r="H49" s="1664"/>
      <c r="I49" s="713" t="s">
        <v>1905</v>
      </c>
      <c r="J49" s="1753">
        <v>2018</v>
      </c>
      <c r="K49" s="1751" t="s">
        <v>1906</v>
      </c>
      <c r="L49" s="1754"/>
      <c r="O49" s="1755" t="s">
        <v>1907</v>
      </c>
      <c r="P49" s="1749" t="s">
        <v>1908</v>
      </c>
      <c r="Q49" s="1789">
        <f ca="1">C29</f>
        <v>4612608</v>
      </c>
      <c r="R49" s="1789" t="s">
        <v>1897</v>
      </c>
    </row>
    <row r="50" s="651" customFormat="1" ht="13.5" spans="1:18">
      <c r="A50" s="1672"/>
      <c r="B50" s="1673"/>
      <c r="C50" s="1674"/>
      <c r="D50" s="1675"/>
      <c r="E50" s="1676" t="s">
        <v>1808</v>
      </c>
      <c r="F50" s="1677">
        <f ca="1">F7</f>
        <v>1140.25</v>
      </c>
      <c r="H50" s="1664"/>
      <c r="I50" s="713" t="s">
        <v>1909</v>
      </c>
      <c r="J50" s="1756">
        <f>SUMPRODUCT((I63:I65=J47)*(J62:L62=J48)*(J63:L65))</f>
        <v>60</v>
      </c>
      <c r="K50" s="1751" t="s">
        <v>1910</v>
      </c>
      <c r="L50" s="1754"/>
      <c r="M50" s="1757"/>
      <c r="O50" s="1755" t="s">
        <v>1911</v>
      </c>
      <c r="P50" s="1749" t="s">
        <v>1912</v>
      </c>
      <c r="Q50" s="1790">
        <f ca="1">J58</f>
        <v>0.4</v>
      </c>
      <c r="R50" s="1789"/>
    </row>
    <row r="51" s="651" customFormat="1" ht="13.5" spans="1:18">
      <c r="A51" s="1678"/>
      <c r="B51" s="1673"/>
      <c r="C51" s="1674"/>
      <c r="D51" s="1675"/>
      <c r="E51" s="1679" t="s">
        <v>1809</v>
      </c>
      <c r="F51" s="1559">
        <f ca="1">F8</f>
        <v>365</v>
      </c>
      <c r="I51" s="1758" t="s">
        <v>1913</v>
      </c>
      <c r="J51" s="1759">
        <f>IF(J49="",J50,J49+J50-YEAR('数据-取费表'!B2))</f>
        <v>57</v>
      </c>
      <c r="K51" s="1760" t="s">
        <v>1914</v>
      </c>
      <c r="L51" s="1761">
        <f ca="1">ROUND(-PV(INDIRECT("'数据-取费表'!h"&amp;$G$1),J51,(C39-C13*C76),0),0)</f>
        <v>-763255</v>
      </c>
      <c r="M51" s="1762"/>
      <c r="O51" s="1755" t="s">
        <v>1915</v>
      </c>
      <c r="P51" s="1749" t="s">
        <v>1916</v>
      </c>
      <c r="Q51" s="1790">
        <f>J52</f>
        <v>0.085</v>
      </c>
      <c r="R51" s="1789"/>
    </row>
    <row r="52" s="651" customFormat="1" ht="13.5" spans="1:18">
      <c r="A52" s="1678"/>
      <c r="B52" s="1673"/>
      <c r="C52" s="1674"/>
      <c r="D52" s="1675"/>
      <c r="E52" s="1679" t="s">
        <v>1810</v>
      </c>
      <c r="F52" s="1680"/>
      <c r="I52" s="1763" t="s">
        <v>1917</v>
      </c>
      <c r="J52" s="1764">
        <v>0.085</v>
      </c>
      <c r="K52" s="1763" t="s">
        <v>1918</v>
      </c>
      <c r="L52" s="1764"/>
      <c r="O52" s="1755" t="s">
        <v>1919</v>
      </c>
      <c r="P52" s="1749" t="s">
        <v>1920</v>
      </c>
      <c r="Q52" s="1789">
        <f ca="1">J53</f>
        <v>50</v>
      </c>
      <c r="R52" s="1789" t="s">
        <v>1921</v>
      </c>
    </row>
    <row r="53" s="651" customFormat="1" ht="30.75" customHeight="1" spans="1:18">
      <c r="A53" s="1681" t="s">
        <v>1922</v>
      </c>
      <c r="B53" s="1604" t="s">
        <v>1811</v>
      </c>
      <c r="C53" s="1570">
        <f ca="1">ROUND(IF(F53="押一",C49/12*F11,IF(F53="押二",C49/12*2*F11,IF(F53="押三",C49/12*3*F11,C54*F11))),0)</f>
        <v>0</v>
      </c>
      <c r="D53" s="1571" t="s">
        <v>1984</v>
      </c>
      <c r="E53" s="1572" t="s">
        <v>1813</v>
      </c>
      <c r="F53" s="1573"/>
      <c r="I53" s="1765" t="s">
        <v>1923</v>
      </c>
      <c r="J53" s="1766">
        <f ca="1">IF(M47="住宅",IF(D1="——",MAX(J51,L48),MAX(J51,L48-'数据-取费表'!B24)),IF(D1="——",MIN(J51,L48),MIN(J51,L48-'数据-取费表'!B24)))</f>
        <v>50</v>
      </c>
      <c r="K53" s="1767" t="s">
        <v>1924</v>
      </c>
      <c r="L53" s="1768"/>
      <c r="O53" s="1748" t="s">
        <v>1759</v>
      </c>
      <c r="P53" s="1749" t="s">
        <v>1925</v>
      </c>
      <c r="Q53" s="1789">
        <f ca="1">Q47+Q48</f>
        <v>2485585</v>
      </c>
      <c r="R53" s="1789" t="s">
        <v>1926</v>
      </c>
    </row>
    <row r="54" s="651" customFormat="1" ht="13.5" spans="1:18">
      <c r="A54" s="1665"/>
      <c r="B54" s="1682" t="s">
        <v>1979</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1927</v>
      </c>
      <c r="P54" s="1771"/>
      <c r="Q54" s="1771"/>
      <c r="R54" s="1771"/>
    </row>
    <row r="55" s="651" customFormat="1" ht="13.5" spans="1:18">
      <c r="A55" s="1579" t="s">
        <v>1099</v>
      </c>
      <c r="B55" s="1580" t="s">
        <v>1817</v>
      </c>
      <c r="C55" s="1581"/>
      <c r="D55" s="1571"/>
      <c r="E55" s="1683"/>
      <c r="F55" s="1684"/>
      <c r="I55" s="1772" t="s">
        <v>1928</v>
      </c>
      <c r="J55" s="1773">
        <f ca="1">ROUND(IF(J47="钢混",J57/J50,1-(1-2%)*(J50-J57)/J50),3)</f>
        <v>0.117</v>
      </c>
      <c r="K55" s="1774" t="s">
        <v>1929</v>
      </c>
      <c r="L55" s="1775"/>
      <c r="O55" s="1741" t="s">
        <v>1890</v>
      </c>
      <c r="P55" s="1742" t="s">
        <v>1891</v>
      </c>
      <c r="Q55" s="1788" t="s">
        <v>1892</v>
      </c>
      <c r="R55" s="1788" t="s">
        <v>1893</v>
      </c>
    </row>
    <row r="56" s="651" customFormat="1" ht="36" customHeight="1" spans="1:18">
      <c r="A56" s="1685">
        <v>2</v>
      </c>
      <c r="B56" s="1686" t="s">
        <v>1818</v>
      </c>
      <c r="C56" s="189">
        <f ca="1">C13</f>
        <v>4381978</v>
      </c>
      <c r="D56" s="1687"/>
      <c r="E56" s="1688"/>
      <c r="F56" s="1684"/>
      <c r="I56" s="1776" t="s">
        <v>1931</v>
      </c>
      <c r="J56" s="1777" t="s">
        <v>1985</v>
      </c>
      <c r="K56" s="713" t="s">
        <v>1932</v>
      </c>
      <c r="L56" s="1752" t="str">
        <f ca="1">IF(L48&lt;J51,"——",L48-J51)</f>
        <v>——</v>
      </c>
      <c r="O56" s="1748" t="s">
        <v>1340</v>
      </c>
      <c r="P56" s="1749" t="s">
        <v>1896</v>
      </c>
      <c r="Q56" s="1789">
        <f ca="1">C40+J29</f>
        <v>2454359</v>
      </c>
      <c r="R56" s="1789" t="s">
        <v>1897</v>
      </c>
    </row>
    <row r="57" s="651" customFormat="1" ht="24.75" spans="1:18">
      <c r="A57" s="1689"/>
      <c r="B57" s="1690" t="s">
        <v>1878</v>
      </c>
      <c r="C57" s="199">
        <f ca="1">C29</f>
        <v>4612608</v>
      </c>
      <c r="D57" s="1691"/>
      <c r="E57" s="1692"/>
      <c r="F57" s="1693"/>
      <c r="I57" s="1778" t="s">
        <v>1933</v>
      </c>
      <c r="J57" s="1779">
        <f ca="1">IF(OR(M47="住宅",J51&lt;L48,J56="是"),"——",J51-L48)</f>
        <v>7</v>
      </c>
      <c r="K57" s="713" t="s">
        <v>1986</v>
      </c>
      <c r="L57" s="1752" t="str">
        <f ca="1">IF(L48&lt;J51,"——",IF(L55="比较法",L49,IF(L55="基准地价",L50,L51)))</f>
        <v>——</v>
      </c>
      <c r="O57" s="1748" t="s">
        <v>1344</v>
      </c>
      <c r="P57" s="1749" t="s">
        <v>1935</v>
      </c>
      <c r="Q57" s="1789">
        <f ca="1">L60</f>
        <v>0</v>
      </c>
      <c r="R57" s="1789" t="s">
        <v>1936</v>
      </c>
    </row>
    <row r="58" s="651" customFormat="1" ht="24.75" spans="1:18">
      <c r="A58" s="1694" t="s">
        <v>756</v>
      </c>
      <c r="B58" s="1686" t="s">
        <v>1826</v>
      </c>
      <c r="C58" s="1570">
        <f ca="1">ROUND(C59+C64+C65+C66,0)</f>
        <v>437967</v>
      </c>
      <c r="D58" s="1695" t="s">
        <v>1827</v>
      </c>
      <c r="E58" s="1696"/>
      <c r="F58" s="1663"/>
      <c r="I58" s="1778" t="s">
        <v>1937</v>
      </c>
      <c r="J58" s="1780">
        <f ca="1">IF(J55&lt;0.4,0.4,J55)</f>
        <v>0.4</v>
      </c>
      <c r="K58" s="1760" t="s">
        <v>1987</v>
      </c>
      <c r="L58" s="1752" t="e">
        <f ca="1">ROUND(POWER(1+L52,L47-L48)*(POWER(1+L52,L48)-1)/(POWER(1+L52,L47)-1),4)</f>
        <v>#DIV/0!</v>
      </c>
      <c r="O58" s="1755" t="s">
        <v>1907</v>
      </c>
      <c r="P58" s="1749" t="s">
        <v>1939</v>
      </c>
      <c r="Q58" s="1789">
        <f>IF(L55="比较法",L49,IF(L55="基准地价",L50,0))</f>
        <v>0</v>
      </c>
      <c r="R58" s="1789" t="s">
        <v>1897</v>
      </c>
    </row>
    <row r="59" s="651" customFormat="1" ht="24.75" spans="1:18">
      <c r="A59" s="1590" t="s">
        <v>1050</v>
      </c>
      <c r="B59" s="1690" t="s">
        <v>1832</v>
      </c>
      <c r="C59" s="1616">
        <f ca="1">ROUND(IF(AND(项目基本情况!B11="自然人",项目基本情况!B10="北京市"),C49*F59/(1+'数据-取费表'!C42),C60+C61+C62),0)</f>
        <v>387459</v>
      </c>
      <c r="D59" s="1697" t="s">
        <v>1833</v>
      </c>
      <c r="E59" s="1698" t="s">
        <v>1834</v>
      </c>
      <c r="F59" s="1618" t="str">
        <f ca="1">IF(项目基本情况!B11="企业","——",IF('数据-取费表'!B10="住宅",IF(F49*F50*F51/12/(1+'数据-取费表'!F30)&gt;100000,4%,2.5%),IF(F49*F50*F51/12/(1+'数据-取费表'!F30)&gt;100000,12%,7%)))</f>
        <v>——</v>
      </c>
      <c r="I59" s="1778" t="s">
        <v>1940</v>
      </c>
      <c r="J59" s="1779">
        <f ca="1">IF(OR(M47="住宅",J51&lt;L48,J56="是"),"——",ROUND(C29*J58,0))</f>
        <v>1845043</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1911</v>
      </c>
      <c r="P59" s="1749" t="s">
        <v>1941</v>
      </c>
      <c r="Q59" s="1790">
        <f>L52</f>
        <v>0</v>
      </c>
      <c r="R59" s="1789"/>
    </row>
    <row r="60" s="651" customFormat="1" ht="17.25" spans="1:18">
      <c r="A60" s="1590" t="s">
        <v>1073</v>
      </c>
      <c r="B60" s="1690" t="s">
        <v>1836</v>
      </c>
      <c r="C60" s="1595">
        <f ca="1">IF(项目基本情况!B11="自然人","——",ROUND(C48*F60/(1+'数据-取费表'!C42),0))</f>
        <v>0</v>
      </c>
      <c r="D60" s="1698" t="s">
        <v>1837</v>
      </c>
      <c r="E60" s="1690" t="s">
        <v>1825</v>
      </c>
      <c r="F60" s="1608">
        <f t="shared" ref="F60:F66" si="0">F32</f>
        <v>0.056</v>
      </c>
      <c r="I60" s="1781" t="s">
        <v>1942</v>
      </c>
      <c r="J60" s="1782">
        <f ca="1">IF(OR(M47="住宅",J51&lt;L48,J56="是"),"0",ROUND(J59/(1+J52)^J53,0))</f>
        <v>31226</v>
      </c>
      <c r="K60" s="1783" t="s">
        <v>1943</v>
      </c>
      <c r="L60" s="1782">
        <f ca="1">IF(OR(M47="住宅",L48&lt;J51),0,ROUND(L57*(L58/L59-1),0))</f>
        <v>0</v>
      </c>
      <c r="O60" s="1755" t="s">
        <v>1915</v>
      </c>
      <c r="P60" s="1749" t="s">
        <v>1944</v>
      </c>
      <c r="Q60" s="1789" t="e">
        <f ca="1">L58</f>
        <v>#DIV/0!</v>
      </c>
      <c r="R60" s="1789" t="s">
        <v>1945</v>
      </c>
    </row>
    <row r="61" s="651" customFormat="1" ht="13.5" spans="1:18">
      <c r="A61" s="1590" t="s">
        <v>1077</v>
      </c>
      <c r="B61" s="1690" t="s">
        <v>1840</v>
      </c>
      <c r="C61" s="1595">
        <f ca="1">IF(项目基本情况!B11="自然人","——",IF(D61="按租金收入计税",ROUND(C49*F61/(1+'数据-取费表'!C42),0),IF(D61="按房产原值计税",ROUND(C57*F61*0.7,0),INDIRECT("'数据-取费表'!Aj"&amp;$G$1))))</f>
        <v>387459</v>
      </c>
      <c r="D61" s="1620" t="s">
        <v>1841</v>
      </c>
      <c r="E61" s="1690" t="s">
        <v>1825</v>
      </c>
      <c r="F61" s="1600">
        <f t="shared" si="0"/>
        <v>0.12</v>
      </c>
      <c r="I61" s="1636"/>
      <c r="J61" s="1636"/>
      <c r="K61" s="1636"/>
      <c r="L61" s="1636"/>
      <c r="O61" s="1755" t="s">
        <v>1919</v>
      </c>
      <c r="P61" s="1749" t="str">
        <f>K59</f>
        <v>建设期及建筑物耐用年限下的土地年期修正系数Kn</v>
      </c>
      <c r="Q61" s="1789" t="e">
        <f ca="1">L59</f>
        <v>#DIV/0!</v>
      </c>
      <c r="R61" s="1789" t="s">
        <v>1946</v>
      </c>
    </row>
    <row r="62" s="651" customFormat="1" ht="13.5" spans="1:18">
      <c r="A62" s="1590" t="s">
        <v>1080</v>
      </c>
      <c r="B62" s="1699" t="s">
        <v>1844</v>
      </c>
      <c r="C62" s="1622">
        <f ca="1">IF(项目基本情况!B11="自然人","——",ROUND(F62*F63,0))</f>
        <v>0</v>
      </c>
      <c r="D62" s="1700" t="s">
        <v>1845</v>
      </c>
      <c r="E62" s="1690" t="s">
        <v>1846</v>
      </c>
      <c r="F62" s="1607">
        <f t="shared" si="0"/>
        <v>0</v>
      </c>
      <c r="I62" s="1784" t="s">
        <v>1947</v>
      </c>
      <c r="J62" s="1785" t="s">
        <v>1948</v>
      </c>
      <c r="K62" s="1785" t="s">
        <v>1949</v>
      </c>
      <c r="L62" s="1785" t="s">
        <v>1950</v>
      </c>
      <c r="M62" s="1786" t="s">
        <v>1951</v>
      </c>
      <c r="O62" s="1748" t="s">
        <v>1759</v>
      </c>
      <c r="P62" s="1749" t="s">
        <v>1925</v>
      </c>
      <c r="Q62" s="1789">
        <f ca="1">Q56+Q57</f>
        <v>2454359</v>
      </c>
      <c r="R62" s="1789" t="s">
        <v>1926</v>
      </c>
    </row>
    <row r="63" s="651" customFormat="1" ht="13.5" spans="1:18">
      <c r="A63" s="1605"/>
      <c r="B63" s="1701"/>
      <c r="C63" s="1626"/>
      <c r="D63" s="1702"/>
      <c r="E63" s="1690" t="s">
        <v>1850</v>
      </c>
      <c r="F63" s="1559">
        <f ca="1" t="shared" si="0"/>
        <v>0</v>
      </c>
      <c r="I63" s="1784" t="s">
        <v>1952</v>
      </c>
      <c r="J63" s="1785">
        <v>70</v>
      </c>
      <c r="K63" s="1785">
        <v>50</v>
      </c>
      <c r="L63" s="1785">
        <v>80</v>
      </c>
      <c r="M63" s="1787">
        <v>0.02</v>
      </c>
      <c r="O63" s="1736" t="s">
        <v>1953</v>
      </c>
      <c r="P63" s="1771"/>
      <c r="Q63" s="1771"/>
      <c r="R63" s="1771"/>
    </row>
    <row r="64" s="651" customFormat="1" ht="13.5" spans="1:18">
      <c r="A64" s="1590" t="s">
        <v>1054</v>
      </c>
      <c r="B64" s="1690" t="s">
        <v>1852</v>
      </c>
      <c r="C64" s="1595">
        <f ca="1">ROUND(C57*F64,0)</f>
        <v>46126</v>
      </c>
      <c r="D64" s="1698" t="s">
        <v>1882</v>
      </c>
      <c r="E64" s="1690" t="s">
        <v>1825</v>
      </c>
      <c r="F64" s="1629">
        <f ca="1" t="shared" si="0"/>
        <v>0.01</v>
      </c>
      <c r="I64" s="1784" t="s">
        <v>1954</v>
      </c>
      <c r="J64" s="1785">
        <v>50</v>
      </c>
      <c r="K64" s="1785">
        <v>35</v>
      </c>
      <c r="L64" s="1785">
        <v>60</v>
      </c>
      <c r="M64" s="1786">
        <v>0</v>
      </c>
      <c r="O64" s="1741" t="s">
        <v>1890</v>
      </c>
      <c r="P64" s="1742" t="s">
        <v>1891</v>
      </c>
      <c r="Q64" s="1788" t="s">
        <v>1892</v>
      </c>
      <c r="R64" s="1788" t="s">
        <v>1893</v>
      </c>
    </row>
    <row r="65" s="651" customFormat="1" ht="13.5" spans="1:18">
      <c r="A65" s="1590" t="s">
        <v>1099</v>
      </c>
      <c r="B65" s="1690" t="s">
        <v>1856</v>
      </c>
      <c r="C65" s="1595">
        <f ca="1">ROUND(C56*F65,0)</f>
        <v>4382</v>
      </c>
      <c r="D65" s="1698" t="s">
        <v>1857</v>
      </c>
      <c r="E65" s="1690" t="s">
        <v>1825</v>
      </c>
      <c r="F65" s="1630">
        <f ca="1" t="shared" si="0"/>
        <v>0.001</v>
      </c>
      <c r="I65" s="1784" t="s">
        <v>1955</v>
      </c>
      <c r="J65" s="1785">
        <v>40</v>
      </c>
      <c r="K65" s="1785">
        <v>30</v>
      </c>
      <c r="L65" s="1785">
        <v>50</v>
      </c>
      <c r="M65" s="1787">
        <v>0.02</v>
      </c>
      <c r="O65" s="1748" t="s">
        <v>1340</v>
      </c>
      <c r="P65" s="1749" t="s">
        <v>1896</v>
      </c>
      <c r="Q65" s="1789">
        <f ca="1">C40+J29</f>
        <v>2454359</v>
      </c>
      <c r="R65" s="1789" t="s">
        <v>1897</v>
      </c>
    </row>
    <row r="66" s="651" customFormat="1" ht="17.25" spans="1:18">
      <c r="A66" s="1590" t="s">
        <v>1102</v>
      </c>
      <c r="B66" s="1690" t="s">
        <v>1842</v>
      </c>
      <c r="C66" s="1595">
        <f ca="1">ROUND(C48*F66,0)</f>
        <v>0</v>
      </c>
      <c r="D66" s="1698" t="s">
        <v>1860</v>
      </c>
      <c r="E66" s="1690" t="s">
        <v>1825</v>
      </c>
      <c r="F66" s="1568">
        <f ca="1" t="shared" si="0"/>
        <v>0.01</v>
      </c>
      <c r="O66" s="1748" t="s">
        <v>1344</v>
      </c>
      <c r="P66" s="1749" t="s">
        <v>1935</v>
      </c>
      <c r="Q66" s="1789">
        <f ca="1">L60</f>
        <v>0</v>
      </c>
      <c r="R66" s="1789" t="s">
        <v>1936</v>
      </c>
    </row>
    <row r="67" s="651" customFormat="1" ht="17.25" spans="1:18">
      <c r="A67" s="1685" t="s">
        <v>759</v>
      </c>
      <c r="B67" s="1791" t="s">
        <v>1863</v>
      </c>
      <c r="C67" s="1570">
        <f ca="1">C48-C58</f>
        <v>-437967</v>
      </c>
      <c r="D67" s="1697" t="s">
        <v>1864</v>
      </c>
      <c r="E67" s="1792"/>
      <c r="F67" s="1793"/>
      <c r="O67" s="1755" t="s">
        <v>1907</v>
      </c>
      <c r="P67" s="1749" t="s">
        <v>1939</v>
      </c>
      <c r="Q67" s="1814">
        <f ca="1">L51</f>
        <v>-763255</v>
      </c>
      <c r="R67" s="1789" t="s">
        <v>1956</v>
      </c>
    </row>
    <row r="68" s="651" customFormat="1" ht="17.25" spans="1:18">
      <c r="A68" s="1794" t="s">
        <v>774</v>
      </c>
      <c r="B68" s="1795" t="s">
        <v>1883</v>
      </c>
      <c r="C68" s="1635">
        <f ca="1">ROUND(C67*(1-((1+F70)/(1+F68))^F69)/(F68-F70),0)</f>
        <v>-7986390</v>
      </c>
      <c r="D68" s="1700" t="s">
        <v>1869</v>
      </c>
      <c r="E68" s="1690" t="s">
        <v>1870</v>
      </c>
      <c r="F68" s="1568">
        <f ca="1">F40</f>
        <v>0.055</v>
      </c>
      <c r="O68" s="1755" t="s">
        <v>1911</v>
      </c>
      <c r="P68" s="1813" t="s">
        <v>1957</v>
      </c>
      <c r="Q68" s="1789">
        <f ca="1">ROUND(Q69-Q70*Q71,0)</f>
        <v>-40684</v>
      </c>
      <c r="R68" s="1789" t="s">
        <v>1958</v>
      </c>
    </row>
    <row r="69" s="651" customFormat="1" ht="13.5" spans="1:18">
      <c r="A69" s="1796"/>
      <c r="B69" s="1797"/>
      <c r="C69" s="1566"/>
      <c r="D69" s="1798" t="s">
        <v>1873</v>
      </c>
      <c r="E69" s="1690" t="s">
        <v>1874</v>
      </c>
      <c r="F69" s="1639">
        <f ca="1">F41</f>
        <v>50</v>
      </c>
      <c r="O69" s="1755" t="s">
        <v>1959</v>
      </c>
      <c r="P69" s="1813" t="s">
        <v>1960</v>
      </c>
      <c r="Q69" s="1789">
        <f ca="1">C39</f>
        <v>134595</v>
      </c>
      <c r="R69" s="1789" t="s">
        <v>1897</v>
      </c>
    </row>
    <row r="70" s="651" customFormat="1" ht="13.5" spans="1:18">
      <c r="A70" s="1799"/>
      <c r="B70" s="1800"/>
      <c r="C70" s="1587"/>
      <c r="D70" s="1702"/>
      <c r="E70" s="1690" t="s">
        <v>1877</v>
      </c>
      <c r="F70" s="1680">
        <f ca="1">F42</f>
        <v>0.005</v>
      </c>
      <c r="O70" s="1755" t="s">
        <v>1961</v>
      </c>
      <c r="P70" s="1813" t="s">
        <v>1962</v>
      </c>
      <c r="Q70" s="1789">
        <f ca="1">C13</f>
        <v>4381978</v>
      </c>
      <c r="R70" s="1789" t="s">
        <v>1897</v>
      </c>
    </row>
    <row r="71" s="651" customFormat="1" ht="13.5" spans="1:18">
      <c r="A71" s="1801" t="s">
        <v>784</v>
      </c>
      <c r="B71" s="1802" t="s">
        <v>1884</v>
      </c>
      <c r="C71" s="1643">
        <f ca="1">ROUND(C68/F71,0)</f>
        <v>-7004</v>
      </c>
      <c r="D71" s="1803" t="s">
        <v>1885</v>
      </c>
      <c r="E71" s="1804" t="s">
        <v>1886</v>
      </c>
      <c r="F71" s="1646">
        <f ca="1">F43</f>
        <v>1140.25</v>
      </c>
      <c r="O71" s="1755" t="s">
        <v>1963</v>
      </c>
      <c r="P71" s="1813" t="s">
        <v>1964</v>
      </c>
      <c r="Q71" s="1790">
        <f ca="1">C76</f>
        <v>0.04</v>
      </c>
      <c r="R71" s="1789"/>
    </row>
    <row r="72" s="651" customFormat="1" ht="13.5" spans="2:18">
      <c r="B72" s="1805"/>
      <c r="C72" s="1805"/>
      <c r="O72" s="1755" t="s">
        <v>1915</v>
      </c>
      <c r="P72" s="1749" t="s">
        <v>1941</v>
      </c>
      <c r="Q72" s="1790">
        <f>L52</f>
        <v>0</v>
      </c>
      <c r="R72" s="1789"/>
    </row>
    <row r="73" ht="17.25" spans="1:18">
      <c r="A73" s="651"/>
      <c r="B73" s="1805"/>
      <c r="C73" s="1805"/>
      <c r="D73" s="651"/>
      <c r="E73" s="651"/>
      <c r="F73" s="651"/>
      <c r="O73" s="1755" t="s">
        <v>1919</v>
      </c>
      <c r="P73" s="1749" t="s">
        <v>1944</v>
      </c>
      <c r="Q73" s="1789" t="e">
        <f ca="1">L58</f>
        <v>#DIV/0!</v>
      </c>
      <c r="R73" s="1789" t="s">
        <v>1945</v>
      </c>
    </row>
    <row r="74" ht="13.5" spans="1:18">
      <c r="A74" s="651"/>
      <c r="B74" s="234" t="s">
        <v>1965</v>
      </c>
      <c r="C74" s="1806"/>
      <c r="D74" s="651"/>
      <c r="E74" s="651"/>
      <c r="F74" s="651"/>
      <c r="O74" s="1755" t="s">
        <v>1966</v>
      </c>
      <c r="P74" s="1749" t="str">
        <f>K59</f>
        <v>建设期及建筑物耐用年限下的土地年期修正系数Kn</v>
      </c>
      <c r="Q74" s="1789" t="e">
        <f ca="1">L59</f>
        <v>#DIV/0!</v>
      </c>
      <c r="R74" s="1789" t="s">
        <v>1946</v>
      </c>
    </row>
    <row r="75" ht="13.5" spans="1:18">
      <c r="A75" s="651"/>
      <c r="B75" s="1807" t="s">
        <v>1967</v>
      </c>
      <c r="C75" s="1808">
        <f ca="1">ROUND(C13*C76,0)</f>
        <v>175279</v>
      </c>
      <c r="D75" s="651"/>
      <c r="E75" s="651"/>
      <c r="F75" s="651"/>
      <c r="K75" s="1735"/>
      <c r="L75" s="651"/>
      <c r="O75" s="1748" t="s">
        <v>1759</v>
      </c>
      <c r="P75" s="1749" t="s">
        <v>1925</v>
      </c>
      <c r="Q75" s="1789">
        <f ca="1">Q65+Q66</f>
        <v>2454359</v>
      </c>
      <c r="R75" s="1789" t="s">
        <v>1926</v>
      </c>
    </row>
    <row r="76" spans="2:12">
      <c r="B76" s="456" t="s">
        <v>1968</v>
      </c>
      <c r="C76" s="1809">
        <f ca="1">INDIRECT("'数据-取费表'!j"&amp;$G$1)</f>
        <v>0.04</v>
      </c>
      <c r="I76" s="651"/>
      <c r="J76" s="651"/>
      <c r="K76" s="1735"/>
      <c r="L76" s="651"/>
    </row>
    <row r="77" spans="2:12">
      <c r="B77" s="1810" t="s">
        <v>1969</v>
      </c>
      <c r="C77" s="1811"/>
      <c r="I77" s="651"/>
      <c r="J77" s="651"/>
      <c r="K77" s="1735"/>
      <c r="L77" s="651"/>
    </row>
    <row r="78" spans="2:3">
      <c r="B78" s="232" t="s">
        <v>1970</v>
      </c>
      <c r="C78" s="1812"/>
    </row>
    <row r="79" spans="2:3">
      <c r="B79" s="1807" t="s">
        <v>1971</v>
      </c>
      <c r="C79" s="235">
        <f ca="1">1-C80</f>
        <v>-0.302</v>
      </c>
    </row>
    <row r="80" spans="2:3">
      <c r="B80" s="1807" t="s">
        <v>1972</v>
      </c>
      <c r="C80" s="235">
        <f ca="1">ROUND(C75/C39,3)</f>
        <v>1.302</v>
      </c>
    </row>
    <row r="81" spans="2:3">
      <c r="B81" s="232" t="s">
        <v>1973</v>
      </c>
      <c r="C81" s="199"/>
    </row>
    <row r="82" spans="2:3">
      <c r="B82" s="234" t="s">
        <v>1421</v>
      </c>
      <c r="C82" s="236">
        <f ca="1">1-C83</f>
        <v>-0.785</v>
      </c>
    </row>
    <row r="83" spans="2:3">
      <c r="B83" s="234" t="s">
        <v>1422</v>
      </c>
      <c r="C83" s="235">
        <f ca="1">ROUND(C13/C40,3)</f>
        <v>1.785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597" customWidth="1"/>
    <col min="2" max="2" width="37.2166666666667" style="3597" customWidth="1"/>
    <col min="3" max="3" width="11.3333333333333" style="3597" customWidth="1"/>
    <col min="4" max="4" width="31.775" style="3597" customWidth="1"/>
    <col min="5" max="5" width="0.441666666666667" style="3597" customWidth="1"/>
    <col min="6" max="7" width="13" style="3597" customWidth="1"/>
    <col min="8" max="16384" width="9" style="3597"/>
  </cols>
  <sheetData>
    <row r="1" ht="18.75" spans="1:5">
      <c r="A1" s="3598" t="s">
        <v>94</v>
      </c>
      <c r="B1" s="3599"/>
      <c r="C1" s="3599"/>
      <c r="D1" s="3599"/>
      <c r="E1" s="3599"/>
    </row>
    <row r="2" ht="78" customHeight="1" spans="1:5">
      <c r="A2" s="36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00"/>
      <c r="C2" s="3600"/>
      <c r="D2" s="3600"/>
      <c r="E2" s="3600"/>
    </row>
    <row r="3" ht="18" spans="1:5">
      <c r="A3" s="3601" t="str">
        <f>IF(项目基本情况!B9="房地产市场价值","估价结果一览表（市场价值不需“结果表-1”）","估价结果一览表")</f>
        <v>估价结果一览表（市场价值不需“结果表-1”）</v>
      </c>
      <c r="B3" s="3601"/>
      <c r="C3" s="3601"/>
      <c r="D3" s="3601"/>
      <c r="E3" s="3601"/>
    </row>
    <row r="4" ht="19.5" spans="1:5">
      <c r="A4" s="3601"/>
      <c r="B4" s="3602" t="s">
        <v>95</v>
      </c>
      <c r="C4" s="3602"/>
      <c r="D4" s="3602"/>
      <c r="E4" s="3601"/>
    </row>
    <row r="5" ht="16.5" spans="1:5">
      <c r="A5" s="3599"/>
      <c r="B5" s="3603" t="s">
        <v>96</v>
      </c>
      <c r="C5" s="3604" t="s">
        <v>97</v>
      </c>
      <c r="D5" s="3605">
        <f ca="1">'结果表--商业'!H101</f>
        <v>88617</v>
      </c>
      <c r="E5" s="3599"/>
    </row>
    <row r="6" spans="1:5">
      <c r="A6" s="3599"/>
      <c r="B6" s="3603"/>
      <c r="C6" s="3604" t="s">
        <v>98</v>
      </c>
      <c r="D6" s="3605" t="str">
        <f ca="1">NUMBERSTRING(INT(D5*10000),2)&amp;"元整"</f>
        <v>捌亿捌仟陆佰壹拾柒万元整</v>
      </c>
      <c r="E6" s="3599"/>
    </row>
    <row r="7" ht="15.75" spans="1:5">
      <c r="A7" s="3599"/>
      <c r="B7" s="3606"/>
      <c r="C7" s="3607" t="s">
        <v>99</v>
      </c>
      <c r="D7" s="3608">
        <f ca="1">'结果表--商业'!H102</f>
        <v>35693</v>
      </c>
      <c r="E7" s="3599"/>
    </row>
    <row r="8" ht="15.75" spans="1:5">
      <c r="A8" s="3599"/>
      <c r="B8" s="3609" t="str">
        <f>'结果表--商业'!E103</f>
        <v>2.估价师知悉的法定优先受偿款</v>
      </c>
      <c r="C8" s="3610" t="s">
        <v>100</v>
      </c>
      <c r="D8" s="3608">
        <f>'结果表--商业'!H103</f>
        <v>0</v>
      </c>
      <c r="E8" s="3599"/>
    </row>
    <row r="9" spans="1:5">
      <c r="A9" s="3599"/>
      <c r="B9" s="3611"/>
      <c r="C9" s="3604" t="s">
        <v>98</v>
      </c>
      <c r="D9" s="3605" t="str">
        <f>NUMBERSTRING(INT(D8*10000),2)&amp;"元整"</f>
        <v>零元整</v>
      </c>
      <c r="E9" s="3599"/>
    </row>
    <row r="10" ht="15" spans="1:5">
      <c r="A10" s="3599"/>
      <c r="B10" s="3612" t="s">
        <v>101</v>
      </c>
      <c r="C10" s="3613" t="s">
        <v>102</v>
      </c>
      <c r="D10" s="3614">
        <f>'结果表--商业'!H104</f>
        <v>0</v>
      </c>
      <c r="E10" s="3599"/>
    </row>
    <row r="11" ht="15" spans="1:5">
      <c r="A11" s="3599"/>
      <c r="B11" s="3612" t="s">
        <v>103</v>
      </c>
      <c r="C11" s="3613" t="s">
        <v>102</v>
      </c>
      <c r="D11" s="3614">
        <f>'结果表--商业'!H105</f>
        <v>0</v>
      </c>
      <c r="E11" s="3599"/>
    </row>
    <row r="12" ht="15" spans="1:5">
      <c r="A12" s="3599"/>
      <c r="B12" s="3612" t="s">
        <v>104</v>
      </c>
      <c r="C12" s="3613" t="s">
        <v>102</v>
      </c>
      <c r="D12" s="3614">
        <f>'结果表--商业'!H106</f>
        <v>0</v>
      </c>
      <c r="E12" s="3599"/>
    </row>
    <row r="13" ht="15.75" spans="1:5">
      <c r="A13" s="3599"/>
      <c r="B13" s="3615" t="str">
        <f>'结果表--商业'!E107</f>
        <v>3.房地产抵押价值</v>
      </c>
      <c r="C13" s="3616" t="s">
        <v>97</v>
      </c>
      <c r="D13" s="3617">
        <f ca="1">'结果表--商业'!H107</f>
        <v>88617</v>
      </c>
      <c r="E13" s="3599"/>
    </row>
    <row r="14" spans="1:5">
      <c r="A14" s="3599"/>
      <c r="B14" s="3603"/>
      <c r="C14" s="3604" t="s">
        <v>98</v>
      </c>
      <c r="D14" s="3605" t="str">
        <f ca="1">NUMBERSTRING(INT(D13*10000),2)&amp;"元整"</f>
        <v>捌亿捌仟陆佰壹拾柒万元整</v>
      </c>
      <c r="E14" s="3599"/>
    </row>
    <row r="15" ht="15" spans="1:5">
      <c r="A15" s="3599"/>
      <c r="B15" s="3606"/>
      <c r="C15" s="3607" t="s">
        <v>99</v>
      </c>
      <c r="D15" s="3618">
        <f ca="1">'结果表--商业'!H108</f>
        <v>26268</v>
      </c>
      <c r="E15" s="3599"/>
    </row>
    <row r="16" ht="15" spans="1:5">
      <c r="A16" s="3599"/>
      <c r="B16" s="3609" t="str">
        <f>'结果表--商业'!E109</f>
        <v>——</v>
      </c>
      <c r="C16" s="3616" t="s">
        <v>97</v>
      </c>
      <c r="D16" s="3619" t="str">
        <f ca="1">'结果表--商业'!H109</f>
        <v>——</v>
      </c>
      <c r="E16" s="3599"/>
    </row>
    <row r="17" ht="15.75" spans="1:5">
      <c r="A17" s="3599"/>
      <c r="B17" s="3620"/>
      <c r="C17" s="3604" t="s">
        <v>98</v>
      </c>
      <c r="D17" s="3605" t="e">
        <f ca="1">NUMBERSTRING(INT(D16*10000),2)&amp;"元整"</f>
        <v>#VALUE!</v>
      </c>
      <c r="E17" s="3599"/>
    </row>
    <row r="18" ht="15" spans="1:5">
      <c r="A18" s="3599"/>
      <c r="B18" s="3611"/>
      <c r="C18" s="3607" t="s">
        <v>99</v>
      </c>
      <c r="D18" s="3618" t="str">
        <f ca="1">'结果表--商业'!H110</f>
        <v>——</v>
      </c>
      <c r="E18" s="3599"/>
    </row>
    <row r="19" ht="15.75" spans="1:5">
      <c r="A19" s="3599"/>
      <c r="B19" s="3615" t="str">
        <f>'结果表--商业'!E111</f>
        <v>——</v>
      </c>
      <c r="C19" s="3616" t="s">
        <v>97</v>
      </c>
      <c r="D19" s="3608" t="str">
        <f ca="1">'结果表--商业'!H111</f>
        <v>——</v>
      </c>
      <c r="E19" s="3599"/>
    </row>
    <row r="20" ht="15.75" spans="1:5">
      <c r="A20" s="3599"/>
      <c r="B20" s="3603"/>
      <c r="C20" s="3604" t="s">
        <v>98</v>
      </c>
      <c r="D20" s="3605" t="e">
        <f ca="1">NUMBERSTRING(INT(D19*10000),2)&amp;"元整"</f>
        <v>#VALUE!</v>
      </c>
      <c r="E20" s="3599"/>
    </row>
    <row r="21" ht="15.75" spans="1:5">
      <c r="A21" s="3599"/>
      <c r="B21" s="3621"/>
      <c r="C21" s="3622" t="s">
        <v>99</v>
      </c>
      <c r="D21" s="3623" t="str">
        <f ca="1">'结果表--商业'!H112</f>
        <v>——</v>
      </c>
      <c r="E21" s="3599"/>
    </row>
    <row r="22" ht="15" spans="1:5">
      <c r="A22" s="3599"/>
      <c r="B22" s="3624" t="s">
        <v>105</v>
      </c>
      <c r="C22" s="3599"/>
      <c r="D22" s="3599"/>
      <c r="E22" s="3599"/>
    </row>
    <row r="23" spans="1:5">
      <c r="A23" s="3599"/>
      <c r="B23" s="3599"/>
      <c r="C23" s="3599"/>
      <c r="D23" s="3599"/>
      <c r="E23" s="3599"/>
    </row>
    <row r="24" ht="18.75" spans="1:5">
      <c r="A24" s="3625"/>
      <c r="B24" s="3626" t="s">
        <v>106</v>
      </c>
      <c r="C24" s="3625"/>
      <c r="D24" s="3625"/>
      <c r="E24" s="3625"/>
    </row>
    <row r="25" spans="1:5">
      <c r="A25" s="3625"/>
      <c r="B25" s="3625"/>
      <c r="C25" s="3625"/>
      <c r="D25" s="3625"/>
      <c r="E25" s="3625"/>
    </row>
    <row r="26" spans="1:5">
      <c r="A26" s="3625"/>
      <c r="B26" s="3625"/>
      <c r="C26" s="3625"/>
      <c r="D26" s="3625"/>
      <c r="E26" s="3625"/>
    </row>
    <row r="27" spans="1:5">
      <c r="A27" s="3625"/>
      <c r="B27" s="3625"/>
      <c r="C27" s="3625"/>
      <c r="D27" s="3625"/>
      <c r="E27" s="3625"/>
    </row>
    <row r="28" spans="1:5">
      <c r="A28" s="3625"/>
      <c r="B28" s="3625"/>
      <c r="C28" s="3625"/>
      <c r="D28" s="3625"/>
      <c r="E28" s="3625"/>
    </row>
    <row r="29" spans="1:5">
      <c r="A29" s="3625"/>
      <c r="B29" s="3625"/>
      <c r="C29" s="3625"/>
      <c r="D29" s="3625"/>
      <c r="E29" s="3625"/>
    </row>
    <row r="30" spans="1:5">
      <c r="A30" s="3625"/>
      <c r="B30" s="3625"/>
      <c r="C30" s="3625"/>
      <c r="D30" s="3625"/>
      <c r="E30" s="3625"/>
    </row>
    <row r="31" spans="1:5">
      <c r="A31" s="3625"/>
      <c r="B31" s="3625"/>
      <c r="C31" s="3625"/>
      <c r="D31" s="3625"/>
      <c r="E31" s="3625"/>
    </row>
    <row r="32" spans="1:5">
      <c r="A32" s="3625"/>
      <c r="B32" s="3625"/>
      <c r="C32" s="3625"/>
      <c r="D32" s="3625"/>
      <c r="E32" s="3625"/>
    </row>
    <row r="33" spans="1:5">
      <c r="A33" s="3625"/>
      <c r="B33" s="3625"/>
      <c r="C33" s="3625"/>
      <c r="D33" s="3625"/>
      <c r="E33" s="3625"/>
    </row>
    <row r="34" spans="1:5">
      <c r="A34" s="3625"/>
      <c r="B34" s="3625"/>
      <c r="C34" s="3625"/>
      <c r="D34" s="3625"/>
      <c r="E34" s="3625"/>
    </row>
    <row r="35" spans="1:5">
      <c r="A35" s="3625"/>
      <c r="B35" s="3625"/>
      <c r="C35" s="3625"/>
      <c r="D35" s="3625"/>
      <c r="E35" s="3625"/>
    </row>
    <row r="36" spans="1:5">
      <c r="A36" s="3625"/>
      <c r="B36" s="3625"/>
      <c r="C36" s="3625"/>
      <c r="D36" s="3625"/>
      <c r="E36" s="3625"/>
    </row>
    <row r="37" spans="1:5">
      <c r="A37" s="3625"/>
      <c r="B37" s="3625"/>
      <c r="C37" s="3625"/>
      <c r="D37" s="3625"/>
      <c r="E37" s="3625"/>
    </row>
    <row r="38" spans="1:5">
      <c r="A38" s="3625"/>
      <c r="B38" s="3625"/>
      <c r="C38" s="3625"/>
      <c r="D38" s="3625"/>
      <c r="E38" s="3625"/>
    </row>
    <row r="39" spans="1:5">
      <c r="A39" s="3625"/>
      <c r="B39" s="3625"/>
      <c r="C39" s="3625"/>
      <c r="D39" s="3625"/>
      <c r="E39" s="3625"/>
    </row>
    <row r="40" spans="1:5">
      <c r="A40" s="3625"/>
      <c r="B40" s="3625"/>
      <c r="C40" s="3625"/>
      <c r="D40" s="3625"/>
      <c r="E40" s="3625"/>
    </row>
    <row r="41" spans="1:5">
      <c r="A41" s="3625"/>
      <c r="B41" s="3625"/>
      <c r="C41" s="3625"/>
      <c r="D41" s="3625"/>
      <c r="E41" s="3625"/>
    </row>
    <row r="42" spans="1:5">
      <c r="A42" s="3625"/>
      <c r="B42" s="3625"/>
      <c r="C42" s="3625"/>
      <c r="D42" s="3625"/>
      <c r="E42" s="362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666666666667" style="380" customWidth="1"/>
    <col min="2" max="2" width="12" style="380" customWidth="1"/>
    <col min="3" max="3" width="9" style="380"/>
    <col min="4" max="4" width="14.1083333333333" style="380" customWidth="1"/>
    <col min="5" max="5" width="9" style="380"/>
    <col min="6" max="6" width="12.8833333333333" style="380" customWidth="1"/>
    <col min="7" max="16384" width="9" style="380"/>
  </cols>
  <sheetData>
    <row r="1" ht="20.25" spans="1:19">
      <c r="A1" s="381" t="s">
        <v>1988</v>
      </c>
      <c r="B1" s="1497"/>
      <c r="C1" s="1497"/>
      <c r="D1" s="1497"/>
      <c r="E1" s="1498"/>
      <c r="F1" s="1499"/>
      <c r="G1" s="1500"/>
      <c r="H1" s="1500"/>
      <c r="I1" s="1500"/>
      <c r="J1" s="1500"/>
      <c r="K1" s="1500"/>
      <c r="L1" s="1500"/>
      <c r="M1" s="1500"/>
      <c r="N1" s="1500"/>
      <c r="O1" s="1500"/>
      <c r="P1" s="1500"/>
      <c r="Q1" s="1500"/>
      <c r="R1" s="1500"/>
      <c r="S1" s="1500"/>
    </row>
    <row r="2" spans="1:19">
      <c r="A2" s="1501" t="s">
        <v>1144</v>
      </c>
      <c r="B2" s="1502">
        <f ca="1">SUMIF(B6:B13,"&lt;&gt;#ref!",B6:B13)</f>
        <v>249</v>
      </c>
      <c r="C2" s="1503" t="s">
        <v>1989</v>
      </c>
      <c r="D2" s="1504" t="s">
        <v>1990</v>
      </c>
      <c r="E2" s="1505">
        <f>SUM(E6:E13)</f>
        <v>1140.25</v>
      </c>
      <c r="F2" s="1499"/>
      <c r="G2" s="1500"/>
      <c r="H2" s="1500"/>
      <c r="I2" s="1500"/>
      <c r="J2" s="1500"/>
      <c r="K2" s="1500"/>
      <c r="L2" s="1500"/>
      <c r="M2" s="1500"/>
      <c r="N2" s="1500"/>
      <c r="O2" s="1500"/>
      <c r="P2" s="1500"/>
      <c r="Q2" s="1500"/>
      <c r="R2" s="1500"/>
      <c r="S2" s="1500"/>
    </row>
    <row r="3" spans="1:19">
      <c r="A3" s="1501" t="s">
        <v>1146</v>
      </c>
      <c r="B3" s="1506">
        <f ca="1">ROUND(B2*10000/E2,0)</f>
        <v>2184</v>
      </c>
      <c r="C3" s="1503" t="s">
        <v>1991</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1992</v>
      </c>
      <c r="B5" s="1511" t="s">
        <v>1993</v>
      </c>
      <c r="C5" s="1512"/>
      <c r="D5" s="1513"/>
      <c r="E5" s="1514" t="s">
        <v>1994</v>
      </c>
      <c r="F5" s="1515" t="s">
        <v>1995</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1989</v>
      </c>
      <c r="D6" s="1507"/>
      <c r="E6" s="1517">
        <f>IF(OR(A6=0,F6="否"),0,'数据-取费表'!K6+'数据-取费表'!S6)</f>
        <v>0</v>
      </c>
      <c r="F6" s="1518" t="s">
        <v>1996</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249</v>
      </c>
      <c r="C7" s="1503" t="s">
        <v>1989</v>
      </c>
      <c r="D7" s="1507"/>
      <c r="E7" s="1517">
        <f>IF(OR(A7=0,F7="否"),0,'数据-取费表'!K7+'数据-取费表'!S7)</f>
        <v>1140.25</v>
      </c>
      <c r="F7" s="1518" t="s">
        <v>1996</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1989</v>
      </c>
      <c r="D8" s="1507"/>
      <c r="E8" s="1517">
        <f>IF(OR(A8=0,F8="否"),0,'数据-取费表'!K8+'数据-取费表'!S8)</f>
        <v>0</v>
      </c>
      <c r="F8" s="1518" t="s">
        <v>1996</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1989</v>
      </c>
      <c r="D9" s="1507"/>
      <c r="E9" s="1517">
        <f>IF(OR(A9=0,F9="否"),0,'数据-取费表'!K9+'数据-取费表'!S9)</f>
        <v>0</v>
      </c>
      <c r="F9" s="1518" t="s">
        <v>1996</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1989</v>
      </c>
      <c r="D10" s="1507"/>
      <c r="E10" s="1517">
        <f>IF(OR(A10=0,F10="否"),0,'数据-取费表'!K10+'数据-取费表'!S10)</f>
        <v>0</v>
      </c>
      <c r="F10" s="1518" t="s">
        <v>1996</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1989</v>
      </c>
      <c r="D11" s="1507"/>
      <c r="E11" s="1517">
        <f>IF(OR(A11=0,F11="否"),0,'数据-取费表'!K11+'数据-取费表'!S11)</f>
        <v>0</v>
      </c>
      <c r="F11" s="1518" t="s">
        <v>1996</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1989</v>
      </c>
      <c r="D12" s="1507"/>
      <c r="E12" s="1517">
        <f>IF(OR(A12=0,F12="否"),0,'数据-取费表'!K12+'数据-取费表'!S12)</f>
        <v>0</v>
      </c>
      <c r="F12" s="1518" t="s">
        <v>1996</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1989</v>
      </c>
      <c r="D13" s="1521"/>
      <c r="E13" s="1517">
        <f>IF(OR(A13=0,F13="否"),0,'数据-取费表'!K13+'数据-取费表'!S13)</f>
        <v>0</v>
      </c>
      <c r="F13" s="1518" t="s">
        <v>1996</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449" t="s">
        <v>1997</v>
      </c>
      <c r="B1" s="1450"/>
      <c r="C1" s="1451"/>
      <c r="D1" s="1452">
        <f>SUM(I10,I15,I20,I21,I23)</f>
        <v>0</v>
      </c>
      <c r="E1" s="1452"/>
      <c r="F1" s="1452"/>
      <c r="G1" s="1452"/>
      <c r="H1" s="1452"/>
      <c r="I1" s="1490"/>
    </row>
    <row r="2" spans="1:9">
      <c r="A2" s="1453" t="s">
        <v>1998</v>
      </c>
      <c r="B2" s="1454" t="s">
        <v>1999</v>
      </c>
      <c r="C2" s="1454"/>
      <c r="D2" s="1454" t="s">
        <v>2000</v>
      </c>
      <c r="E2" s="1454" t="s">
        <v>704</v>
      </c>
      <c r="F2" s="1454" t="s">
        <v>716</v>
      </c>
      <c r="G2" s="1454" t="s">
        <v>2001</v>
      </c>
      <c r="H2" s="1454" t="s">
        <v>2002</v>
      </c>
      <c r="I2" s="1491" t="s">
        <v>2003</v>
      </c>
    </row>
    <row r="3" spans="1:9">
      <c r="A3" s="1453"/>
      <c r="B3" s="1454" t="s">
        <v>2004</v>
      </c>
      <c r="C3" s="1454"/>
      <c r="D3" s="1455"/>
      <c r="E3" s="1454"/>
      <c r="F3" s="1456"/>
      <c r="G3" s="1456"/>
      <c r="H3" s="1457"/>
      <c r="I3" s="1492">
        <f>ROUND(D3*E3*F3*G3*H3/10000,0)</f>
        <v>0</v>
      </c>
    </row>
    <row r="4" spans="1:9">
      <c r="A4" s="1453"/>
      <c r="B4" s="1454" t="s">
        <v>2005</v>
      </c>
      <c r="C4" s="1454"/>
      <c r="D4" s="1455"/>
      <c r="E4" s="1454"/>
      <c r="F4" s="1456"/>
      <c r="G4" s="1456"/>
      <c r="H4" s="1457"/>
      <c r="I4" s="1492">
        <f t="shared" ref="I4:I9" si="0">ROUND(D4*E4*F4*G4*H4/10000,0)</f>
        <v>0</v>
      </c>
    </row>
    <row r="5" spans="1:9">
      <c r="A5" s="1453"/>
      <c r="B5" s="1454" t="s">
        <v>2006</v>
      </c>
      <c r="C5" s="1454"/>
      <c r="D5" s="1455"/>
      <c r="E5" s="1454"/>
      <c r="F5" s="1456"/>
      <c r="G5" s="1456"/>
      <c r="H5" s="1457"/>
      <c r="I5" s="1492">
        <f t="shared" si="0"/>
        <v>0</v>
      </c>
    </row>
    <row r="6" spans="1:9">
      <c r="A6" s="1453"/>
      <c r="B6" s="1454" t="s">
        <v>2007</v>
      </c>
      <c r="C6" s="1454"/>
      <c r="D6" s="1455"/>
      <c r="E6" s="1454"/>
      <c r="F6" s="1456"/>
      <c r="G6" s="1456"/>
      <c r="H6" s="1457"/>
      <c r="I6" s="1492">
        <f t="shared" si="0"/>
        <v>0</v>
      </c>
    </row>
    <row r="7" spans="1:9">
      <c r="A7" s="1453"/>
      <c r="B7" s="1454" t="s">
        <v>2008</v>
      </c>
      <c r="C7" s="1454"/>
      <c r="D7" s="1455"/>
      <c r="E7" s="1454"/>
      <c r="F7" s="1456"/>
      <c r="G7" s="1456"/>
      <c r="H7" s="1457"/>
      <c r="I7" s="1492">
        <f t="shared" si="0"/>
        <v>0</v>
      </c>
    </row>
    <row r="8" spans="1:9">
      <c r="A8" s="1453"/>
      <c r="B8" s="1454" t="s">
        <v>2009</v>
      </c>
      <c r="C8" s="1454"/>
      <c r="D8" s="1455"/>
      <c r="E8" s="1454"/>
      <c r="F8" s="1456"/>
      <c r="G8" s="1456"/>
      <c r="H8" s="1457"/>
      <c r="I8" s="1492">
        <f t="shared" si="0"/>
        <v>0</v>
      </c>
    </row>
    <row r="9" spans="1:9">
      <c r="A9" s="1453"/>
      <c r="B9" s="1454" t="s">
        <v>2010</v>
      </c>
      <c r="C9" s="1454"/>
      <c r="D9" s="1455"/>
      <c r="E9" s="1454"/>
      <c r="F9" s="1456"/>
      <c r="G9" s="1456"/>
      <c r="H9" s="1457"/>
      <c r="I9" s="1492">
        <f t="shared" si="0"/>
        <v>0</v>
      </c>
    </row>
    <row r="10" spans="1:9">
      <c r="A10" s="1453"/>
      <c r="B10" s="1458" t="s">
        <v>496</v>
      </c>
      <c r="C10" s="1458"/>
      <c r="D10" s="1459"/>
      <c r="E10" s="1459" t="e">
        <f>ROUND(D1*10000/D10/H9,0)</f>
        <v>#DIV/0!</v>
      </c>
      <c r="F10" s="1460"/>
      <c r="G10" s="1460"/>
      <c r="H10" s="1461"/>
      <c r="I10" s="1493">
        <f>SUM(I3:I9)</f>
        <v>0</v>
      </c>
    </row>
    <row r="11" ht="14.25" spans="1:9">
      <c r="A11" s="1453" t="s">
        <v>2011</v>
      </c>
      <c r="B11" s="1454" t="s">
        <v>2012</v>
      </c>
      <c r="C11" s="1454"/>
      <c r="D11" s="1455" t="s">
        <v>2013</v>
      </c>
      <c r="E11" s="1455" t="s">
        <v>2014</v>
      </c>
      <c r="F11" s="1456" t="s">
        <v>2015</v>
      </c>
      <c r="G11" s="1456" t="s">
        <v>2002</v>
      </c>
      <c r="H11" s="1462" t="s">
        <v>124</v>
      </c>
      <c r="I11" s="1491" t="s">
        <v>2003</v>
      </c>
    </row>
    <row r="12" spans="1:9">
      <c r="A12" s="1453"/>
      <c r="B12" s="1454" t="s">
        <v>2016</v>
      </c>
      <c r="C12" s="1454"/>
      <c r="D12" s="1455"/>
      <c r="E12" s="1455"/>
      <c r="F12" s="1456"/>
      <c r="G12" s="1457"/>
      <c r="H12" s="1463"/>
      <c r="I12" s="1491">
        <f>ROUND(D12*E12*F12*G12/10000,0)</f>
        <v>0</v>
      </c>
    </row>
    <row r="13" spans="1:9">
      <c r="A13" s="1453"/>
      <c r="B13" s="1454" t="s">
        <v>2017</v>
      </c>
      <c r="C13" s="1454"/>
      <c r="D13" s="1455"/>
      <c r="E13" s="1455"/>
      <c r="F13" s="1456"/>
      <c r="G13" s="1457"/>
      <c r="H13" s="1463"/>
      <c r="I13" s="1491">
        <f>ROUND(D13*E13*F13*G13/10000,0)</f>
        <v>0</v>
      </c>
    </row>
    <row r="14" spans="1:9">
      <c r="A14" s="1453"/>
      <c r="B14" s="1454" t="s">
        <v>2018</v>
      </c>
      <c r="C14" s="1454"/>
      <c r="D14" s="1455"/>
      <c r="E14" s="1455"/>
      <c r="F14" s="1456"/>
      <c r="G14" s="1457"/>
      <c r="H14" s="1463"/>
      <c r="I14" s="1491">
        <f>ROUND(D14*E14*F14*G14/10000,0)</f>
        <v>0</v>
      </c>
    </row>
    <row r="15" spans="1:9">
      <c r="A15" s="1453"/>
      <c r="B15" s="1458" t="s">
        <v>496</v>
      </c>
      <c r="C15" s="1458"/>
      <c r="D15" s="1459"/>
      <c r="E15" s="1459">
        <f>SUM(E12:E14)</f>
        <v>0</v>
      </c>
      <c r="F15" s="1460"/>
      <c r="G15" s="1457"/>
      <c r="H15" s="1463"/>
      <c r="I15" s="1494">
        <f>SUM(I12:I14)</f>
        <v>0</v>
      </c>
    </row>
    <row r="16" ht="24" spans="1:9">
      <c r="A16" s="1453" t="s">
        <v>2019</v>
      </c>
      <c r="B16" s="1454" t="s">
        <v>2020</v>
      </c>
      <c r="C16" s="1454"/>
      <c r="D16" s="1455" t="s">
        <v>2000</v>
      </c>
      <c r="E16" s="1464" t="s">
        <v>2021</v>
      </c>
      <c r="F16" s="1456" t="s">
        <v>2022</v>
      </c>
      <c r="G16" s="1457" t="s">
        <v>2002</v>
      </c>
      <c r="H16" s="1462" t="s">
        <v>124</v>
      </c>
      <c r="I16" s="1491" t="s">
        <v>2003</v>
      </c>
    </row>
    <row r="17" ht="14.25" spans="1:9">
      <c r="A17" s="1453"/>
      <c r="B17" s="1454" t="s">
        <v>2023</v>
      </c>
      <c r="C17" s="1454"/>
      <c r="D17" s="1455"/>
      <c r="E17" s="1455"/>
      <c r="F17" s="1456"/>
      <c r="G17" s="1457"/>
      <c r="H17" s="1465"/>
      <c r="I17" s="1495">
        <f>ROUND(D17*E17*F17*G17/10000,0)</f>
        <v>0</v>
      </c>
    </row>
    <row r="18" ht="14.25" spans="1:9">
      <c r="A18" s="1453"/>
      <c r="B18" s="1454" t="s">
        <v>2024</v>
      </c>
      <c r="C18" s="1454"/>
      <c r="D18" s="1455"/>
      <c r="E18" s="1455"/>
      <c r="F18" s="1456"/>
      <c r="G18" s="1457"/>
      <c r="H18" s="1465"/>
      <c r="I18" s="1495">
        <f>ROUND(D18*E18*F18*G18/10000,0)</f>
        <v>0</v>
      </c>
    </row>
    <row r="19" ht="14.25" spans="1:9">
      <c r="A19" s="1453"/>
      <c r="B19" s="1454" t="s">
        <v>2025</v>
      </c>
      <c r="C19" s="1454"/>
      <c r="D19" s="1455"/>
      <c r="E19" s="1455"/>
      <c r="F19" s="1456"/>
      <c r="G19" s="1457"/>
      <c r="H19" s="1465"/>
      <c r="I19" s="1495">
        <f>ROUND(D19*E19*F19*G19/10000,0)</f>
        <v>0</v>
      </c>
    </row>
    <row r="20" spans="1:9">
      <c r="A20" s="1453"/>
      <c r="B20" s="1458" t="s">
        <v>496</v>
      </c>
      <c r="C20" s="1458"/>
      <c r="D20" s="1459">
        <f>SUM(D17:D19)</f>
        <v>0</v>
      </c>
      <c r="E20" s="1459"/>
      <c r="F20" s="1460"/>
      <c r="G20" s="1457"/>
      <c r="H20" s="1463"/>
      <c r="I20" s="1494">
        <f>SUM(I17:I19)</f>
        <v>0</v>
      </c>
    </row>
    <row r="21" spans="1:9">
      <c r="A21" s="1453" t="s">
        <v>2026</v>
      </c>
      <c r="B21" s="1466"/>
      <c r="C21" s="1466"/>
      <c r="D21" s="1466"/>
      <c r="E21" s="1466"/>
      <c r="F21" s="1466"/>
      <c r="G21" s="1466"/>
      <c r="H21" s="1467">
        <v>0.1</v>
      </c>
      <c r="I21" s="1493">
        <f>ROUND(I10*H21,0)</f>
        <v>0</v>
      </c>
    </row>
    <row r="22" ht="14.25" spans="1:9">
      <c r="A22" s="1468" t="s">
        <v>2027</v>
      </c>
      <c r="B22" s="1469"/>
      <c r="C22" s="1470"/>
      <c r="D22" s="1471" t="s">
        <v>492</v>
      </c>
      <c r="E22" s="1471" t="s">
        <v>2028</v>
      </c>
      <c r="F22" s="1472" t="s">
        <v>2002</v>
      </c>
      <c r="G22" s="1472" t="s">
        <v>2029</v>
      </c>
      <c r="H22" s="1462" t="s">
        <v>124</v>
      </c>
      <c r="I22" s="1491" t="s">
        <v>2003</v>
      </c>
    </row>
    <row r="23" ht="14.25" spans="1:9">
      <c r="A23" s="1473"/>
      <c r="B23" s="1474"/>
      <c r="C23" s="1475"/>
      <c r="D23" s="1476"/>
      <c r="E23" s="1476"/>
      <c r="F23" s="1476"/>
      <c r="G23" s="1477"/>
      <c r="H23" s="1478"/>
      <c r="I23" s="1496">
        <f>ROUND(E23*D23*F23*(1-G23)/10000,0)</f>
        <v>0</v>
      </c>
    </row>
    <row r="26" spans="1:8">
      <c r="A26" s="1479" t="s">
        <v>2030</v>
      </c>
      <c r="B26" s="1479"/>
      <c r="C26" s="1479"/>
      <c r="D26" s="1479"/>
      <c r="E26" s="1480">
        <f>C27-C30-C31-C32</f>
        <v>0</v>
      </c>
      <c r="F26" s="1480"/>
      <c r="G26" s="1480"/>
      <c r="H26" s="1481" t="s">
        <v>2031</v>
      </c>
    </row>
    <row r="27" spans="1:7">
      <c r="A27" s="1482">
        <v>1</v>
      </c>
      <c r="B27" s="1483" t="s">
        <v>2032</v>
      </c>
      <c r="C27" s="1483">
        <f>C28+C29</f>
        <v>0</v>
      </c>
      <c r="D27" s="1483"/>
      <c r="E27" s="1482"/>
      <c r="F27" s="1482"/>
      <c r="G27" s="1482"/>
    </row>
    <row r="28" spans="1:7">
      <c r="A28" s="1484" t="s">
        <v>2033</v>
      </c>
      <c r="B28" s="1483" t="s">
        <v>2034</v>
      </c>
      <c r="C28" s="1483"/>
      <c r="D28" s="1483"/>
      <c r="E28" s="1482"/>
      <c r="F28" s="1482"/>
      <c r="G28" s="1482"/>
    </row>
    <row r="29" spans="1:7">
      <c r="A29" s="1484" t="s">
        <v>2035</v>
      </c>
      <c r="B29" s="1483" t="s">
        <v>2036</v>
      </c>
      <c r="C29" s="1483"/>
      <c r="D29" s="1483"/>
      <c r="E29" s="1483" t="s">
        <v>2037</v>
      </c>
      <c r="F29" s="1483"/>
      <c r="G29" s="1483"/>
    </row>
    <row r="30" spans="1:7">
      <c r="A30" s="1482">
        <v>2</v>
      </c>
      <c r="B30" s="1483" t="s">
        <v>2038</v>
      </c>
      <c r="C30" s="1483">
        <f>C27*D30</f>
        <v>0</v>
      </c>
      <c r="D30" s="1485">
        <v>0.2</v>
      </c>
      <c r="E30" s="1483" t="s">
        <v>2039</v>
      </c>
      <c r="F30" s="1483"/>
      <c r="G30" s="1483"/>
    </row>
    <row r="31" spans="1:7">
      <c r="A31" s="1482">
        <v>3</v>
      </c>
      <c r="B31" s="1483" t="s">
        <v>2040</v>
      </c>
      <c r="C31" s="1483">
        <f>C27*D31</f>
        <v>0</v>
      </c>
      <c r="D31" s="1485">
        <v>0.15</v>
      </c>
      <c r="E31" s="1483" t="s">
        <v>2041</v>
      </c>
      <c r="F31" s="1483"/>
      <c r="G31" s="1483"/>
    </row>
    <row r="32" spans="1:7">
      <c r="A32" s="1482">
        <v>4</v>
      </c>
      <c r="B32" s="1483" t="s">
        <v>2042</v>
      </c>
      <c r="C32" s="1483">
        <f>C27*D32</f>
        <v>0</v>
      </c>
      <c r="D32" s="1485">
        <v>0.05</v>
      </c>
      <c r="E32" s="1483"/>
      <c r="F32" s="1483"/>
      <c r="G32" s="1483"/>
    </row>
    <row r="33" hidden="1" spans="1:7">
      <c r="A33" s="1486" t="s">
        <v>2043</v>
      </c>
      <c r="B33" s="1487"/>
      <c r="C33" s="1487"/>
      <c r="D33" s="1488"/>
      <c r="E33" s="1480"/>
      <c r="F33" s="1480"/>
      <c r="G33" s="1480"/>
    </row>
    <row r="34" hidden="1" spans="1:7">
      <c r="A34" s="1489">
        <v>1</v>
      </c>
      <c r="B34" s="1483" t="s">
        <v>2044</v>
      </c>
      <c r="C34" s="1483"/>
      <c r="D34" s="1483"/>
      <c r="E34" s="1482"/>
      <c r="F34" s="1482"/>
      <c r="G34" s="1482"/>
    </row>
    <row r="35" hidden="1" spans="1:7">
      <c r="A35" s="1489">
        <v>2</v>
      </c>
      <c r="B35" s="1483" t="s">
        <v>801</v>
      </c>
      <c r="C35" s="1483"/>
      <c r="D35" s="1483"/>
      <c r="E35" s="1482"/>
      <c r="F35" s="1482"/>
      <c r="G35" s="1482"/>
    </row>
    <row r="36" hidden="1" spans="1:7">
      <c r="A36" s="1489">
        <v>3</v>
      </c>
      <c r="B36" s="1483" t="s">
        <v>798</v>
      </c>
      <c r="C36" s="1483"/>
      <c r="D36" s="1483"/>
      <c r="E36" s="1482"/>
      <c r="F36" s="1482"/>
      <c r="G36" s="1482"/>
    </row>
    <row r="37" hidden="1" spans="1:7">
      <c r="A37" s="1489">
        <v>4</v>
      </c>
      <c r="B37" s="1483" t="s">
        <v>2045</v>
      </c>
      <c r="C37" s="1483"/>
      <c r="D37" s="1483"/>
      <c r="E37" s="1482"/>
      <c r="F37" s="1482"/>
      <c r="G37" s="1482"/>
    </row>
    <row r="38" hidden="1" spans="1:7">
      <c r="A38" s="1486" t="s">
        <v>2046</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416666666667" style="814" customWidth="1"/>
    <col min="2" max="2" width="15.775" style="814" customWidth="1"/>
    <col min="3" max="3" width="15.6666666666667"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1139</v>
      </c>
      <c r="B1" s="1368" t="s">
        <v>2047</v>
      </c>
      <c r="C1" s="1226" t="s">
        <v>1141</v>
      </c>
      <c r="D1" s="1227"/>
      <c r="E1" s="1228"/>
      <c r="F1" s="1229"/>
      <c r="G1" s="1230" t="s">
        <v>1143</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1144</v>
      </c>
      <c r="B2" s="1232" t="e">
        <f ca="1">IF(C2="——",ROUND(C50*D3/10000,0),ROUND(C50*D3/10000,0)-D2)</f>
        <v>#DIV/0!</v>
      </c>
      <c r="C2" s="1233"/>
      <c r="D2" s="1412" t="e">
        <f ca="1">SUMIF(INDIRECT("'"&amp;F2&amp;"'"&amp;"!A:A"),"承租人权益价值",INDIRECT("'"&amp;F2&amp;"'"&amp;"!c:c"))</f>
        <v>#REF!</v>
      </c>
      <c r="E2" s="1234" t="s">
        <v>1145</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1146</v>
      </c>
      <c r="B3" s="825" t="e">
        <f ca="1">IF(C2="——",C50,ROUND(B2*10000/D3,0))</f>
        <v>#DIV/0!</v>
      </c>
      <c r="C3" s="1236" t="s">
        <v>1147</v>
      </c>
      <c r="D3" s="1237">
        <f>IF(D1="",'数据-汇总表'!E3,SUMIF('数据-汇总表'!$C19:$C33,D1,'数据-汇总表'!$E19:$E33))</f>
        <v>33735.37</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1148</v>
      </c>
      <c r="B4" s="828"/>
      <c r="C4" s="829" t="s">
        <v>1149</v>
      </c>
      <c r="D4" s="830"/>
      <c r="E4" s="831" t="s">
        <v>1150</v>
      </c>
      <c r="F4" s="832"/>
      <c r="G4" s="829" t="s">
        <v>1151</v>
      </c>
      <c r="H4" s="830"/>
      <c r="I4" s="829" t="s">
        <v>1152</v>
      </c>
      <c r="J4" s="830"/>
      <c r="K4" s="984" t="s">
        <v>1153</v>
      </c>
      <c r="L4" s="985"/>
      <c r="M4" s="986"/>
      <c r="N4" s="986"/>
      <c r="O4" s="986"/>
      <c r="P4" s="1423" t="s">
        <v>1154</v>
      </c>
      <c r="Q4" s="1433"/>
      <c r="R4" s="1434" t="s">
        <v>1150</v>
      </c>
      <c r="S4" s="1435"/>
      <c r="T4" s="1434" t="s">
        <v>1151</v>
      </c>
      <c r="U4" s="1435"/>
      <c r="V4" s="949" t="s">
        <v>1152</v>
      </c>
      <c r="W4" s="949"/>
      <c r="X4" s="1436"/>
      <c r="Y4" s="1434" t="s">
        <v>1154</v>
      </c>
      <c r="Z4" s="1435"/>
      <c r="AA4" s="1436" t="s">
        <v>1150</v>
      </c>
      <c r="AB4" s="1436" t="s">
        <v>1151</v>
      </c>
      <c r="AC4" s="1440" t="s">
        <v>1152</v>
      </c>
    </row>
    <row r="5" ht="15" spans="1:29">
      <c r="A5" s="833"/>
      <c r="B5" s="834"/>
      <c r="C5" s="835" t="s">
        <v>1155</v>
      </c>
      <c r="D5" s="836"/>
      <c r="E5" s="837" t="s">
        <v>1156</v>
      </c>
      <c r="F5" s="838"/>
      <c r="G5" s="835" t="s">
        <v>1157</v>
      </c>
      <c r="H5" s="836"/>
      <c r="I5" s="835" t="s">
        <v>1158</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1159</v>
      </c>
      <c r="D6" s="1188"/>
      <c r="E6" s="1189" t="s">
        <v>1159</v>
      </c>
      <c r="F6" s="1190"/>
      <c r="G6" s="1187" t="s">
        <v>1159</v>
      </c>
      <c r="H6" s="1188"/>
      <c r="I6" s="1187" t="s">
        <v>1159</v>
      </c>
      <c r="J6" s="1188"/>
      <c r="K6" s="984" t="s">
        <v>1160</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1161</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1162</v>
      </c>
      <c r="Q7" s="1046"/>
      <c r="R7" s="1047" t="s">
        <v>1163</v>
      </c>
      <c r="S7" s="1048">
        <f t="shared" ref="S7:S15" si="0">F7</f>
        <v>0</v>
      </c>
      <c r="T7" s="1047" t="s">
        <v>1163</v>
      </c>
      <c r="U7" s="1048">
        <f t="shared" ref="U7:U15" si="1">H7</f>
        <v>0</v>
      </c>
      <c r="V7" s="1047" t="s">
        <v>1163</v>
      </c>
      <c r="W7" s="1048">
        <f t="shared" ref="W7:W15" si="2">J7</f>
        <v>0</v>
      </c>
      <c r="X7" s="1049"/>
      <c r="Y7" s="993" t="s">
        <v>1162</v>
      </c>
      <c r="Z7" s="1050"/>
      <c r="AA7" s="1066" t="e">
        <f>D7/F7</f>
        <v>#DIV/0!</v>
      </c>
      <c r="AB7" s="1066" t="e">
        <f>D7/H7</f>
        <v>#DIV/0!</v>
      </c>
      <c r="AC7" s="1442" t="e">
        <f>D7/J7</f>
        <v>#DIV/0!</v>
      </c>
    </row>
    <row r="8" s="808" customFormat="1" ht="15.75" spans="1:29">
      <c r="A8" s="845" t="s">
        <v>1164</v>
      </c>
      <c r="B8" s="846"/>
      <c r="C8" s="852" t="s">
        <v>1165</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1166</v>
      </c>
      <c r="Q8" s="1050"/>
      <c r="R8" s="1047" t="s">
        <v>1163</v>
      </c>
      <c r="S8" s="1048">
        <f t="shared" si="0"/>
        <v>0</v>
      </c>
      <c r="T8" s="1047" t="s">
        <v>1163</v>
      </c>
      <c r="U8" s="1048">
        <f t="shared" si="1"/>
        <v>0</v>
      </c>
      <c r="V8" s="1047" t="s">
        <v>1163</v>
      </c>
      <c r="W8" s="1048">
        <f t="shared" si="2"/>
        <v>0</v>
      </c>
      <c r="X8" s="1049"/>
      <c r="Y8" s="993" t="s">
        <v>1166</v>
      </c>
      <c r="Z8" s="1050"/>
      <c r="AA8" s="1066" t="e">
        <f t="shared" ref="AA8:AA47" si="3">D8/F8</f>
        <v>#DIV/0!</v>
      </c>
      <c r="AB8" s="1066" t="e">
        <f t="shared" ref="AB8:AB47" si="4">D8/H8</f>
        <v>#DIV/0!</v>
      </c>
      <c r="AC8" s="1442" t="e">
        <f t="shared" ref="AC8:AC47" si="5">D8/J8</f>
        <v>#DIV/0!</v>
      </c>
    </row>
    <row r="9" s="808" customFormat="1" spans="1:29">
      <c r="A9" s="853" t="s">
        <v>1167</v>
      </c>
      <c r="B9" s="854" t="s">
        <v>1168</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1169</v>
      </c>
      <c r="Q9" s="1051" t="str">
        <f t="shared" ref="Q9:Q15" si="6">B9</f>
        <v>用途</v>
      </c>
      <c r="R9" s="1047" t="s">
        <v>1163</v>
      </c>
      <c r="S9" s="1048">
        <f t="shared" si="0"/>
        <v>100</v>
      </c>
      <c r="T9" s="1047" t="s">
        <v>1163</v>
      </c>
      <c r="U9" s="1048">
        <f t="shared" si="1"/>
        <v>100</v>
      </c>
      <c r="V9" s="1047" t="s">
        <v>1163</v>
      </c>
      <c r="W9" s="1048">
        <f t="shared" si="2"/>
        <v>100</v>
      </c>
      <c r="X9" s="1049"/>
      <c r="Y9" s="1051" t="s">
        <v>1170</v>
      </c>
      <c r="Z9" s="1067" t="str">
        <f t="shared" ref="Z9:Z15" si="7">Q9</f>
        <v>用途</v>
      </c>
      <c r="AA9" s="1066">
        <f t="shared" si="3"/>
        <v>1</v>
      </c>
      <c r="AB9" s="1066">
        <f t="shared" si="4"/>
        <v>1</v>
      </c>
      <c r="AC9" s="1442">
        <f t="shared" si="5"/>
        <v>1</v>
      </c>
    </row>
    <row r="10" s="809" customFormat="1" ht="27" spans="1:29">
      <c r="A10" s="857"/>
      <c r="B10" s="858" t="s">
        <v>1171</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1163</v>
      </c>
      <c r="S10" s="1048">
        <f t="shared" si="0"/>
        <v>100</v>
      </c>
      <c r="T10" s="1047" t="s">
        <v>1163</v>
      </c>
      <c r="U10" s="1048">
        <f t="shared" si="1"/>
        <v>100</v>
      </c>
      <c r="V10" s="1047" t="s">
        <v>1163</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1172</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1163</v>
      </c>
      <c r="S11" s="1048" t="e">
        <f t="shared" si="0"/>
        <v>#N/A</v>
      </c>
      <c r="T11" s="1047" t="s">
        <v>1163</v>
      </c>
      <c r="U11" s="1048" t="e">
        <f t="shared" si="1"/>
        <v>#N/A</v>
      </c>
      <c r="V11" s="1047" t="s">
        <v>1163</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1163</v>
      </c>
      <c r="S12" s="1048">
        <f t="shared" si="0"/>
        <v>100</v>
      </c>
      <c r="T12" s="1047" t="s">
        <v>1163</v>
      </c>
      <c r="U12" s="1048">
        <f t="shared" si="1"/>
        <v>100</v>
      </c>
      <c r="V12" s="1047" t="s">
        <v>1163</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1163</v>
      </c>
      <c r="S13" s="1048">
        <f t="shared" si="0"/>
        <v>100</v>
      </c>
      <c r="T13" s="1047" t="s">
        <v>1163</v>
      </c>
      <c r="U13" s="1048">
        <f t="shared" si="1"/>
        <v>100</v>
      </c>
      <c r="V13" s="1047" t="s">
        <v>1163</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1163</v>
      </c>
      <c r="S14" s="1048">
        <f t="shared" si="0"/>
        <v>100</v>
      </c>
      <c r="T14" s="1047" t="s">
        <v>1163</v>
      </c>
      <c r="U14" s="1048">
        <f t="shared" si="1"/>
        <v>100</v>
      </c>
      <c r="V14" s="1047" t="s">
        <v>1163</v>
      </c>
      <c r="W14" s="1048">
        <f t="shared" si="2"/>
        <v>100</v>
      </c>
      <c r="X14" s="1049"/>
      <c r="Y14" s="1051"/>
      <c r="Z14" s="1067">
        <f t="shared" si="7"/>
        <v>111</v>
      </c>
      <c r="AA14" s="1066">
        <f t="shared" si="3"/>
        <v>1</v>
      </c>
      <c r="AB14" s="1066">
        <f t="shared" si="4"/>
        <v>1</v>
      </c>
      <c r="AC14" s="1442">
        <f t="shared" si="5"/>
        <v>1</v>
      </c>
    </row>
    <row r="15" ht="68.25" spans="1:29">
      <c r="A15" s="875" t="s">
        <v>1173</v>
      </c>
      <c r="B15" s="876" t="s">
        <v>2048</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1175</v>
      </c>
      <c r="Q15" s="554" t="str">
        <f t="shared" si="6"/>
        <v>办公集聚程度</v>
      </c>
      <c r="R15" s="1052" t="s">
        <v>1163</v>
      </c>
      <c r="S15" s="1053">
        <f t="shared" si="0"/>
        <v>100</v>
      </c>
      <c r="T15" s="1052" t="s">
        <v>1163</v>
      </c>
      <c r="U15" s="1053">
        <f t="shared" si="1"/>
        <v>100</v>
      </c>
      <c r="V15" s="1052" t="s">
        <v>1163</v>
      </c>
      <c r="W15" s="1053">
        <f t="shared" si="2"/>
        <v>100</v>
      </c>
      <c r="X15" s="1039"/>
      <c r="Y15" s="1004" t="s">
        <v>1175</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1176</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1163</v>
      </c>
      <c r="S17" s="1053">
        <f>F17</f>
        <v>100</v>
      </c>
      <c r="T17" s="1052" t="s">
        <v>1163</v>
      </c>
      <c r="U17" s="1053">
        <f>H17</f>
        <v>100</v>
      </c>
      <c r="V17" s="1052" t="s">
        <v>1163</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1177</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1163</v>
      </c>
      <c r="S19" s="1053">
        <f>F19</f>
        <v>100</v>
      </c>
      <c r="T19" s="1052" t="s">
        <v>1163</v>
      </c>
      <c r="U19" s="1053">
        <f>H19</f>
        <v>100</v>
      </c>
      <c r="V19" s="1052" t="s">
        <v>1163</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1178</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1163</v>
      </c>
      <c r="S21" s="1053">
        <f>F21</f>
        <v>100</v>
      </c>
      <c r="T21" s="1052" t="s">
        <v>1163</v>
      </c>
      <c r="U21" s="1053">
        <f>H21</f>
        <v>100</v>
      </c>
      <c r="V21" s="1052" t="s">
        <v>1163</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2049</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1163</v>
      </c>
      <c r="S23" s="1053">
        <f>F23</f>
        <v>100</v>
      </c>
      <c r="T23" s="1052" t="s">
        <v>1163</v>
      </c>
      <c r="U23" s="1053">
        <f>H23</f>
        <v>100</v>
      </c>
      <c r="V23" s="1052" t="s">
        <v>1163</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2050</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1163</v>
      </c>
      <c r="S25" s="1053">
        <f>F25</f>
        <v>100</v>
      </c>
      <c r="T25" s="1052" t="s">
        <v>1163</v>
      </c>
      <c r="U25" s="1053">
        <f>H25</f>
        <v>100</v>
      </c>
      <c r="V25" s="1052" t="s">
        <v>1163</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1256</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1163</v>
      </c>
      <c r="S27" s="1053">
        <f>F27</f>
        <v>100</v>
      </c>
      <c r="T27" s="1052" t="s">
        <v>1163</v>
      </c>
      <c r="U27" s="1053">
        <f>H27</f>
        <v>100</v>
      </c>
      <c r="V27" s="1052" t="s">
        <v>1163</v>
      </c>
      <c r="W27" s="1053">
        <f>J27</f>
        <v>100</v>
      </c>
      <c r="X27" s="1039"/>
      <c r="Y27" s="1005"/>
      <c r="Z27" s="1026" t="str">
        <f>Q27</f>
        <v>楼层</v>
      </c>
      <c r="AA27" s="1068">
        <f t="shared" si="3"/>
        <v>1</v>
      </c>
      <c r="AB27" s="1068">
        <f t="shared" si="4"/>
        <v>1</v>
      </c>
      <c r="AC27" s="1443">
        <f t="shared" si="5"/>
        <v>1</v>
      </c>
    </row>
    <row r="28" s="808" customFormat="1" ht="15" spans="1:29">
      <c r="A28" s="864"/>
      <c r="B28" s="885" t="s">
        <v>1181</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1163</v>
      </c>
      <c r="S28" s="1048">
        <f>F28</f>
        <v>100</v>
      </c>
      <c r="T28" s="1047" t="s">
        <v>1163</v>
      </c>
      <c r="U28" s="1048">
        <f>H28</f>
        <v>100</v>
      </c>
      <c r="V28" s="1047" t="s">
        <v>1163</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1163</v>
      </c>
      <c r="S29" s="1053">
        <f t="shared" ref="S29:S47" si="12">F29</f>
        <v>100</v>
      </c>
      <c r="T29" s="1052" t="s">
        <v>1163</v>
      </c>
      <c r="U29" s="1053">
        <f t="shared" ref="U29:U47" si="13">H29</f>
        <v>100</v>
      </c>
      <c r="V29" s="1052" t="s">
        <v>1163</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1163</v>
      </c>
      <c r="S30" s="1053">
        <f t="shared" si="12"/>
        <v>100</v>
      </c>
      <c r="T30" s="1052" t="s">
        <v>1163</v>
      </c>
      <c r="U30" s="1053">
        <f t="shared" si="13"/>
        <v>100</v>
      </c>
      <c r="V30" s="1052" t="s">
        <v>1163</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1163</v>
      </c>
      <c r="S31" s="1053">
        <f t="shared" si="12"/>
        <v>100</v>
      </c>
      <c r="T31" s="1052" t="s">
        <v>1163</v>
      </c>
      <c r="U31" s="1053">
        <f t="shared" si="13"/>
        <v>100</v>
      </c>
      <c r="V31" s="1052" t="s">
        <v>1163</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1163</v>
      </c>
      <c r="S32" s="1053">
        <f t="shared" si="12"/>
        <v>100</v>
      </c>
      <c r="T32" s="1052" t="s">
        <v>1163</v>
      </c>
      <c r="U32" s="1053">
        <f t="shared" si="13"/>
        <v>100</v>
      </c>
      <c r="V32" s="1052" t="s">
        <v>1163</v>
      </c>
      <c r="W32" s="1053">
        <f t="shared" si="14"/>
        <v>100</v>
      </c>
      <c r="X32" s="1039"/>
      <c r="Y32" s="1005"/>
      <c r="Z32" s="1026">
        <f t="shared" si="15"/>
        <v>111</v>
      </c>
      <c r="AA32" s="1068">
        <f t="shared" si="3"/>
        <v>1</v>
      </c>
      <c r="AB32" s="1068">
        <f t="shared" si="4"/>
        <v>1</v>
      </c>
      <c r="AC32" s="1443">
        <f t="shared" si="5"/>
        <v>1</v>
      </c>
    </row>
    <row r="33" ht="15" spans="1:29">
      <c r="A33" s="875" t="s">
        <v>1182</v>
      </c>
      <c r="B33" s="854" t="s">
        <v>1183</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1184</v>
      </c>
      <c r="Q33" s="554" t="str">
        <f t="shared" si="11"/>
        <v>建筑类型</v>
      </c>
      <c r="R33" s="1052" t="s">
        <v>1163</v>
      </c>
      <c r="S33" s="1053">
        <f t="shared" si="12"/>
        <v>100</v>
      </c>
      <c r="T33" s="1052" t="s">
        <v>1163</v>
      </c>
      <c r="U33" s="1053">
        <f t="shared" si="13"/>
        <v>100</v>
      </c>
      <c r="V33" s="1052" t="s">
        <v>1163</v>
      </c>
      <c r="W33" s="1053">
        <f t="shared" si="14"/>
        <v>100</v>
      </c>
      <c r="X33" s="1039"/>
      <c r="Y33" s="1014" t="s">
        <v>1184</v>
      </c>
      <c r="Z33" s="1026" t="str">
        <f t="shared" si="15"/>
        <v>建筑类型</v>
      </c>
      <c r="AA33" s="1068">
        <f t="shared" si="3"/>
        <v>1</v>
      </c>
      <c r="AB33" s="1068">
        <f t="shared" si="4"/>
        <v>1</v>
      </c>
      <c r="AC33" s="1443">
        <f t="shared" si="5"/>
        <v>1</v>
      </c>
    </row>
    <row r="34" s="810" customFormat="1" ht="15" spans="1:29">
      <c r="A34" s="917"/>
      <c r="B34" s="858" t="s">
        <v>1185</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1163</v>
      </c>
      <c r="S34" s="1055" t="e">
        <f t="shared" si="12"/>
        <v>#N/A</v>
      </c>
      <c r="T34" s="1054" t="s">
        <v>1163</v>
      </c>
      <c r="U34" s="1055" t="e">
        <f t="shared" si="13"/>
        <v>#N/A</v>
      </c>
      <c r="V34" s="1054" t="s">
        <v>1163</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1186</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1163</v>
      </c>
      <c r="S35" s="1053">
        <f t="shared" si="12"/>
        <v>100</v>
      </c>
      <c r="T35" s="1052" t="s">
        <v>1163</v>
      </c>
      <c r="U35" s="1053">
        <f t="shared" si="13"/>
        <v>100</v>
      </c>
      <c r="V35" s="1052" t="s">
        <v>1163</v>
      </c>
      <c r="W35" s="1053">
        <f t="shared" si="14"/>
        <v>100</v>
      </c>
      <c r="X35" s="1039"/>
      <c r="Y35" s="1014"/>
      <c r="Z35" s="1026" t="str">
        <f t="shared" si="15"/>
        <v>建筑结构</v>
      </c>
      <c r="AA35" s="1068">
        <f t="shared" si="3"/>
        <v>1</v>
      </c>
      <c r="AB35" s="1068">
        <f t="shared" si="4"/>
        <v>1</v>
      </c>
      <c r="AC35" s="1443">
        <f t="shared" si="5"/>
        <v>1</v>
      </c>
    </row>
    <row r="36" ht="15" spans="1:29">
      <c r="A36" s="912"/>
      <c r="B36" s="858" t="s">
        <v>1188</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1163</v>
      </c>
      <c r="S36" s="1053">
        <f t="shared" si="12"/>
        <v>100</v>
      </c>
      <c r="T36" s="1052" t="s">
        <v>1163</v>
      </c>
      <c r="U36" s="1053">
        <f t="shared" si="13"/>
        <v>100</v>
      </c>
      <c r="V36" s="1052" t="s">
        <v>1163</v>
      </c>
      <c r="W36" s="1053">
        <f t="shared" si="14"/>
        <v>100</v>
      </c>
      <c r="X36" s="1039"/>
      <c r="Y36" s="1014"/>
      <c r="Z36" s="1026" t="str">
        <f t="shared" si="15"/>
        <v>公共部分装修</v>
      </c>
      <c r="AA36" s="1068">
        <f t="shared" si="3"/>
        <v>1</v>
      </c>
      <c r="AB36" s="1068">
        <f t="shared" si="4"/>
        <v>1</v>
      </c>
      <c r="AC36" s="1443">
        <f t="shared" si="5"/>
        <v>1</v>
      </c>
    </row>
    <row r="37" ht="15" spans="1:29">
      <c r="A37" s="912"/>
      <c r="B37" s="858" t="s">
        <v>589</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1163</v>
      </c>
      <c r="S37" s="1053" t="e">
        <f t="shared" si="12"/>
        <v>#N/A</v>
      </c>
      <c r="T37" s="1052" t="s">
        <v>1163</v>
      </c>
      <c r="U37" s="1053" t="e">
        <f t="shared" si="13"/>
        <v>#N/A</v>
      </c>
      <c r="V37" s="1052" t="s">
        <v>1163</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2051</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1163</v>
      </c>
      <c r="S38" s="1048">
        <f t="shared" si="12"/>
        <v>100</v>
      </c>
      <c r="T38" s="1047" t="s">
        <v>1163</v>
      </c>
      <c r="U38" s="1048">
        <f t="shared" si="13"/>
        <v>100</v>
      </c>
      <c r="V38" s="1047" t="s">
        <v>1163</v>
      </c>
      <c r="W38" s="1048">
        <f t="shared" si="14"/>
        <v>100</v>
      </c>
      <c r="X38" s="1049"/>
      <c r="Y38" s="1014"/>
      <c r="Z38" s="1067" t="str">
        <f t="shared" si="15"/>
        <v>写字楼等级</v>
      </c>
      <c r="AA38" s="1066">
        <f t="shared" si="3"/>
        <v>1</v>
      </c>
      <c r="AB38" s="1066">
        <f t="shared" si="4"/>
        <v>1</v>
      </c>
      <c r="AC38" s="1442">
        <f t="shared" si="5"/>
        <v>1</v>
      </c>
    </row>
    <row r="39" ht="15" spans="1:29">
      <c r="A39" s="912"/>
      <c r="B39" s="858" t="s">
        <v>1189</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1184</v>
      </c>
      <c r="Q39" s="554" t="str">
        <f t="shared" si="11"/>
        <v>物业管理</v>
      </c>
      <c r="R39" s="1052" t="s">
        <v>1163</v>
      </c>
      <c r="S39" s="1053">
        <f t="shared" si="12"/>
        <v>100</v>
      </c>
      <c r="T39" s="1052" t="s">
        <v>1163</v>
      </c>
      <c r="U39" s="1053">
        <f t="shared" si="13"/>
        <v>100</v>
      </c>
      <c r="V39" s="1052" t="s">
        <v>1163</v>
      </c>
      <c r="W39" s="1053">
        <f t="shared" si="14"/>
        <v>100</v>
      </c>
      <c r="X39" s="1039"/>
      <c r="Y39" s="1014" t="s">
        <v>1184</v>
      </c>
      <c r="Z39" s="1026" t="str">
        <f t="shared" si="15"/>
        <v>物业管理</v>
      </c>
      <c r="AA39" s="1068">
        <f t="shared" si="3"/>
        <v>1</v>
      </c>
      <c r="AB39" s="1068">
        <f t="shared" si="4"/>
        <v>1</v>
      </c>
      <c r="AC39" s="1443">
        <f t="shared" si="5"/>
        <v>1</v>
      </c>
    </row>
    <row r="40" ht="15" spans="1:29">
      <c r="A40" s="912"/>
      <c r="B40" s="858" t="s">
        <v>1190</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1163</v>
      </c>
      <c r="S40" s="1053">
        <f t="shared" si="12"/>
        <v>100</v>
      </c>
      <c r="T40" s="1052" t="s">
        <v>1163</v>
      </c>
      <c r="U40" s="1053">
        <f t="shared" si="13"/>
        <v>100</v>
      </c>
      <c r="V40" s="1052" t="s">
        <v>1163</v>
      </c>
      <c r="W40" s="1053">
        <f t="shared" si="14"/>
        <v>100</v>
      </c>
      <c r="X40" s="1039"/>
      <c r="Y40" s="1014"/>
      <c r="Z40" s="1026" t="str">
        <f t="shared" si="15"/>
        <v>市政基础设施</v>
      </c>
      <c r="AA40" s="1068">
        <f t="shared" si="3"/>
        <v>1</v>
      </c>
      <c r="AB40" s="1068">
        <f t="shared" si="4"/>
        <v>1</v>
      </c>
      <c r="AC40" s="1443">
        <f t="shared" si="5"/>
        <v>1</v>
      </c>
    </row>
    <row r="41" ht="15" spans="1:29">
      <c r="A41" s="912"/>
      <c r="B41" s="858" t="s">
        <v>1263</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1163</v>
      </c>
      <c r="S41" s="1053">
        <f t="shared" si="12"/>
        <v>100</v>
      </c>
      <c r="T41" s="1052" t="s">
        <v>1163</v>
      </c>
      <c r="U41" s="1053">
        <f t="shared" si="13"/>
        <v>100</v>
      </c>
      <c r="V41" s="1052" t="s">
        <v>1163</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2052</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1163</v>
      </c>
      <c r="S42" s="1055">
        <f t="shared" si="12"/>
        <v>100</v>
      </c>
      <c r="T42" s="1054" t="s">
        <v>1163</v>
      </c>
      <c r="U42" s="1055">
        <f t="shared" si="13"/>
        <v>100</v>
      </c>
      <c r="V42" s="1054" t="s">
        <v>1163</v>
      </c>
      <c r="W42" s="1055">
        <f t="shared" si="14"/>
        <v>100</v>
      </c>
      <c r="X42" s="1056"/>
      <c r="Y42" s="1014"/>
      <c r="Z42" s="1069" t="str">
        <f t="shared" si="15"/>
        <v>单套建筑面积</v>
      </c>
      <c r="AA42" s="1068">
        <f t="shared" si="3"/>
        <v>1</v>
      </c>
      <c r="AB42" s="1068">
        <f t="shared" si="4"/>
        <v>1</v>
      </c>
      <c r="AC42" s="1443">
        <f t="shared" si="5"/>
        <v>1</v>
      </c>
    </row>
    <row r="43" ht="15" spans="1:29">
      <c r="A43" s="912"/>
      <c r="B43" s="858" t="s">
        <v>1193</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1163</v>
      </c>
      <c r="S43" s="1053">
        <f t="shared" si="12"/>
        <v>100</v>
      </c>
      <c r="T43" s="1052" t="s">
        <v>1163</v>
      </c>
      <c r="U43" s="1053">
        <f t="shared" si="13"/>
        <v>100</v>
      </c>
      <c r="V43" s="1052" t="s">
        <v>1163</v>
      </c>
      <c r="W43" s="1053">
        <f t="shared" si="14"/>
        <v>100</v>
      </c>
      <c r="X43" s="1039"/>
      <c r="Y43" s="1014"/>
      <c r="Z43" s="1026" t="str">
        <f t="shared" si="15"/>
        <v>内部装修</v>
      </c>
      <c r="AA43" s="1068">
        <f t="shared" si="3"/>
        <v>1</v>
      </c>
      <c r="AB43" s="1068">
        <f t="shared" si="4"/>
        <v>1</v>
      </c>
      <c r="AC43" s="1443">
        <f t="shared" si="5"/>
        <v>1</v>
      </c>
    </row>
    <row r="44" ht="15" spans="1:29">
      <c r="A44" s="912"/>
      <c r="B44" s="858" t="s">
        <v>1194</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1163</v>
      </c>
      <c r="S44" s="1053">
        <f t="shared" si="12"/>
        <v>100</v>
      </c>
      <c r="T44" s="1052" t="s">
        <v>1163</v>
      </c>
      <c r="U44" s="1053">
        <f t="shared" si="13"/>
        <v>100</v>
      </c>
      <c r="V44" s="1052" t="s">
        <v>1163</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1163</v>
      </c>
      <c r="S45" s="1048">
        <f t="shared" si="12"/>
        <v>100</v>
      </c>
      <c r="T45" s="1047" t="s">
        <v>1163</v>
      </c>
      <c r="U45" s="1048">
        <f t="shared" si="13"/>
        <v>100</v>
      </c>
      <c r="V45" s="1047" t="s">
        <v>1163</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1163</v>
      </c>
      <c r="S46" s="1053">
        <f t="shared" si="12"/>
        <v>100</v>
      </c>
      <c r="T46" s="1052" t="s">
        <v>1163</v>
      </c>
      <c r="U46" s="1053">
        <f t="shared" si="13"/>
        <v>100</v>
      </c>
      <c r="V46" s="1052" t="s">
        <v>1163</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1163</v>
      </c>
      <c r="S47" s="1053">
        <f t="shared" si="12"/>
        <v>100</v>
      </c>
      <c r="T47" s="1052" t="s">
        <v>1163</v>
      </c>
      <c r="U47" s="1053">
        <f t="shared" si="13"/>
        <v>100</v>
      </c>
      <c r="V47" s="1052" t="s">
        <v>1163</v>
      </c>
      <c r="W47" s="1053">
        <f t="shared" si="14"/>
        <v>100</v>
      </c>
      <c r="X47" s="1039"/>
      <c r="Y47" s="1387"/>
      <c r="Z47" s="1026">
        <f t="shared" si="15"/>
        <v>111</v>
      </c>
      <c r="AA47" s="1068">
        <f t="shared" si="3"/>
        <v>1</v>
      </c>
      <c r="AB47" s="1068">
        <f t="shared" si="4"/>
        <v>1</v>
      </c>
      <c r="AC47" s="1443">
        <f t="shared" si="5"/>
        <v>1</v>
      </c>
    </row>
    <row r="48" ht="15" spans="1:29">
      <c r="A48" s="919" t="s">
        <v>1195</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1196</v>
      </c>
      <c r="B49" s="1275"/>
      <c r="C49" s="1276" t="e">
        <f>R50</f>
        <v>#DIV/0!</v>
      </c>
      <c r="D49" s="930" t="s">
        <v>1197</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1198</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1199</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1200</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1201</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1202</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1161</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1203</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1164</v>
      </c>
      <c r="B62" s="1082"/>
      <c r="C62" s="1083" t="s">
        <v>1165</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1204</v>
      </c>
      <c r="B64" s="1088" t="s">
        <v>1168</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1171</v>
      </c>
      <c r="C66" s="1093" t="s">
        <v>1205</v>
      </c>
      <c r="D66" s="1093" t="s">
        <v>1206</v>
      </c>
      <c r="E66" s="1093" t="s">
        <v>1207</v>
      </c>
      <c r="F66" s="1093" t="s">
        <v>1208</v>
      </c>
      <c r="G66" s="1093" t="s">
        <v>1209</v>
      </c>
      <c r="H66" s="1093" t="s">
        <v>1210</v>
      </c>
      <c r="I66" s="1093" t="s">
        <v>1211</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1270</v>
      </c>
      <c r="D67" s="1095" t="s">
        <v>1270</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1172</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1173</v>
      </c>
      <c r="B77" s="1088" t="s">
        <v>2048</v>
      </c>
      <c r="C77" s="1109" t="s">
        <v>1212</v>
      </c>
      <c r="D77" s="1109" t="s">
        <v>1213</v>
      </c>
      <c r="E77" s="1109" t="s">
        <v>1214</v>
      </c>
      <c r="F77" s="1109" t="s">
        <v>1215</v>
      </c>
      <c r="G77" s="1109" t="s">
        <v>1216</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1176</v>
      </c>
      <c r="C79" s="1111" t="s">
        <v>1212</v>
      </c>
      <c r="D79" s="1111" t="s">
        <v>1213</v>
      </c>
      <c r="E79" s="1111" t="s">
        <v>1214</v>
      </c>
      <c r="F79" s="1111" t="s">
        <v>1215</v>
      </c>
      <c r="G79" s="1111" t="s">
        <v>1216</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1177</v>
      </c>
      <c r="C81" s="1111" t="s">
        <v>1212</v>
      </c>
      <c r="D81" s="1111" t="s">
        <v>1213</v>
      </c>
      <c r="E81" s="1111" t="s">
        <v>1214</v>
      </c>
      <c r="F81" s="1111" t="s">
        <v>1215</v>
      </c>
      <c r="G81" s="1111" t="s">
        <v>1216</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1178</v>
      </c>
      <c r="C83" s="1116" t="s">
        <v>1217</v>
      </c>
      <c r="D83" s="1116" t="s">
        <v>1218</v>
      </c>
      <c r="E83" s="1116" t="s">
        <v>1219</v>
      </c>
      <c r="F83" s="1116" t="s">
        <v>1220</v>
      </c>
      <c r="G83" s="1116" t="s">
        <v>1221</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2049</v>
      </c>
      <c r="C85" s="1111" t="s">
        <v>1212</v>
      </c>
      <c r="D85" s="1111" t="s">
        <v>1213</v>
      </c>
      <c r="E85" s="1111" t="s">
        <v>1214</v>
      </c>
      <c r="F85" s="1111" t="s">
        <v>1215</v>
      </c>
      <c r="G85" s="1111" t="s">
        <v>1216</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2050</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1182</v>
      </c>
      <c r="B101" s="1088" t="s">
        <v>1183</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1185</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1186</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1188</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589</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2051</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1189</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1190</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2053</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1265</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1193</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1194</v>
      </c>
      <c r="C125" s="1111" t="s">
        <v>1212</v>
      </c>
      <c r="D125" s="1111" t="s">
        <v>1213</v>
      </c>
      <c r="E125" s="1111" t="s">
        <v>1214</v>
      </c>
      <c r="F125" s="1111" t="s">
        <v>1215</v>
      </c>
      <c r="G125" s="1111" t="s">
        <v>1216</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1139</v>
      </c>
      <c r="B1" s="1368" t="s">
        <v>2054</v>
      </c>
      <c r="C1" s="1226" t="s">
        <v>1141</v>
      </c>
      <c r="D1" s="1227"/>
      <c r="E1" s="1228"/>
      <c r="F1" s="1229"/>
      <c r="G1" s="1230" t="s">
        <v>1143</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1144</v>
      </c>
      <c r="B2" s="1232" t="e">
        <f ca="1">IF(C2="——",ROUND(C43*D3/10000,0),ROUND(C43*D3/10000,0)-D2)</f>
        <v>#DIV/0!</v>
      </c>
      <c r="C2" s="1233"/>
      <c r="D2" s="1186" t="e">
        <f ca="1">SUMIF(INDIRECT("'"&amp;F2&amp;"'"&amp;"!A:A"),"承租人权益价值",INDIRECT("'"&amp;F2&amp;"'"&amp;"!c:c"))</f>
        <v>#REF!</v>
      </c>
      <c r="E2" s="1234" t="s">
        <v>1145</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1146</v>
      </c>
      <c r="B3" s="825" t="e">
        <f ca="1">IF(C2="——",C43,ROUND(B2*10000/D3,0))</f>
        <v>#DIV/0!</v>
      </c>
      <c r="C3" s="1236" t="s">
        <v>1147</v>
      </c>
      <c r="D3" s="1237">
        <f>IF(D1="",'数据-汇总表'!E3,SUMIF('数据-汇总表'!$C19:$C33,D1,'数据-汇总表'!$E19:$E33))</f>
        <v>33735.37</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1148</v>
      </c>
      <c r="B4" s="828"/>
      <c r="C4" s="829" t="s">
        <v>1149</v>
      </c>
      <c r="D4" s="830"/>
      <c r="E4" s="831" t="s">
        <v>1150</v>
      </c>
      <c r="F4" s="832"/>
      <c r="G4" s="829" t="s">
        <v>1151</v>
      </c>
      <c r="H4" s="830"/>
      <c r="I4" s="829" t="s">
        <v>1152</v>
      </c>
      <c r="J4" s="830"/>
      <c r="K4" s="984" t="s">
        <v>1153</v>
      </c>
      <c r="L4" s="1374"/>
      <c r="M4" s="1375"/>
      <c r="N4" s="1375"/>
      <c r="O4" s="1375"/>
      <c r="P4" s="987" t="s">
        <v>1154</v>
      </c>
      <c r="Q4" s="1036"/>
      <c r="R4" s="1037" t="s">
        <v>1150</v>
      </c>
      <c r="S4" s="1038"/>
      <c r="T4" s="1037" t="s">
        <v>1151</v>
      </c>
      <c r="U4" s="1038"/>
      <c r="V4" s="1026" t="s">
        <v>1152</v>
      </c>
      <c r="W4" s="1026"/>
      <c r="X4" s="1039"/>
      <c r="Y4" s="1037" t="s">
        <v>1154</v>
      </c>
      <c r="Z4" s="1038"/>
      <c r="AA4" s="1064" t="s">
        <v>1150</v>
      </c>
      <c r="AB4" s="1039" t="s">
        <v>1151</v>
      </c>
      <c r="AC4" s="1064" t="s">
        <v>1152</v>
      </c>
    </row>
    <row r="5" ht="15" spans="1:29">
      <c r="A5" s="833"/>
      <c r="B5" s="834"/>
      <c r="C5" s="835" t="s">
        <v>1155</v>
      </c>
      <c r="D5" s="836"/>
      <c r="E5" s="837" t="s">
        <v>1156</v>
      </c>
      <c r="F5" s="838"/>
      <c r="G5" s="835" t="s">
        <v>1157</v>
      </c>
      <c r="H5" s="836"/>
      <c r="I5" s="835" t="s">
        <v>1158</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1159</v>
      </c>
      <c r="D6" s="1188"/>
      <c r="E6" s="1189" t="s">
        <v>1159</v>
      </c>
      <c r="F6" s="1190"/>
      <c r="G6" s="1187" t="s">
        <v>1159</v>
      </c>
      <c r="H6" s="1188"/>
      <c r="I6" s="1187" t="s">
        <v>1159</v>
      </c>
      <c r="J6" s="1188"/>
      <c r="K6" s="984" t="s">
        <v>1160</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1161</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1162</v>
      </c>
      <c r="Q7" s="1046"/>
      <c r="R7" s="1047" t="s">
        <v>1163</v>
      </c>
      <c r="S7" s="1048">
        <f t="shared" ref="S7:S15" si="0">F7</f>
        <v>0</v>
      </c>
      <c r="T7" s="1047" t="s">
        <v>1163</v>
      </c>
      <c r="U7" s="1048">
        <f t="shared" ref="U7:U15" si="1">H7</f>
        <v>0</v>
      </c>
      <c r="V7" s="1047" t="s">
        <v>1163</v>
      </c>
      <c r="W7" s="1048">
        <f t="shared" ref="W7:W15" si="2">J7</f>
        <v>0</v>
      </c>
      <c r="X7" s="1049"/>
      <c r="Y7" s="993" t="s">
        <v>1162</v>
      </c>
      <c r="Z7" s="1050"/>
      <c r="AA7" s="1066" t="e">
        <f>D7/F7</f>
        <v>#DIV/0!</v>
      </c>
      <c r="AB7" s="1066" t="e">
        <f>D7/H7</f>
        <v>#DIV/0!</v>
      </c>
      <c r="AC7" s="1066" t="e">
        <f>D7/J7</f>
        <v>#DIV/0!</v>
      </c>
    </row>
    <row r="8" s="808" customFormat="1" ht="15.75" spans="1:29">
      <c r="A8" s="845" t="s">
        <v>1164</v>
      </c>
      <c r="B8" s="846"/>
      <c r="C8" s="852" t="s">
        <v>1165</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1166</v>
      </c>
      <c r="Q8" s="1050"/>
      <c r="R8" s="1047" t="s">
        <v>1163</v>
      </c>
      <c r="S8" s="1048">
        <f t="shared" si="0"/>
        <v>0</v>
      </c>
      <c r="T8" s="1047" t="s">
        <v>1163</v>
      </c>
      <c r="U8" s="1048">
        <f t="shared" si="1"/>
        <v>0</v>
      </c>
      <c r="V8" s="1047" t="s">
        <v>1163</v>
      </c>
      <c r="W8" s="1048">
        <f t="shared" si="2"/>
        <v>0</v>
      </c>
      <c r="X8" s="1049"/>
      <c r="Y8" s="993" t="s">
        <v>1166</v>
      </c>
      <c r="Z8" s="1050"/>
      <c r="AA8" s="1066" t="e">
        <f t="shared" ref="AA8:AA40" si="3">D8/F8</f>
        <v>#DIV/0!</v>
      </c>
      <c r="AB8" s="1066" t="e">
        <f t="shared" ref="AB8:AB40" si="4">D8/H8</f>
        <v>#DIV/0!</v>
      </c>
      <c r="AC8" s="1066" t="e">
        <f t="shared" ref="AC8:AC40" si="5">D8/J8</f>
        <v>#DIV/0!</v>
      </c>
    </row>
    <row r="9" s="808" customFormat="1" spans="1:29">
      <c r="A9" s="853" t="s">
        <v>1167</v>
      </c>
      <c r="B9" s="854" t="s">
        <v>1168</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1169</v>
      </c>
      <c r="Q9" s="1051" t="str">
        <f t="shared" ref="Q9:Q15" si="6">B9</f>
        <v>用途</v>
      </c>
      <c r="R9" s="1047" t="s">
        <v>1163</v>
      </c>
      <c r="S9" s="1048">
        <f t="shared" si="0"/>
        <v>100</v>
      </c>
      <c r="T9" s="1047" t="s">
        <v>1163</v>
      </c>
      <c r="U9" s="1048">
        <f t="shared" si="1"/>
        <v>100</v>
      </c>
      <c r="V9" s="1047" t="s">
        <v>1163</v>
      </c>
      <c r="W9" s="1048">
        <f t="shared" si="2"/>
        <v>100</v>
      </c>
      <c r="X9" s="1049"/>
      <c r="Y9" s="1051" t="s">
        <v>1170</v>
      </c>
      <c r="Z9" s="1067" t="str">
        <f t="shared" ref="Z9:Z15" si="7">Q9</f>
        <v>用途</v>
      </c>
      <c r="AA9" s="1066">
        <f t="shared" si="3"/>
        <v>1</v>
      </c>
      <c r="AB9" s="1066">
        <f t="shared" si="4"/>
        <v>1</v>
      </c>
      <c r="AC9" s="1066">
        <f t="shared" si="5"/>
        <v>1</v>
      </c>
    </row>
    <row r="10" s="809" customFormat="1" ht="27" spans="1:29">
      <c r="A10" s="857"/>
      <c r="B10" s="858" t="s">
        <v>1171</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1163</v>
      </c>
      <c r="S10" s="1048">
        <f t="shared" si="0"/>
        <v>100</v>
      </c>
      <c r="T10" s="1047" t="s">
        <v>1163</v>
      </c>
      <c r="U10" s="1048">
        <f t="shared" si="1"/>
        <v>100</v>
      </c>
      <c r="V10" s="1047" t="s">
        <v>1163</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1172</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1163</v>
      </c>
      <c r="S11" s="1048" t="e">
        <f t="shared" si="0"/>
        <v>#N/A</v>
      </c>
      <c r="T11" s="1047" t="s">
        <v>1163</v>
      </c>
      <c r="U11" s="1048" t="e">
        <f t="shared" si="1"/>
        <v>#N/A</v>
      </c>
      <c r="V11" s="1047" t="s">
        <v>1163</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1163</v>
      </c>
      <c r="S12" s="1048">
        <f t="shared" si="0"/>
        <v>100</v>
      </c>
      <c r="T12" s="1047" t="s">
        <v>1163</v>
      </c>
      <c r="U12" s="1048">
        <f t="shared" si="1"/>
        <v>100</v>
      </c>
      <c r="V12" s="1047" t="s">
        <v>1163</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1163</v>
      </c>
      <c r="S13" s="1048">
        <f t="shared" si="0"/>
        <v>100</v>
      </c>
      <c r="T13" s="1047" t="s">
        <v>1163</v>
      </c>
      <c r="U13" s="1048">
        <f t="shared" si="1"/>
        <v>100</v>
      </c>
      <c r="V13" s="1047" t="s">
        <v>1163</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1163</v>
      </c>
      <c r="S14" s="1048">
        <f t="shared" si="0"/>
        <v>100</v>
      </c>
      <c r="T14" s="1047" t="s">
        <v>1163</v>
      </c>
      <c r="U14" s="1048">
        <f t="shared" si="1"/>
        <v>100</v>
      </c>
      <c r="V14" s="1047" t="s">
        <v>1163</v>
      </c>
      <c r="W14" s="1048">
        <f t="shared" si="2"/>
        <v>100</v>
      </c>
      <c r="X14" s="1049"/>
      <c r="Y14" s="1051"/>
      <c r="Z14" s="1067">
        <f t="shared" si="7"/>
        <v>111</v>
      </c>
      <c r="AA14" s="1066">
        <f t="shared" si="3"/>
        <v>1</v>
      </c>
      <c r="AB14" s="1066">
        <f t="shared" si="4"/>
        <v>1</v>
      </c>
      <c r="AC14" s="1066">
        <f t="shared" si="5"/>
        <v>1</v>
      </c>
    </row>
    <row r="15" ht="56.25" spans="1:29">
      <c r="A15" s="875" t="s">
        <v>1173</v>
      </c>
      <c r="B15" s="1193" t="s">
        <v>2055</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1175</v>
      </c>
      <c r="Q15" s="554" t="str">
        <f t="shared" si="6"/>
        <v>产业集聚程度</v>
      </c>
      <c r="R15" s="1052" t="s">
        <v>1163</v>
      </c>
      <c r="S15" s="1053">
        <f t="shared" si="0"/>
        <v>100</v>
      </c>
      <c r="T15" s="1052" t="s">
        <v>1163</v>
      </c>
      <c r="U15" s="1053">
        <f t="shared" si="1"/>
        <v>100</v>
      </c>
      <c r="V15" s="1052" t="s">
        <v>1163</v>
      </c>
      <c r="W15" s="1053">
        <f t="shared" si="2"/>
        <v>100</v>
      </c>
      <c r="X15" s="1039"/>
      <c r="Y15" s="1004" t="s">
        <v>1175</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1176</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1163</v>
      </c>
      <c r="S17" s="1053">
        <f>F17</f>
        <v>100</v>
      </c>
      <c r="T17" s="1052" t="s">
        <v>1163</v>
      </c>
      <c r="U17" s="1053">
        <f>H17</f>
        <v>100</v>
      </c>
      <c r="V17" s="1052" t="s">
        <v>1163</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1177</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1163</v>
      </c>
      <c r="S19" s="1053">
        <f>F19</f>
        <v>100</v>
      </c>
      <c r="T19" s="1052" t="s">
        <v>1163</v>
      </c>
      <c r="U19" s="1053">
        <f>H19</f>
        <v>100</v>
      </c>
      <c r="V19" s="1052" t="s">
        <v>1163</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1178</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1163</v>
      </c>
      <c r="S21" s="1053">
        <f>F21</f>
        <v>100</v>
      </c>
      <c r="T21" s="1052" t="s">
        <v>1163</v>
      </c>
      <c r="U21" s="1053">
        <f>H21</f>
        <v>100</v>
      </c>
      <c r="V21" s="1052" t="s">
        <v>1163</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2049</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1163</v>
      </c>
      <c r="S23" s="1053">
        <f>F23</f>
        <v>100</v>
      </c>
      <c r="T23" s="1052" t="s">
        <v>1163</v>
      </c>
      <c r="U23" s="1053">
        <f>H23</f>
        <v>100</v>
      </c>
      <c r="V23" s="1052" t="s">
        <v>1163</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1163</v>
      </c>
      <c r="S25" s="1053">
        <f>F25</f>
        <v>100</v>
      </c>
      <c r="T25" s="1052" t="s">
        <v>1163</v>
      </c>
      <c r="U25" s="1053">
        <f>H25</f>
        <v>100</v>
      </c>
      <c r="V25" s="1052" t="s">
        <v>1163</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1163</v>
      </c>
      <c r="S26" s="1053">
        <f>F26</f>
        <v>100</v>
      </c>
      <c r="T26" s="1052" t="s">
        <v>1163</v>
      </c>
      <c r="U26" s="1053">
        <f>H26</f>
        <v>100</v>
      </c>
      <c r="V26" s="1052" t="s">
        <v>1163</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1163</v>
      </c>
      <c r="S27" s="1048">
        <f>F27</f>
        <v>100</v>
      </c>
      <c r="T27" s="1047" t="s">
        <v>1163</v>
      </c>
      <c r="U27" s="1048">
        <f>H27</f>
        <v>100</v>
      </c>
      <c r="V27" s="1047" t="s">
        <v>1163</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1163</v>
      </c>
      <c r="S28" s="1053">
        <f t="shared" ref="S28:S40" si="12">F28</f>
        <v>100</v>
      </c>
      <c r="T28" s="1052" t="s">
        <v>1163</v>
      </c>
      <c r="U28" s="1053">
        <f t="shared" ref="U28:U40" si="13">H28</f>
        <v>100</v>
      </c>
      <c r="V28" s="1052" t="s">
        <v>1163</v>
      </c>
      <c r="W28" s="1053">
        <f t="shared" ref="W28:W40" si="14">J28</f>
        <v>100</v>
      </c>
      <c r="X28" s="1039"/>
      <c r="Y28" s="1005"/>
      <c r="Z28" s="1026">
        <f t="shared" ref="Z28:Z40" si="15">Q28</f>
        <v>111</v>
      </c>
      <c r="AA28" s="1068">
        <f t="shared" si="3"/>
        <v>1</v>
      </c>
      <c r="AB28" s="1068">
        <f t="shared" si="4"/>
        <v>1</v>
      </c>
      <c r="AC28" s="1068">
        <f t="shared" si="5"/>
        <v>1</v>
      </c>
    </row>
    <row r="29" ht="28.5" spans="1:29">
      <c r="A29" s="1255" t="s">
        <v>1182</v>
      </c>
      <c r="B29" s="854" t="s">
        <v>1183</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1184</v>
      </c>
      <c r="Q29" s="554" t="str">
        <f t="shared" si="11"/>
        <v>建筑类型</v>
      </c>
      <c r="R29" s="1052" t="s">
        <v>1163</v>
      </c>
      <c r="S29" s="1053">
        <f t="shared" si="12"/>
        <v>100</v>
      </c>
      <c r="T29" s="1052" t="s">
        <v>1163</v>
      </c>
      <c r="U29" s="1053">
        <f t="shared" si="13"/>
        <v>100</v>
      </c>
      <c r="V29" s="1052" t="s">
        <v>1163</v>
      </c>
      <c r="W29" s="1053">
        <f t="shared" si="14"/>
        <v>100</v>
      </c>
      <c r="X29" s="1039"/>
      <c r="Y29" s="1014" t="s">
        <v>1184</v>
      </c>
      <c r="Z29" s="1026" t="str">
        <f t="shared" si="15"/>
        <v>建筑类型</v>
      </c>
      <c r="AA29" s="1068">
        <f t="shared" si="3"/>
        <v>1</v>
      </c>
      <c r="AB29" s="1068">
        <f t="shared" si="4"/>
        <v>1</v>
      </c>
      <c r="AC29" s="1068">
        <f t="shared" si="5"/>
        <v>1</v>
      </c>
    </row>
    <row r="30" s="810" customFormat="1" ht="15" spans="1:29">
      <c r="A30" s="917"/>
      <c r="B30" s="858" t="s">
        <v>1185</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1163</v>
      </c>
      <c r="S30" s="1055" t="e">
        <f t="shared" si="12"/>
        <v>#N/A</v>
      </c>
      <c r="T30" s="1054" t="s">
        <v>1163</v>
      </c>
      <c r="U30" s="1055" t="e">
        <f t="shared" si="13"/>
        <v>#N/A</v>
      </c>
      <c r="V30" s="1054" t="s">
        <v>1163</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1186</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1163</v>
      </c>
      <c r="S31" s="1053">
        <f t="shared" si="12"/>
        <v>100</v>
      </c>
      <c r="T31" s="1052" t="s">
        <v>1163</v>
      </c>
      <c r="U31" s="1053">
        <f t="shared" si="13"/>
        <v>100</v>
      </c>
      <c r="V31" s="1052" t="s">
        <v>1163</v>
      </c>
      <c r="W31" s="1053">
        <f t="shared" si="14"/>
        <v>100</v>
      </c>
      <c r="X31" s="1039"/>
      <c r="Y31" s="1014"/>
      <c r="Z31" s="1026" t="str">
        <f t="shared" si="15"/>
        <v>建筑结构</v>
      </c>
      <c r="AA31" s="1068">
        <f t="shared" si="3"/>
        <v>1</v>
      </c>
      <c r="AB31" s="1068">
        <f t="shared" si="4"/>
        <v>1</v>
      </c>
      <c r="AC31" s="1068">
        <f t="shared" si="5"/>
        <v>1</v>
      </c>
    </row>
    <row r="32" ht="15" spans="1:29">
      <c r="A32" s="912"/>
      <c r="B32" s="858" t="s">
        <v>1188</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1163</v>
      </c>
      <c r="S32" s="1053">
        <f t="shared" si="12"/>
        <v>100</v>
      </c>
      <c r="T32" s="1052" t="s">
        <v>1163</v>
      </c>
      <c r="U32" s="1053">
        <f t="shared" si="13"/>
        <v>100</v>
      </c>
      <c r="V32" s="1052" t="s">
        <v>1163</v>
      </c>
      <c r="W32" s="1053">
        <f t="shared" si="14"/>
        <v>100</v>
      </c>
      <c r="X32" s="1039"/>
      <c r="Y32" s="1014"/>
      <c r="Z32" s="1026" t="str">
        <f t="shared" si="15"/>
        <v>公共部分装修</v>
      </c>
      <c r="AA32" s="1068">
        <f t="shared" si="3"/>
        <v>1</v>
      </c>
      <c r="AB32" s="1068">
        <f t="shared" si="4"/>
        <v>1</v>
      </c>
      <c r="AC32" s="1068">
        <f t="shared" si="5"/>
        <v>1</v>
      </c>
    </row>
    <row r="33" ht="15" spans="1:29">
      <c r="A33" s="912"/>
      <c r="B33" s="858" t="s">
        <v>589</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1163</v>
      </c>
      <c r="S33" s="1053" t="e">
        <f t="shared" si="12"/>
        <v>#N/A</v>
      </c>
      <c r="T33" s="1052" t="s">
        <v>1163</v>
      </c>
      <c r="U33" s="1053" t="e">
        <f t="shared" si="13"/>
        <v>#N/A</v>
      </c>
      <c r="V33" s="1052" t="s">
        <v>1163</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1189</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1163</v>
      </c>
      <c r="S34" s="1048">
        <f t="shared" si="12"/>
        <v>100</v>
      </c>
      <c r="T34" s="1047" t="s">
        <v>1163</v>
      </c>
      <c r="U34" s="1048">
        <f t="shared" si="13"/>
        <v>100</v>
      </c>
      <c r="V34" s="1047" t="s">
        <v>1163</v>
      </c>
      <c r="W34" s="1048">
        <f t="shared" si="14"/>
        <v>100</v>
      </c>
      <c r="X34" s="1049"/>
      <c r="Y34" s="1014"/>
      <c r="Z34" s="1067" t="str">
        <f t="shared" si="15"/>
        <v>物业管理</v>
      </c>
      <c r="AA34" s="1066">
        <f t="shared" si="3"/>
        <v>1</v>
      </c>
      <c r="AB34" s="1066">
        <f t="shared" si="4"/>
        <v>1</v>
      </c>
      <c r="AC34" s="1066">
        <f t="shared" si="5"/>
        <v>1</v>
      </c>
    </row>
    <row r="35" ht="15" spans="1:29">
      <c r="A35" s="912"/>
      <c r="B35" s="858" t="s">
        <v>1190</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1184</v>
      </c>
      <c r="Q35" s="554" t="str">
        <f t="shared" si="11"/>
        <v>市政基础设施</v>
      </c>
      <c r="R35" s="1052" t="s">
        <v>1163</v>
      </c>
      <c r="S35" s="1053">
        <f t="shared" si="12"/>
        <v>100</v>
      </c>
      <c r="T35" s="1052" t="s">
        <v>1163</v>
      </c>
      <c r="U35" s="1053">
        <f t="shared" si="13"/>
        <v>100</v>
      </c>
      <c r="V35" s="1052" t="s">
        <v>1163</v>
      </c>
      <c r="W35" s="1053">
        <f t="shared" si="14"/>
        <v>100</v>
      </c>
      <c r="X35" s="1039"/>
      <c r="Y35" s="1014" t="s">
        <v>1184</v>
      </c>
      <c r="Z35" s="1026" t="str">
        <f t="shared" si="15"/>
        <v>市政基础设施</v>
      </c>
      <c r="AA35" s="1068">
        <f t="shared" si="3"/>
        <v>1</v>
      </c>
      <c r="AB35" s="1068">
        <f t="shared" si="4"/>
        <v>1</v>
      </c>
      <c r="AC35" s="1068">
        <f t="shared" si="5"/>
        <v>1</v>
      </c>
    </row>
    <row r="36" ht="15" spans="1:29">
      <c r="A36" s="912"/>
      <c r="B36" s="858" t="s">
        <v>1193</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1163</v>
      </c>
      <c r="S36" s="1053">
        <f t="shared" si="12"/>
        <v>100</v>
      </c>
      <c r="T36" s="1052" t="s">
        <v>1163</v>
      </c>
      <c r="U36" s="1053">
        <f t="shared" si="13"/>
        <v>100</v>
      </c>
      <c r="V36" s="1052" t="s">
        <v>1163</v>
      </c>
      <c r="W36" s="1053">
        <f t="shared" si="14"/>
        <v>100</v>
      </c>
      <c r="X36" s="1039"/>
      <c r="Y36" s="1014"/>
      <c r="Z36" s="1026" t="str">
        <f t="shared" si="15"/>
        <v>内部装修</v>
      </c>
      <c r="AA36" s="1068">
        <f t="shared" si="3"/>
        <v>1</v>
      </c>
      <c r="AB36" s="1068">
        <f t="shared" si="4"/>
        <v>1</v>
      </c>
      <c r="AC36" s="1068">
        <f t="shared" si="5"/>
        <v>1</v>
      </c>
    </row>
    <row r="37" ht="15" spans="1:29">
      <c r="A37" s="912"/>
      <c r="B37" s="858" t="s">
        <v>2056</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1163</v>
      </c>
      <c r="S37" s="1053">
        <f t="shared" si="12"/>
        <v>100</v>
      </c>
      <c r="T37" s="1052" t="s">
        <v>1163</v>
      </c>
      <c r="U37" s="1053">
        <f t="shared" si="13"/>
        <v>100</v>
      </c>
      <c r="V37" s="1052" t="s">
        <v>1163</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1163</v>
      </c>
      <c r="S38" s="1055">
        <f t="shared" si="12"/>
        <v>100</v>
      </c>
      <c r="T38" s="1054" t="s">
        <v>1163</v>
      </c>
      <c r="U38" s="1055">
        <f t="shared" si="13"/>
        <v>100</v>
      </c>
      <c r="V38" s="1054" t="s">
        <v>1163</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1163</v>
      </c>
      <c r="S39" s="1053">
        <f t="shared" si="12"/>
        <v>100</v>
      </c>
      <c r="T39" s="1052" t="s">
        <v>1163</v>
      </c>
      <c r="U39" s="1053">
        <f t="shared" si="13"/>
        <v>100</v>
      </c>
      <c r="V39" s="1052" t="s">
        <v>1163</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1163</v>
      </c>
      <c r="S40" s="1053">
        <f t="shared" si="12"/>
        <v>100</v>
      </c>
      <c r="T40" s="1052" t="s">
        <v>1163</v>
      </c>
      <c r="U40" s="1053">
        <f t="shared" si="13"/>
        <v>100</v>
      </c>
      <c r="V40" s="1052" t="s">
        <v>1163</v>
      </c>
      <c r="W40" s="1053">
        <f t="shared" si="14"/>
        <v>100</v>
      </c>
      <c r="X40" s="1039"/>
      <c r="Y40" s="1387"/>
      <c r="Z40" s="1026">
        <f t="shared" si="15"/>
        <v>111</v>
      </c>
      <c r="AA40" s="1068">
        <f t="shared" si="3"/>
        <v>1</v>
      </c>
      <c r="AB40" s="1068">
        <f t="shared" si="4"/>
        <v>1</v>
      </c>
      <c r="AC40" s="1068">
        <f t="shared" si="5"/>
        <v>1</v>
      </c>
    </row>
    <row r="41" ht="15" spans="1:29">
      <c r="A41" s="919" t="s">
        <v>1195</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1196</v>
      </c>
      <c r="B42" s="1275"/>
      <c r="C42" s="1276" t="e">
        <f>R43</f>
        <v>#DIV/0!</v>
      </c>
      <c r="D42" s="930" t="s">
        <v>1197</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1198</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1199</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1200</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1201</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1202</v>
      </c>
      <c r="B51" s="974"/>
      <c r="C51" s="975"/>
      <c r="D51" s="975"/>
      <c r="E51" s="975"/>
      <c r="F51" s="976"/>
      <c r="G51" s="976"/>
      <c r="H51" s="975"/>
      <c r="I51" s="975"/>
      <c r="J51" s="975"/>
      <c r="K51" s="1219"/>
      <c r="L51" s="1220"/>
      <c r="M51" s="1034"/>
      <c r="N51" s="1034"/>
      <c r="O51" s="1034"/>
      <c r="P51" s="1391"/>
      <c r="Q51" s="1393"/>
    </row>
    <row r="52" s="813" customFormat="1" ht="15" spans="1:16">
      <c r="A52" s="1280" t="s">
        <v>1161</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1203</v>
      </c>
      <c r="B54" s="1078"/>
      <c r="C54" s="1079"/>
      <c r="D54" s="1080"/>
      <c r="E54" s="1080"/>
      <c r="F54" s="1080"/>
      <c r="G54" s="1080"/>
      <c r="H54" s="1080"/>
      <c r="I54" s="1080"/>
      <c r="J54" s="1080"/>
      <c r="K54" s="1080"/>
      <c r="L54" s="1080"/>
      <c r="M54" s="1128"/>
      <c r="N54" s="1394"/>
      <c r="O54" s="1395"/>
      <c r="P54" s="1393"/>
      <c r="Q54" s="1393"/>
    </row>
    <row r="55" s="808" customFormat="1" ht="15" spans="1:17">
      <c r="A55" s="1081" t="s">
        <v>1164</v>
      </c>
      <c r="B55" s="1082"/>
      <c r="C55" s="1083" t="s">
        <v>1165</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1204</v>
      </c>
      <c r="B57" s="1088" t="s">
        <v>1168</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1171</v>
      </c>
      <c r="C59" s="1093" t="s">
        <v>1205</v>
      </c>
      <c r="D59" s="1093" t="s">
        <v>1206</v>
      </c>
      <c r="E59" s="1093" t="s">
        <v>1207</v>
      </c>
      <c r="F59" s="1093" t="s">
        <v>1208</v>
      </c>
      <c r="G59" s="1093" t="s">
        <v>1209</v>
      </c>
      <c r="H59" s="1093" t="s">
        <v>1210</v>
      </c>
      <c r="I59" s="1093" t="s">
        <v>1211</v>
      </c>
      <c r="J59" s="1093"/>
      <c r="K59" s="1142"/>
      <c r="L59" s="1143"/>
      <c r="M59" s="1144"/>
      <c r="N59" s="1398"/>
      <c r="O59" s="1398"/>
      <c r="P59" s="1399"/>
      <c r="Q59" s="1393"/>
    </row>
    <row r="60" ht="15.75" spans="1:17">
      <c r="A60" s="1089"/>
      <c r="B60" s="1094"/>
      <c r="C60" s="1095" t="s">
        <v>1270</v>
      </c>
      <c r="D60" s="1095" t="s">
        <v>1270</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1172</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1173</v>
      </c>
      <c r="B70" s="1088" t="s">
        <v>2055</v>
      </c>
      <c r="C70" s="1109" t="s">
        <v>1212</v>
      </c>
      <c r="D70" s="1109" t="s">
        <v>1213</v>
      </c>
      <c r="E70" s="1109" t="s">
        <v>1214</v>
      </c>
      <c r="F70" s="1109" t="s">
        <v>1215</v>
      </c>
      <c r="G70" s="1109" t="s">
        <v>1216</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1176</v>
      </c>
      <c r="C72" s="1111" t="s">
        <v>1212</v>
      </c>
      <c r="D72" s="1111" t="s">
        <v>1213</v>
      </c>
      <c r="E72" s="1111" t="s">
        <v>1214</v>
      </c>
      <c r="F72" s="1111" t="s">
        <v>1215</v>
      </c>
      <c r="G72" s="1111" t="s">
        <v>1216</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1177</v>
      </c>
      <c r="C74" s="1111" t="s">
        <v>1212</v>
      </c>
      <c r="D74" s="1111" t="s">
        <v>1213</v>
      </c>
      <c r="E74" s="1111" t="s">
        <v>1214</v>
      </c>
      <c r="F74" s="1111" t="s">
        <v>1215</v>
      </c>
      <c r="G74" s="1111" t="s">
        <v>1216</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1178</v>
      </c>
      <c r="C76" s="1116" t="s">
        <v>1217</v>
      </c>
      <c r="D76" s="1116" t="s">
        <v>1218</v>
      </c>
      <c r="E76" s="1116" t="s">
        <v>1219</v>
      </c>
      <c r="F76" s="1116" t="s">
        <v>1220</v>
      </c>
      <c r="G76" s="1116" t="s">
        <v>1221</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2049</v>
      </c>
      <c r="C78" s="1111" t="s">
        <v>1212</v>
      </c>
      <c r="D78" s="1111" t="s">
        <v>1213</v>
      </c>
      <c r="E78" s="1111" t="s">
        <v>1214</v>
      </c>
      <c r="F78" s="1111" t="s">
        <v>1215</v>
      </c>
      <c r="G78" s="1111" t="s">
        <v>1216</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1182</v>
      </c>
      <c r="B88" s="1088" t="s">
        <v>1183</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1185</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1186</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1188</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589</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1189</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1190</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1193</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2057</v>
      </c>
      <c r="C106" s="1111" t="s">
        <v>1212</v>
      </c>
      <c r="D106" s="1111" t="s">
        <v>1213</v>
      </c>
      <c r="E106" s="1111" t="s">
        <v>1214</v>
      </c>
      <c r="F106" s="1111" t="s">
        <v>1215</v>
      </c>
      <c r="G106" s="1111" t="s">
        <v>1216</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5.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2058</v>
      </c>
      <c r="B1" s="1225"/>
      <c r="C1" s="1226" t="s">
        <v>1141</v>
      </c>
      <c r="D1" s="1227"/>
      <c r="E1" s="1311"/>
      <c r="F1" s="1229"/>
      <c r="G1" s="1312" t="s">
        <v>1143</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1144</v>
      </c>
      <c r="B2" s="1232" t="e">
        <f ca="1">IF(C2="——",IF(B37="元/平方米",ROUND(C39*D3/10000,0),ROUND(F3*C39/10000,0)),IF(B37="元/平方米",ROUND(C39*D3/10000,0),ROUND(F3*C39/10000,0))-D2)</f>
        <v>#DIV/0!</v>
      </c>
      <c r="C2" s="1233"/>
      <c r="D2" s="1186" t="e">
        <f ca="1">SUMIF(INDIRECT("'"&amp;F2&amp;"'"&amp;"!A:A"),"承租人权益价值",INDIRECT("'"&amp;F2&amp;"'"&amp;"!c:c"))</f>
        <v>#REF!</v>
      </c>
      <c r="E2" s="1234" t="s">
        <v>1145</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1146</v>
      </c>
      <c r="B3" s="825" t="e">
        <f ca="1">IF(AND(C2="——",B37="元/平方米"),C39,ROUND(B2*10000/D3,0))</f>
        <v>#DIV/0!</v>
      </c>
      <c r="C3" s="1236" t="s">
        <v>1147</v>
      </c>
      <c r="D3" s="1237">
        <f>SUMIF('数据-汇总表'!$C19:$C33,D1,'数据-汇总表'!$E19:$E33)</f>
        <v>0</v>
      </c>
      <c r="E3" s="1236" t="s">
        <v>2059</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1148</v>
      </c>
      <c r="B4" s="828"/>
      <c r="C4" s="829" t="s">
        <v>1149</v>
      </c>
      <c r="D4" s="830"/>
      <c r="E4" s="831" t="s">
        <v>1150</v>
      </c>
      <c r="F4" s="832"/>
      <c r="G4" s="829" t="s">
        <v>1151</v>
      </c>
      <c r="H4" s="830"/>
      <c r="I4" s="829" t="s">
        <v>1152</v>
      </c>
      <c r="J4" s="830"/>
      <c r="K4" s="984" t="s">
        <v>1153</v>
      </c>
      <c r="L4" s="985"/>
      <c r="M4" s="986"/>
      <c r="N4" s="986"/>
      <c r="O4" s="986"/>
      <c r="P4" s="987" t="s">
        <v>1154</v>
      </c>
      <c r="Q4" s="1036"/>
      <c r="R4" s="1037" t="s">
        <v>1150</v>
      </c>
      <c r="S4" s="1038"/>
      <c r="T4" s="1037" t="s">
        <v>1151</v>
      </c>
      <c r="U4" s="1038"/>
      <c r="V4" s="1026" t="s">
        <v>1152</v>
      </c>
      <c r="W4" s="1026"/>
      <c r="X4" s="1039"/>
      <c r="Y4" s="1037" t="s">
        <v>1154</v>
      </c>
      <c r="Z4" s="1038"/>
      <c r="AA4" s="1064" t="s">
        <v>1150</v>
      </c>
      <c r="AB4" s="1039" t="s">
        <v>1151</v>
      </c>
      <c r="AC4" s="1064" t="s">
        <v>1152</v>
      </c>
    </row>
    <row r="5" ht="15" spans="1:29">
      <c r="A5" s="833"/>
      <c r="B5" s="834"/>
      <c r="C5" s="835" t="s">
        <v>1155</v>
      </c>
      <c r="D5" s="836"/>
      <c r="E5" s="837" t="s">
        <v>1156</v>
      </c>
      <c r="F5" s="838"/>
      <c r="G5" s="835" t="s">
        <v>1157</v>
      </c>
      <c r="H5" s="836"/>
      <c r="I5" s="835" t="s">
        <v>1158</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1159</v>
      </c>
      <c r="D6" s="1188"/>
      <c r="E6" s="1189" t="s">
        <v>1159</v>
      </c>
      <c r="F6" s="1190"/>
      <c r="G6" s="1187" t="s">
        <v>1159</v>
      </c>
      <c r="H6" s="1188"/>
      <c r="I6" s="1187" t="s">
        <v>1159</v>
      </c>
      <c r="J6" s="1188"/>
      <c r="K6" s="984" t="s">
        <v>1160</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1161</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1162</v>
      </c>
      <c r="Q7" s="1046"/>
      <c r="R7" s="1047" t="s">
        <v>1163</v>
      </c>
      <c r="S7" s="1048">
        <f t="shared" ref="S7:S14" si="0">F7</f>
        <v>0</v>
      </c>
      <c r="T7" s="1047" t="s">
        <v>1163</v>
      </c>
      <c r="U7" s="1048">
        <f t="shared" ref="U7:U14" si="1">H7</f>
        <v>0</v>
      </c>
      <c r="V7" s="1047" t="s">
        <v>1163</v>
      </c>
      <c r="W7" s="1048">
        <f t="shared" ref="W7:W14" si="2">J7</f>
        <v>0</v>
      </c>
      <c r="X7" s="1049"/>
      <c r="Y7" s="993" t="s">
        <v>1162</v>
      </c>
      <c r="Z7" s="1050"/>
      <c r="AA7" s="1066" t="e">
        <f>D7/F7</f>
        <v>#DIV/0!</v>
      </c>
      <c r="AB7" s="1066" t="e">
        <f>D7/H7</f>
        <v>#DIV/0!</v>
      </c>
      <c r="AC7" s="1066" t="e">
        <f>D7/J7</f>
        <v>#DIV/0!</v>
      </c>
    </row>
    <row r="8" s="808" customFormat="1" ht="15.75" spans="1:29">
      <c r="A8" s="845" t="s">
        <v>1164</v>
      </c>
      <c r="B8" s="846"/>
      <c r="C8" s="852" t="s">
        <v>1165</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1166</v>
      </c>
      <c r="Q8" s="1050"/>
      <c r="R8" s="1047" t="s">
        <v>1163</v>
      </c>
      <c r="S8" s="1048">
        <f t="shared" si="0"/>
        <v>0</v>
      </c>
      <c r="T8" s="1047" t="s">
        <v>1163</v>
      </c>
      <c r="U8" s="1048">
        <f t="shared" si="1"/>
        <v>0</v>
      </c>
      <c r="V8" s="1047" t="s">
        <v>1163</v>
      </c>
      <c r="W8" s="1048">
        <f t="shared" si="2"/>
        <v>0</v>
      </c>
      <c r="X8" s="1049"/>
      <c r="Y8" s="993" t="s">
        <v>1166</v>
      </c>
      <c r="Z8" s="1050"/>
      <c r="AA8" s="1066" t="e">
        <f t="shared" ref="AA8:AA36" si="3">D8/F8</f>
        <v>#DIV/0!</v>
      </c>
      <c r="AB8" s="1066" t="e">
        <f t="shared" ref="AB8:AB36" si="4">D8/H8</f>
        <v>#DIV/0!</v>
      </c>
      <c r="AC8" s="1066" t="e">
        <f t="shared" ref="AC8:AC36" si="5">D8/J8</f>
        <v>#DIV/0!</v>
      </c>
    </row>
    <row r="9" s="808" customFormat="1" spans="1:29">
      <c r="A9" s="1313" t="s">
        <v>1167</v>
      </c>
      <c r="B9" s="1314" t="s">
        <v>1168</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1169</v>
      </c>
      <c r="Q9" s="1051" t="str">
        <f t="shared" ref="Q9:Q14" si="6">B9</f>
        <v>用途</v>
      </c>
      <c r="R9" s="1047" t="s">
        <v>1163</v>
      </c>
      <c r="S9" s="1048">
        <f t="shared" si="0"/>
        <v>100</v>
      </c>
      <c r="T9" s="1047" t="s">
        <v>1163</v>
      </c>
      <c r="U9" s="1048">
        <f t="shared" si="1"/>
        <v>100</v>
      </c>
      <c r="V9" s="1047" t="s">
        <v>1163</v>
      </c>
      <c r="W9" s="1048">
        <f t="shared" si="2"/>
        <v>100</v>
      </c>
      <c r="X9" s="1049"/>
      <c r="Y9" s="1051" t="s">
        <v>1170</v>
      </c>
      <c r="Z9" s="1067" t="str">
        <f t="shared" ref="Z9:Z14" si="7">Q9</f>
        <v>用途</v>
      </c>
      <c r="AA9" s="1066">
        <f t="shared" si="3"/>
        <v>1</v>
      </c>
      <c r="AB9" s="1066">
        <f t="shared" si="4"/>
        <v>1</v>
      </c>
      <c r="AC9" s="1066">
        <f t="shared" si="5"/>
        <v>1</v>
      </c>
    </row>
    <row r="10" s="809" customFormat="1" ht="27" spans="1:29">
      <c r="A10" s="1317"/>
      <c r="B10" s="1318" t="s">
        <v>1171</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1163</v>
      </c>
      <c r="S10" s="1048">
        <f t="shared" si="0"/>
        <v>100</v>
      </c>
      <c r="T10" s="1047" t="s">
        <v>1163</v>
      </c>
      <c r="U10" s="1048">
        <f t="shared" si="1"/>
        <v>100</v>
      </c>
      <c r="V10" s="1047" t="s">
        <v>1163</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1163</v>
      </c>
      <c r="S11" s="1048">
        <f t="shared" si="0"/>
        <v>100</v>
      </c>
      <c r="T11" s="1047" t="s">
        <v>1163</v>
      </c>
      <c r="U11" s="1048">
        <f t="shared" si="1"/>
        <v>100</v>
      </c>
      <c r="V11" s="1047" t="s">
        <v>1163</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1163</v>
      </c>
      <c r="S12" s="1048">
        <f t="shared" si="0"/>
        <v>100</v>
      </c>
      <c r="T12" s="1047" t="s">
        <v>1163</v>
      </c>
      <c r="U12" s="1048">
        <f t="shared" si="1"/>
        <v>100</v>
      </c>
      <c r="V12" s="1047" t="s">
        <v>1163</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1163</v>
      </c>
      <c r="S13" s="1048">
        <f t="shared" si="0"/>
        <v>100</v>
      </c>
      <c r="T13" s="1047" t="s">
        <v>1163</v>
      </c>
      <c r="U13" s="1048">
        <f t="shared" si="1"/>
        <v>100</v>
      </c>
      <c r="V13" s="1047" t="s">
        <v>1163</v>
      </c>
      <c r="W13" s="1048">
        <f t="shared" si="2"/>
        <v>100</v>
      </c>
      <c r="X13" s="1049"/>
      <c r="Y13" s="1051"/>
      <c r="Z13" s="1067">
        <f t="shared" si="7"/>
        <v>111</v>
      </c>
      <c r="AA13" s="1066">
        <f t="shared" si="3"/>
        <v>1</v>
      </c>
      <c r="AB13" s="1066">
        <f t="shared" si="4"/>
        <v>1</v>
      </c>
      <c r="AC13" s="1066">
        <f t="shared" si="5"/>
        <v>1</v>
      </c>
    </row>
    <row r="14" ht="81" spans="1:29">
      <c r="A14" s="827" t="s">
        <v>1173</v>
      </c>
      <c r="B14" s="876" t="s">
        <v>1176</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1175</v>
      </c>
      <c r="Q14" s="554" t="str">
        <f t="shared" si="6"/>
        <v>交通便捷度</v>
      </c>
      <c r="R14" s="1052" t="s">
        <v>1163</v>
      </c>
      <c r="S14" s="1053">
        <f t="shared" si="0"/>
        <v>100</v>
      </c>
      <c r="T14" s="1052" t="s">
        <v>1163</v>
      </c>
      <c r="U14" s="1053">
        <f t="shared" si="1"/>
        <v>100</v>
      </c>
      <c r="V14" s="1052" t="s">
        <v>1163</v>
      </c>
      <c r="W14" s="1053">
        <f t="shared" si="2"/>
        <v>100</v>
      </c>
      <c r="X14" s="1039"/>
      <c r="Y14" s="1004" t="s">
        <v>1175</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1177</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1163</v>
      </c>
      <c r="S16" s="1053">
        <f>F16</f>
        <v>100</v>
      </c>
      <c r="T16" s="1052" t="s">
        <v>1163</v>
      </c>
      <c r="U16" s="1053">
        <f>H16</f>
        <v>100</v>
      </c>
      <c r="V16" s="1052" t="s">
        <v>1163</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1178</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1163</v>
      </c>
      <c r="S18" s="1053">
        <f>F18</f>
        <v>100</v>
      </c>
      <c r="T18" s="1052" t="s">
        <v>1163</v>
      </c>
      <c r="U18" s="1053">
        <f>H18</f>
        <v>100</v>
      </c>
      <c r="V18" s="1052" t="s">
        <v>1163</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1179</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1163</v>
      </c>
      <c r="S20" s="1053">
        <f>F20</f>
        <v>100</v>
      </c>
      <c r="T20" s="1052" t="s">
        <v>1163</v>
      </c>
      <c r="U20" s="1053">
        <f>H20</f>
        <v>100</v>
      </c>
      <c r="V20" s="1052" t="s">
        <v>1163</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1256</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1163</v>
      </c>
      <c r="S22" s="1053">
        <f>F22</f>
        <v>100</v>
      </c>
      <c r="T22" s="1052" t="s">
        <v>1163</v>
      </c>
      <c r="U22" s="1053">
        <f>H22</f>
        <v>100</v>
      </c>
      <c r="V22" s="1052" t="s">
        <v>1163</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1163</v>
      </c>
      <c r="S23" s="1053">
        <f>F23</f>
        <v>100</v>
      </c>
      <c r="T23" s="1052" t="s">
        <v>1163</v>
      </c>
      <c r="U23" s="1053">
        <f>H23</f>
        <v>100</v>
      </c>
      <c r="V23" s="1052" t="s">
        <v>1163</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1163</v>
      </c>
      <c r="S24" s="1053">
        <f>F24</f>
        <v>100</v>
      </c>
      <c r="T24" s="1052" t="s">
        <v>1163</v>
      </c>
      <c r="U24" s="1053">
        <f>H24</f>
        <v>100</v>
      </c>
      <c r="V24" s="1052" t="s">
        <v>1163</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1163</v>
      </c>
      <c r="S25" s="1048">
        <f>F25</f>
        <v>100</v>
      </c>
      <c r="T25" s="1047" t="s">
        <v>1163</v>
      </c>
      <c r="U25" s="1048">
        <f>H25</f>
        <v>100</v>
      </c>
      <c r="V25" s="1047" t="s">
        <v>1163</v>
      </c>
      <c r="W25" s="1048">
        <f>J25</f>
        <v>100</v>
      </c>
      <c r="X25" s="1049"/>
      <c r="Y25" s="1005"/>
      <c r="Z25" s="1067">
        <f>Q25</f>
        <v>111</v>
      </c>
      <c r="AA25" s="1068">
        <f t="shared" si="3"/>
        <v>1</v>
      </c>
      <c r="AB25" s="1068">
        <f t="shared" si="4"/>
        <v>1</v>
      </c>
      <c r="AC25" s="1068">
        <f t="shared" si="5"/>
        <v>1</v>
      </c>
    </row>
    <row r="26" ht="28.5" spans="1:29">
      <c r="A26" s="1330" t="s">
        <v>1182</v>
      </c>
      <c r="B26" s="1331" t="s">
        <v>2060</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1184</v>
      </c>
      <c r="Q26" s="554" t="str">
        <f t="shared" si="11"/>
        <v>配套类型</v>
      </c>
      <c r="R26" s="1052" t="s">
        <v>1163</v>
      </c>
      <c r="S26" s="1053">
        <f t="shared" ref="S26:S36" si="12">F26</f>
        <v>100</v>
      </c>
      <c r="T26" s="1052" t="s">
        <v>1163</v>
      </c>
      <c r="U26" s="1053">
        <f t="shared" ref="U26:U36" si="13">H26</f>
        <v>100</v>
      </c>
      <c r="V26" s="1052" t="s">
        <v>1163</v>
      </c>
      <c r="W26" s="1053">
        <f t="shared" ref="W26:W36" si="14">J26</f>
        <v>100</v>
      </c>
      <c r="X26" s="1039"/>
      <c r="Y26" s="1014" t="s">
        <v>1184</v>
      </c>
      <c r="Z26" s="1026" t="str">
        <f t="shared" ref="Z26:Z36" si="15">Q26</f>
        <v>配套类型</v>
      </c>
      <c r="AA26" s="1068">
        <f t="shared" si="3"/>
        <v>1</v>
      </c>
      <c r="AB26" s="1068">
        <f t="shared" si="4"/>
        <v>1</v>
      </c>
      <c r="AC26" s="1068">
        <f t="shared" si="5"/>
        <v>1</v>
      </c>
    </row>
    <row r="27" s="810" customFormat="1" ht="15" spans="1:29">
      <c r="A27" s="1333"/>
      <c r="B27" s="898" t="s">
        <v>2061</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1163</v>
      </c>
      <c r="S27" s="1055">
        <f t="shared" si="12"/>
        <v>100</v>
      </c>
      <c r="T27" s="1054" t="s">
        <v>1163</v>
      </c>
      <c r="U27" s="1055">
        <f t="shared" si="13"/>
        <v>100</v>
      </c>
      <c r="V27" s="1054" t="s">
        <v>1163</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1188</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1163</v>
      </c>
      <c r="S28" s="1053">
        <f t="shared" si="12"/>
        <v>100</v>
      </c>
      <c r="T28" s="1052" t="s">
        <v>1163</v>
      </c>
      <c r="U28" s="1053">
        <f t="shared" si="13"/>
        <v>100</v>
      </c>
      <c r="V28" s="1052" t="s">
        <v>1163</v>
      </c>
      <c r="W28" s="1053">
        <f t="shared" si="14"/>
        <v>100</v>
      </c>
      <c r="X28" s="1039"/>
      <c r="Y28" s="1014"/>
      <c r="Z28" s="1026" t="str">
        <f t="shared" si="15"/>
        <v>公共部分装修</v>
      </c>
      <c r="AA28" s="1068">
        <f t="shared" si="3"/>
        <v>1</v>
      </c>
      <c r="AB28" s="1068">
        <f t="shared" si="4"/>
        <v>1</v>
      </c>
      <c r="AC28" s="1068">
        <f t="shared" si="5"/>
        <v>1</v>
      </c>
    </row>
    <row r="29" ht="15" spans="1:29">
      <c r="A29" s="1335"/>
      <c r="B29" s="898" t="s">
        <v>2062</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1163</v>
      </c>
      <c r="S29" s="1053" t="e">
        <f t="shared" si="12"/>
        <v>#N/A</v>
      </c>
      <c r="T29" s="1052" t="s">
        <v>1163</v>
      </c>
      <c r="U29" s="1053" t="e">
        <f t="shared" si="13"/>
        <v>#N/A</v>
      </c>
      <c r="V29" s="1052" t="s">
        <v>1163</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2063</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1163</v>
      </c>
      <c r="S30" s="1053">
        <f t="shared" si="12"/>
        <v>100</v>
      </c>
      <c r="T30" s="1052" t="s">
        <v>1163</v>
      </c>
      <c r="U30" s="1053">
        <f t="shared" si="13"/>
        <v>100</v>
      </c>
      <c r="V30" s="1052" t="s">
        <v>1163</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2064</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1163</v>
      </c>
      <c r="S31" s="1048" t="e">
        <f t="shared" si="12"/>
        <v>#N/A</v>
      </c>
      <c r="T31" s="1047" t="s">
        <v>1163</v>
      </c>
      <c r="U31" s="1048" t="e">
        <f t="shared" si="13"/>
        <v>#N/A</v>
      </c>
      <c r="V31" s="1047" t="s">
        <v>1163</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2065</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1184</v>
      </c>
      <c r="Q32" s="554" t="str">
        <f t="shared" si="11"/>
        <v>车位类型</v>
      </c>
      <c r="R32" s="1052" t="s">
        <v>1163</v>
      </c>
      <c r="S32" s="1053">
        <f t="shared" si="12"/>
        <v>100</v>
      </c>
      <c r="T32" s="1052" t="s">
        <v>1163</v>
      </c>
      <c r="U32" s="1053">
        <f t="shared" si="13"/>
        <v>100</v>
      </c>
      <c r="V32" s="1052" t="s">
        <v>1163</v>
      </c>
      <c r="W32" s="1053">
        <f t="shared" si="14"/>
        <v>100</v>
      </c>
      <c r="X32" s="1039"/>
      <c r="Y32" s="1014" t="s">
        <v>1184</v>
      </c>
      <c r="Z32" s="1026" t="str">
        <f t="shared" si="15"/>
        <v>车位类型</v>
      </c>
      <c r="AA32" s="1068">
        <f t="shared" si="3"/>
        <v>1</v>
      </c>
      <c r="AB32" s="1068">
        <f t="shared" si="4"/>
        <v>1</v>
      </c>
      <c r="AC32" s="1068">
        <f t="shared" si="5"/>
        <v>1</v>
      </c>
    </row>
    <row r="33" ht="15" spans="1:29">
      <c r="A33" s="1335"/>
      <c r="B33" s="898" t="s">
        <v>2066</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1163</v>
      </c>
      <c r="S33" s="1053">
        <f t="shared" si="12"/>
        <v>100</v>
      </c>
      <c r="T33" s="1052" t="s">
        <v>1163</v>
      </c>
      <c r="U33" s="1053">
        <f t="shared" si="13"/>
        <v>100</v>
      </c>
      <c r="V33" s="1052" t="s">
        <v>1163</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1163</v>
      </c>
      <c r="S34" s="1053">
        <f t="shared" si="12"/>
        <v>100</v>
      </c>
      <c r="T34" s="1052" t="s">
        <v>1163</v>
      </c>
      <c r="U34" s="1053">
        <f t="shared" si="13"/>
        <v>100</v>
      </c>
      <c r="V34" s="1052" t="s">
        <v>1163</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1163</v>
      </c>
      <c r="S35" s="1055">
        <f t="shared" si="12"/>
        <v>100</v>
      </c>
      <c r="T35" s="1054" t="s">
        <v>1163</v>
      </c>
      <c r="U35" s="1055">
        <f t="shared" si="13"/>
        <v>100</v>
      </c>
      <c r="V35" s="1054" t="s">
        <v>1163</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1163</v>
      </c>
      <c r="S36" s="1053">
        <f t="shared" si="12"/>
        <v>100</v>
      </c>
      <c r="T36" s="1052" t="s">
        <v>1163</v>
      </c>
      <c r="U36" s="1053">
        <f t="shared" si="13"/>
        <v>100</v>
      </c>
      <c r="V36" s="1052" t="s">
        <v>1163</v>
      </c>
      <c r="W36" s="1053">
        <f t="shared" si="14"/>
        <v>100</v>
      </c>
      <c r="X36" s="1039"/>
      <c r="Y36" s="1014"/>
      <c r="Z36" s="1026">
        <f t="shared" si="15"/>
        <v>111</v>
      </c>
      <c r="AA36" s="1068">
        <f t="shared" si="3"/>
        <v>1</v>
      </c>
      <c r="AB36" s="1068">
        <f t="shared" si="4"/>
        <v>1</v>
      </c>
      <c r="AC36" s="1068">
        <f t="shared" si="5"/>
        <v>1</v>
      </c>
    </row>
    <row r="37" ht="15" spans="1:29">
      <c r="A37" s="919" t="s">
        <v>2067</v>
      </c>
      <c r="B37" s="1338" t="s">
        <v>2068</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1196</v>
      </c>
      <c r="B38" s="1275" t="str">
        <f>B37</f>
        <v>元/车位</v>
      </c>
      <c r="C38" s="1276" t="e">
        <f>R39</f>
        <v>#DIV/0!</v>
      </c>
      <c r="D38" s="930" t="s">
        <v>1197</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2069</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1199</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1200</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1201</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1202</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1161</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1203</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1164</v>
      </c>
      <c r="B51" s="1082"/>
      <c r="C51" s="1083" t="s">
        <v>1165</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1204</v>
      </c>
      <c r="B53" s="1088" t="s">
        <v>1168</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1171</v>
      </c>
      <c r="C55" s="1093" t="s">
        <v>1205</v>
      </c>
      <c r="D55" s="1093" t="s">
        <v>1206</v>
      </c>
      <c r="E55" s="1093" t="s">
        <v>1207</v>
      </c>
      <c r="F55" s="1093" t="s">
        <v>1208</v>
      </c>
      <c r="G55" s="1093" t="s">
        <v>1209</v>
      </c>
      <c r="H55" s="1093" t="s">
        <v>1210</v>
      </c>
      <c r="I55" s="1093" t="s">
        <v>1211</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1270</v>
      </c>
      <c r="D56" s="1095" t="s">
        <v>1270</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1173</v>
      </c>
      <c r="B63" s="1088" t="s">
        <v>1176</v>
      </c>
      <c r="C63" s="1109" t="s">
        <v>1212</v>
      </c>
      <c r="D63" s="1109" t="s">
        <v>1213</v>
      </c>
      <c r="E63" s="1109" t="s">
        <v>1214</v>
      </c>
      <c r="F63" s="1109" t="s">
        <v>1215</v>
      </c>
      <c r="G63" s="1109" t="s">
        <v>1216</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1177</v>
      </c>
      <c r="C65" s="1111" t="s">
        <v>1212</v>
      </c>
      <c r="D65" s="1111" t="s">
        <v>1213</v>
      </c>
      <c r="E65" s="1111" t="s">
        <v>1214</v>
      </c>
      <c r="F65" s="1111" t="s">
        <v>1215</v>
      </c>
      <c r="G65" s="1111" t="s">
        <v>1216</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1178</v>
      </c>
      <c r="C67" s="1116" t="s">
        <v>1217</v>
      </c>
      <c r="D67" s="1116" t="s">
        <v>1218</v>
      </c>
      <c r="E67" s="1116" t="s">
        <v>1219</v>
      </c>
      <c r="F67" s="1116" t="s">
        <v>1220</v>
      </c>
      <c r="G67" s="1116" t="s">
        <v>1221</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1179</v>
      </c>
      <c r="C69" s="1111" t="s">
        <v>1212</v>
      </c>
      <c r="D69" s="1111" t="s">
        <v>1213</v>
      </c>
      <c r="E69" s="1111" t="s">
        <v>1214</v>
      </c>
      <c r="F69" s="1111" t="s">
        <v>1215</v>
      </c>
      <c r="G69" s="1111" t="s">
        <v>1216</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1256</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1182</v>
      </c>
      <c r="B79" s="1088" t="s">
        <v>2070</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2061</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1188</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2062</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2063</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2064</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2065</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2066</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2058</v>
      </c>
      <c r="B1" s="1225" t="s">
        <v>460</v>
      </c>
      <c r="C1" s="1226" t="s">
        <v>1141</v>
      </c>
      <c r="D1" s="1227" t="s">
        <v>460</v>
      </c>
      <c r="E1" s="1228"/>
      <c r="F1" s="1229" t="s">
        <v>1243</v>
      </c>
      <c r="G1" s="1230" t="s">
        <v>1143</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1144</v>
      </c>
      <c r="B2" s="1232">
        <f ca="1">IF(C2="——",ROUND(C37*D3/10000,0),ROUND(C37*D3/10000,0)-D2)</f>
        <v>563</v>
      </c>
      <c r="C2" s="1233" t="s">
        <v>124</v>
      </c>
      <c r="D2" s="1186" t="e">
        <f ca="1">SUMIF(INDIRECT("'"&amp;F2&amp;"'"&amp;"!A:A"),"承租人权益价值",INDIRECT("'"&amp;F2&amp;"'"&amp;"!c:c"))</f>
        <v>#REF!</v>
      </c>
      <c r="E2" s="1234" t="s">
        <v>1145</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1146</v>
      </c>
      <c r="B3" s="825">
        <f ca="1">IF(C2="——",C37,ROUND(B2*10000/D3,0))</f>
        <v>4940</v>
      </c>
      <c r="C3" s="1236" t="s">
        <v>1147</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1148</v>
      </c>
      <c r="B4" s="828"/>
      <c r="C4" s="829" t="s">
        <v>1149</v>
      </c>
      <c r="D4" s="830"/>
      <c r="E4" s="831" t="s">
        <v>1150</v>
      </c>
      <c r="F4" s="832"/>
      <c r="G4" s="829" t="s">
        <v>1151</v>
      </c>
      <c r="H4" s="830"/>
      <c r="I4" s="829" t="s">
        <v>1152</v>
      </c>
      <c r="J4" s="830"/>
      <c r="K4" s="984" t="s">
        <v>1153</v>
      </c>
      <c r="L4" s="985"/>
      <c r="M4" s="986"/>
      <c r="N4" s="986"/>
      <c r="O4" s="986"/>
      <c r="P4" s="987" t="s">
        <v>1154</v>
      </c>
      <c r="Q4" s="1036"/>
      <c r="R4" s="1037" t="s">
        <v>1150</v>
      </c>
      <c r="S4" s="1038"/>
      <c r="T4" s="1037" t="s">
        <v>1151</v>
      </c>
      <c r="U4" s="1038"/>
      <c r="V4" s="1026" t="s">
        <v>1152</v>
      </c>
      <c r="W4" s="1026"/>
      <c r="X4" s="1039"/>
      <c r="Y4" s="1037" t="s">
        <v>1154</v>
      </c>
      <c r="Z4" s="1038"/>
      <c r="AA4" s="1064" t="s">
        <v>1150</v>
      </c>
      <c r="AB4" s="1039" t="s">
        <v>1151</v>
      </c>
      <c r="AC4" s="1064" t="s">
        <v>1152</v>
      </c>
    </row>
    <row r="5" ht="15" spans="1:29">
      <c r="A5" s="833"/>
      <c r="B5" s="834"/>
      <c r="C5" s="835" t="s">
        <v>1155</v>
      </c>
      <c r="D5" s="836"/>
      <c r="E5" s="1238" t="s">
        <v>2071</v>
      </c>
      <c r="F5" s="838"/>
      <c r="G5" s="1239" t="s">
        <v>2072</v>
      </c>
      <c r="H5" s="836"/>
      <c r="I5" s="1239" t="s">
        <v>2073</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1159</v>
      </c>
      <c r="D6" s="1188"/>
      <c r="E6" s="1189" t="s">
        <v>1159</v>
      </c>
      <c r="F6" s="1190"/>
      <c r="G6" s="1187" t="s">
        <v>1159</v>
      </c>
      <c r="H6" s="1188"/>
      <c r="I6" s="1187" t="s">
        <v>1159</v>
      </c>
      <c r="J6" s="1188"/>
      <c r="K6" s="984" t="s">
        <v>1160</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1161</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1162</v>
      </c>
      <c r="Q7" s="1046"/>
      <c r="R7" s="1047" t="s">
        <v>1163</v>
      </c>
      <c r="S7" s="1048">
        <f t="shared" ref="S7:S14" si="0">F7</f>
        <v>100</v>
      </c>
      <c r="T7" s="1047" t="s">
        <v>1163</v>
      </c>
      <c r="U7" s="1048">
        <f t="shared" ref="U7:U14" si="1">H7</f>
        <v>100</v>
      </c>
      <c r="V7" s="1047" t="s">
        <v>1163</v>
      </c>
      <c r="W7" s="1048">
        <f t="shared" ref="W7:W14" si="2">J7</f>
        <v>100</v>
      </c>
      <c r="X7" s="1049"/>
      <c r="Y7" s="993" t="s">
        <v>1162</v>
      </c>
      <c r="Z7" s="1050"/>
      <c r="AA7" s="1066">
        <f>D7/F7</f>
        <v>1</v>
      </c>
      <c r="AB7" s="1066">
        <f>D7/H7</f>
        <v>1</v>
      </c>
      <c r="AC7" s="1066">
        <f>D7/J7</f>
        <v>1</v>
      </c>
    </row>
    <row r="8" s="808" customFormat="1" ht="15.75" spans="1:29">
      <c r="A8" s="845" t="s">
        <v>1164</v>
      </c>
      <c r="B8" s="846"/>
      <c r="C8" s="852" t="s">
        <v>1165</v>
      </c>
      <c r="D8" s="848">
        <v>100</v>
      </c>
      <c r="E8" s="852" t="s">
        <v>1247</v>
      </c>
      <c r="F8" s="850">
        <f>SUMIF(49:49,E8,50:50)-SUMIF(49:49,C8,50:50)+100</f>
        <v>100</v>
      </c>
      <c r="G8" s="852" t="s">
        <v>1247</v>
      </c>
      <c r="H8" s="848">
        <f>SUMIF(49:49,G8,50:50)-SUMIF(49:49,C8,50:50)+100</f>
        <v>100</v>
      </c>
      <c r="I8" s="852" t="s">
        <v>1247</v>
      </c>
      <c r="J8" s="848">
        <f>SUMIF(49:49,I8,50:50)-SUMIF(49:49,C8,50:50)+100</f>
        <v>100</v>
      </c>
      <c r="K8" s="990"/>
      <c r="L8" s="991"/>
      <c r="M8" s="992"/>
      <c r="N8" s="992"/>
      <c r="O8" s="992"/>
      <c r="P8" s="993" t="s">
        <v>1166</v>
      </c>
      <c r="Q8" s="1050"/>
      <c r="R8" s="1047" t="s">
        <v>1163</v>
      </c>
      <c r="S8" s="1048">
        <f t="shared" si="0"/>
        <v>100</v>
      </c>
      <c r="T8" s="1047" t="s">
        <v>1163</v>
      </c>
      <c r="U8" s="1048">
        <f t="shared" si="1"/>
        <v>100</v>
      </c>
      <c r="V8" s="1047" t="s">
        <v>1163</v>
      </c>
      <c r="W8" s="1048">
        <f t="shared" si="2"/>
        <v>100</v>
      </c>
      <c r="X8" s="1049"/>
      <c r="Y8" s="993" t="s">
        <v>1166</v>
      </c>
      <c r="Z8" s="1050"/>
      <c r="AA8" s="1066">
        <f t="shared" ref="AA8:AA34" si="3">D8/F8</f>
        <v>1</v>
      </c>
      <c r="AB8" s="1066">
        <f t="shared" ref="AB8:AB34" si="4">D8/H8</f>
        <v>1</v>
      </c>
      <c r="AC8" s="1066">
        <f t="shared" ref="AC8:AC34" si="5">D8/J8</f>
        <v>1</v>
      </c>
    </row>
    <row r="9" s="808" customFormat="1" spans="1:29">
      <c r="A9" s="853" t="s">
        <v>1167</v>
      </c>
      <c r="B9" s="854" t="s">
        <v>1168</v>
      </c>
      <c r="C9" s="1240" t="s">
        <v>460</v>
      </c>
      <c r="D9" s="856">
        <v>100</v>
      </c>
      <c r="E9" s="1241" t="s">
        <v>460</v>
      </c>
      <c r="F9" s="1242">
        <f>SUMIF(51:51,E9,52:52)-SUMIF(51:51,C9,52:52)+100</f>
        <v>100</v>
      </c>
      <c r="G9" s="1241" t="s">
        <v>460</v>
      </c>
      <c r="H9" s="856">
        <f>SUMIF(51:51,G9,52:52)-SUMIF(51:51,C9,52:52)+100</f>
        <v>100</v>
      </c>
      <c r="I9" s="1241" t="s">
        <v>460</v>
      </c>
      <c r="J9" s="856">
        <f>SUMIF(51:51,I9,52:52)-SUMIF(51:51,C9,52:52)+100</f>
        <v>100</v>
      </c>
      <c r="K9" s="990"/>
      <c r="L9" s="991"/>
      <c r="M9" s="992"/>
      <c r="N9" s="992"/>
      <c r="O9" s="994"/>
      <c r="P9" s="554" t="s">
        <v>1169</v>
      </c>
      <c r="Q9" s="1051" t="str">
        <f t="shared" ref="Q9:Q14" si="6">B9</f>
        <v>用途</v>
      </c>
      <c r="R9" s="1047" t="s">
        <v>1163</v>
      </c>
      <c r="S9" s="1048">
        <f t="shared" si="0"/>
        <v>100</v>
      </c>
      <c r="T9" s="1047" t="s">
        <v>1163</v>
      </c>
      <c r="U9" s="1048">
        <f t="shared" si="1"/>
        <v>100</v>
      </c>
      <c r="V9" s="1047" t="s">
        <v>1163</v>
      </c>
      <c r="W9" s="1048">
        <f t="shared" si="2"/>
        <v>100</v>
      </c>
      <c r="X9" s="1049"/>
      <c r="Y9" s="1051" t="s">
        <v>1170</v>
      </c>
      <c r="Z9" s="1067" t="str">
        <f t="shared" ref="Z9:Z14" si="7">Q9</f>
        <v>用途</v>
      </c>
      <c r="AA9" s="1066">
        <f t="shared" si="3"/>
        <v>1</v>
      </c>
      <c r="AB9" s="1066">
        <f t="shared" si="4"/>
        <v>1</v>
      </c>
      <c r="AC9" s="1066">
        <f t="shared" si="5"/>
        <v>1</v>
      </c>
    </row>
    <row r="10" s="809" customFormat="1" ht="27" spans="1:29">
      <c r="A10" s="857"/>
      <c r="B10" s="858" t="s">
        <v>1171</v>
      </c>
      <c r="C10" s="1243" t="s">
        <v>1248</v>
      </c>
      <c r="D10" s="860">
        <v>100</v>
      </c>
      <c r="E10" s="1243" t="s">
        <v>1248</v>
      </c>
      <c r="F10" s="1244">
        <f>SUMIF(53:53,E10,54:54)-SUMIF(53:53,C10,54:54)+100</f>
        <v>100</v>
      </c>
      <c r="G10" s="1243" t="s">
        <v>1248</v>
      </c>
      <c r="H10" s="860">
        <f>SUMIF(53:53,G10,54:54)-SUMIF(53:53,C10,54:54)+100</f>
        <v>100</v>
      </c>
      <c r="I10" s="1243" t="s">
        <v>1248</v>
      </c>
      <c r="J10" s="860">
        <f>SUMIF(53:53,I10,54:54)-SUMIF(53:53,C10,54:54)+100</f>
        <v>100</v>
      </c>
      <c r="K10" s="1010"/>
      <c r="L10" s="996"/>
      <c r="M10" s="997"/>
      <c r="N10" s="997"/>
      <c r="O10" s="998"/>
      <c r="P10" s="554"/>
      <c r="Q10" s="1051" t="str">
        <f t="shared" si="6"/>
        <v>土地使用年限（年）</v>
      </c>
      <c r="R10" s="1047" t="s">
        <v>1163</v>
      </c>
      <c r="S10" s="1048">
        <f t="shared" si="0"/>
        <v>100</v>
      </c>
      <c r="T10" s="1047" t="s">
        <v>1163</v>
      </c>
      <c r="U10" s="1048">
        <f t="shared" si="1"/>
        <v>100</v>
      </c>
      <c r="V10" s="1047" t="s">
        <v>1163</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1163</v>
      </c>
      <c r="S11" s="1048">
        <f t="shared" si="0"/>
        <v>100</v>
      </c>
      <c r="T11" s="1047" t="s">
        <v>1163</v>
      </c>
      <c r="U11" s="1048">
        <f t="shared" si="1"/>
        <v>100</v>
      </c>
      <c r="V11" s="1047" t="s">
        <v>1163</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1163</v>
      </c>
      <c r="S12" s="1048">
        <f t="shared" si="0"/>
        <v>100</v>
      </c>
      <c r="T12" s="1047" t="s">
        <v>1163</v>
      </c>
      <c r="U12" s="1048">
        <f t="shared" si="1"/>
        <v>100</v>
      </c>
      <c r="V12" s="1047" t="s">
        <v>1163</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1163</v>
      </c>
      <c r="S13" s="1048">
        <f t="shared" si="0"/>
        <v>100</v>
      </c>
      <c r="T13" s="1047" t="s">
        <v>1163</v>
      </c>
      <c r="U13" s="1048">
        <f t="shared" si="1"/>
        <v>100</v>
      </c>
      <c r="V13" s="1047" t="s">
        <v>1163</v>
      </c>
      <c r="W13" s="1048">
        <f t="shared" si="2"/>
        <v>100</v>
      </c>
      <c r="X13" s="1049"/>
      <c r="Y13" s="1051"/>
      <c r="Z13" s="1067">
        <f t="shared" si="7"/>
        <v>111</v>
      </c>
      <c r="AA13" s="1066">
        <f t="shared" si="3"/>
        <v>1</v>
      </c>
      <c r="AB13" s="1066">
        <f t="shared" si="4"/>
        <v>1</v>
      </c>
      <c r="AC13" s="1066">
        <f t="shared" si="5"/>
        <v>1</v>
      </c>
    </row>
    <row r="14" ht="81" spans="1:29">
      <c r="A14" s="875" t="s">
        <v>1173</v>
      </c>
      <c r="B14" s="1193" t="s">
        <v>1176</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1175</v>
      </c>
      <c r="Q14" s="554" t="str">
        <f t="shared" si="6"/>
        <v>交通便捷度</v>
      </c>
      <c r="R14" s="1052" t="s">
        <v>1163</v>
      </c>
      <c r="S14" s="1053">
        <f t="shared" si="0"/>
        <v>100</v>
      </c>
      <c r="T14" s="1052" t="s">
        <v>1163</v>
      </c>
      <c r="U14" s="1053">
        <f t="shared" si="1"/>
        <v>100</v>
      </c>
      <c r="V14" s="1052" t="s">
        <v>1163</v>
      </c>
      <c r="W14" s="1053">
        <f t="shared" si="2"/>
        <v>100</v>
      </c>
      <c r="X14" s="1039"/>
      <c r="Y14" s="1004" t="s">
        <v>1175</v>
      </c>
      <c r="Z14" s="1026" t="str">
        <f t="shared" si="7"/>
        <v>交通便捷度</v>
      </c>
      <c r="AA14" s="1068">
        <f t="shared" si="3"/>
        <v>1</v>
      </c>
      <c r="AB14" s="1068">
        <f t="shared" si="4"/>
        <v>1</v>
      </c>
      <c r="AC14" s="1068">
        <f t="shared" si="5"/>
        <v>1</v>
      </c>
    </row>
    <row r="15" ht="15" spans="1:29">
      <c r="A15" s="861"/>
      <c r="B15" s="1195"/>
      <c r="C15" s="881" t="s">
        <v>1250</v>
      </c>
      <c r="D15" s="882"/>
      <c r="E15" s="881" t="s">
        <v>1250</v>
      </c>
      <c r="F15" s="1248"/>
      <c r="G15" s="881" t="s">
        <v>1250</v>
      </c>
      <c r="H15" s="884"/>
      <c r="I15" s="881" t="s">
        <v>1250</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1177</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1163</v>
      </c>
      <c r="S16" s="1053">
        <f>F16</f>
        <v>100</v>
      </c>
      <c r="T16" s="1052" t="s">
        <v>1163</v>
      </c>
      <c r="U16" s="1053">
        <f>H16</f>
        <v>100</v>
      </c>
      <c r="V16" s="1052" t="s">
        <v>1163</v>
      </c>
      <c r="W16" s="1053">
        <f>J16</f>
        <v>100</v>
      </c>
      <c r="X16" s="1039"/>
      <c r="Y16" s="1005"/>
      <c r="Z16" s="1026" t="str">
        <f>Q16</f>
        <v>公共配套设施</v>
      </c>
      <c r="AA16" s="1068">
        <f t="shared" si="3"/>
        <v>1</v>
      </c>
      <c r="AB16" s="1068">
        <f t="shared" si="4"/>
        <v>1</v>
      </c>
      <c r="AC16" s="1068">
        <f t="shared" si="5"/>
        <v>1</v>
      </c>
    </row>
    <row r="17" ht="15" spans="1:29">
      <c r="A17" s="861"/>
      <c r="B17" s="909"/>
      <c r="C17" s="1197" t="s">
        <v>1250</v>
      </c>
      <c r="D17" s="882"/>
      <c r="E17" s="881" t="s">
        <v>1250</v>
      </c>
      <c r="F17" s="1248"/>
      <c r="G17" s="881" t="s">
        <v>1250</v>
      </c>
      <c r="H17" s="882"/>
      <c r="I17" s="881" t="s">
        <v>1250</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1178</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1163</v>
      </c>
      <c r="S18" s="1053">
        <f>F18</f>
        <v>100</v>
      </c>
      <c r="T18" s="1052" t="s">
        <v>1163</v>
      </c>
      <c r="U18" s="1053">
        <f>H18</f>
        <v>100</v>
      </c>
      <c r="V18" s="1052" t="s">
        <v>1163</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1179</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1163</v>
      </c>
      <c r="S20" s="1053">
        <f>F20</f>
        <v>100</v>
      </c>
      <c r="T20" s="1052" t="s">
        <v>1163</v>
      </c>
      <c r="U20" s="1053">
        <f>H20</f>
        <v>100</v>
      </c>
      <c r="V20" s="1052" t="s">
        <v>1163</v>
      </c>
      <c r="W20" s="1053">
        <f>J20</f>
        <v>100</v>
      </c>
      <c r="X20" s="1039"/>
      <c r="Y20" s="1005"/>
      <c r="Z20" s="1026" t="str">
        <f>Q20</f>
        <v>自然及人文环境</v>
      </c>
      <c r="AA20" s="1068">
        <f t="shared" si="3"/>
        <v>1</v>
      </c>
      <c r="AB20" s="1068">
        <f t="shared" si="4"/>
        <v>1</v>
      </c>
      <c r="AC20" s="1068">
        <f t="shared" si="5"/>
        <v>1</v>
      </c>
    </row>
    <row r="21" ht="15" spans="1:29">
      <c r="A21" s="861"/>
      <c r="B21" s="909"/>
      <c r="C21" s="881" t="s">
        <v>1250</v>
      </c>
      <c r="D21" s="882"/>
      <c r="E21" s="881" t="s">
        <v>1250</v>
      </c>
      <c r="F21" s="1248"/>
      <c r="G21" s="881" t="s">
        <v>1250</v>
      </c>
      <c r="H21" s="882"/>
      <c r="I21" s="881" t="s">
        <v>1250</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1256</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1163</v>
      </c>
      <c r="S22" s="1053">
        <f>F22</f>
        <v>100</v>
      </c>
      <c r="T22" s="1052" t="s">
        <v>1163</v>
      </c>
      <c r="U22" s="1053">
        <f>H22</f>
        <v>110</v>
      </c>
      <c r="V22" s="1052" t="s">
        <v>1163</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1163</v>
      </c>
      <c r="S23" s="1053">
        <f>F23</f>
        <v>100</v>
      </c>
      <c r="T23" s="1052" t="s">
        <v>1163</v>
      </c>
      <c r="U23" s="1053">
        <f>H23</f>
        <v>100</v>
      </c>
      <c r="V23" s="1052" t="s">
        <v>1163</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1163</v>
      </c>
      <c r="S24" s="1053">
        <f>F24</f>
        <v>100</v>
      </c>
      <c r="T24" s="1052" t="s">
        <v>1163</v>
      </c>
      <c r="U24" s="1053">
        <f>H24</f>
        <v>100</v>
      </c>
      <c r="V24" s="1052" t="s">
        <v>1163</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1163</v>
      </c>
      <c r="S25" s="1048">
        <f>F25</f>
        <v>100</v>
      </c>
      <c r="T25" s="1047" t="s">
        <v>1163</v>
      </c>
      <c r="U25" s="1048">
        <f>H25</f>
        <v>100</v>
      </c>
      <c r="V25" s="1047" t="s">
        <v>1163</v>
      </c>
      <c r="W25" s="1048">
        <f>J25</f>
        <v>100</v>
      </c>
      <c r="X25" s="1049"/>
      <c r="Y25" s="1005"/>
      <c r="Z25" s="1067">
        <f>Q25</f>
        <v>111</v>
      </c>
      <c r="AA25" s="1068">
        <f t="shared" si="3"/>
        <v>1</v>
      </c>
      <c r="AB25" s="1068">
        <f t="shared" si="4"/>
        <v>1</v>
      </c>
      <c r="AC25" s="1068">
        <f t="shared" si="5"/>
        <v>1</v>
      </c>
    </row>
    <row r="26" ht="28.5" spans="1:29">
      <c r="A26" s="1255" t="s">
        <v>1182</v>
      </c>
      <c r="B26" s="854" t="s">
        <v>1188</v>
      </c>
      <c r="C26" s="1256" t="s">
        <v>854</v>
      </c>
      <c r="D26" s="911">
        <v>100</v>
      </c>
      <c r="E26" s="1256" t="s">
        <v>2074</v>
      </c>
      <c r="F26" s="1257">
        <f>SUMIF(77:77,E26,78:78)-SUMIF(77:77,C26,78:78)+100</f>
        <v>95</v>
      </c>
      <c r="G26" s="1256" t="s">
        <v>2074</v>
      </c>
      <c r="H26" s="911">
        <f>SUMIF(77:77,G26,78:78)-SUMIF(77:77,C26,78:78)+100</f>
        <v>95</v>
      </c>
      <c r="I26" s="1256" t="s">
        <v>854</v>
      </c>
      <c r="J26" s="911">
        <f>SUMIF(77:77,I26,78:78)-SUMIF(77:77,C26,78:78)+100</f>
        <v>100</v>
      </c>
      <c r="K26" s="1010">
        <v>5</v>
      </c>
      <c r="L26" s="1002"/>
      <c r="M26" s="986"/>
      <c r="N26" s="986"/>
      <c r="O26" s="1001"/>
      <c r="P26" s="1011" t="s">
        <v>1184</v>
      </c>
      <c r="Q26" s="554" t="str">
        <f t="shared" si="11"/>
        <v>公共部分装修</v>
      </c>
      <c r="R26" s="1052" t="s">
        <v>1163</v>
      </c>
      <c r="S26" s="1053">
        <f t="shared" ref="S26:S34" si="12">F26</f>
        <v>95</v>
      </c>
      <c r="T26" s="1052" t="s">
        <v>1163</v>
      </c>
      <c r="U26" s="1053">
        <f t="shared" ref="U26:U34" si="13">H26</f>
        <v>95</v>
      </c>
      <c r="V26" s="1052" t="s">
        <v>1163</v>
      </c>
      <c r="W26" s="1053">
        <f t="shared" ref="W26:W34" si="14">J26</f>
        <v>100</v>
      </c>
      <c r="X26" s="1039"/>
      <c r="Y26" s="1014" t="s">
        <v>1184</v>
      </c>
      <c r="Z26" s="1026" t="str">
        <f t="shared" ref="Z26:Z34" si="15">Q26</f>
        <v>公共部分装修</v>
      </c>
      <c r="AA26" s="1068">
        <f t="shared" si="3"/>
        <v>1.05263157894737</v>
      </c>
      <c r="AB26" s="1068">
        <f t="shared" si="4"/>
        <v>1.05263157894737</v>
      </c>
      <c r="AC26" s="1068">
        <f t="shared" si="5"/>
        <v>1</v>
      </c>
    </row>
    <row r="27" s="810" customFormat="1" ht="15" spans="1:29">
      <c r="A27" s="917"/>
      <c r="B27" s="858" t="s">
        <v>2062</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1163</v>
      </c>
      <c r="S27" s="1055">
        <f t="shared" si="12"/>
        <v>97</v>
      </c>
      <c r="T27" s="1054" t="s">
        <v>1163</v>
      </c>
      <c r="U27" s="1055">
        <f t="shared" si="13"/>
        <v>98</v>
      </c>
      <c r="V27" s="1054" t="s">
        <v>1163</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2063</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1163</v>
      </c>
      <c r="S28" s="1053">
        <f t="shared" si="12"/>
        <v>100</v>
      </c>
      <c r="T28" s="1052" t="s">
        <v>1163</v>
      </c>
      <c r="U28" s="1053">
        <f t="shared" si="13"/>
        <v>100</v>
      </c>
      <c r="V28" s="1052" t="s">
        <v>1163</v>
      </c>
      <c r="W28" s="1053">
        <f t="shared" si="14"/>
        <v>100</v>
      </c>
      <c r="X28" s="1039"/>
      <c r="Y28" s="1014"/>
      <c r="Z28" s="1026" t="str">
        <f t="shared" si="15"/>
        <v>物业等级</v>
      </c>
      <c r="AA28" s="1068">
        <f t="shared" si="3"/>
        <v>1</v>
      </c>
      <c r="AB28" s="1068">
        <f t="shared" si="4"/>
        <v>1</v>
      </c>
      <c r="AC28" s="1068">
        <f t="shared" si="5"/>
        <v>1</v>
      </c>
    </row>
    <row r="29" ht="15" spans="1:29">
      <c r="A29" s="912"/>
      <c r="B29" s="858" t="s">
        <v>2075</v>
      </c>
      <c r="C29" s="1262" t="s">
        <v>2076</v>
      </c>
      <c r="D29" s="870">
        <v>100</v>
      </c>
      <c r="E29" s="1262" t="s">
        <v>2077</v>
      </c>
      <c r="F29" s="1251">
        <f>SUMIF(84:84,E29,85:85)-SUMIF(84:84,C29,85:85)+100</f>
        <v>95</v>
      </c>
      <c r="G29" s="1262" t="s">
        <v>2077</v>
      </c>
      <c r="H29" s="870">
        <f>SUMIF(84:84,G29,85:85)-SUMIF(84:84,C29,85:85)+100</f>
        <v>95</v>
      </c>
      <c r="I29" s="1262" t="s">
        <v>2076</v>
      </c>
      <c r="J29" s="870">
        <f>SUMIF(84:84,I29,85:85)-SUMIF(84:84,C29,85:85)+100</f>
        <v>100</v>
      </c>
      <c r="K29" s="1010">
        <v>5</v>
      </c>
      <c r="L29" s="1002"/>
      <c r="M29" s="986"/>
      <c r="N29" s="986"/>
      <c r="O29" s="1001"/>
      <c r="P29" s="1014"/>
      <c r="Q29" s="554" t="str">
        <f t="shared" si="11"/>
        <v>有无电梯</v>
      </c>
      <c r="R29" s="1052" t="s">
        <v>1163</v>
      </c>
      <c r="S29" s="1053">
        <f t="shared" si="12"/>
        <v>95</v>
      </c>
      <c r="T29" s="1052" t="s">
        <v>1163</v>
      </c>
      <c r="U29" s="1053">
        <f t="shared" si="13"/>
        <v>95</v>
      </c>
      <c r="V29" s="1052" t="s">
        <v>1163</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549</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1163</v>
      </c>
      <c r="S30" s="1053">
        <f t="shared" si="12"/>
        <v>106</v>
      </c>
      <c r="T30" s="1052" t="s">
        <v>1163</v>
      </c>
      <c r="U30" s="1053">
        <f t="shared" si="13"/>
        <v>106</v>
      </c>
      <c r="V30" s="1052" t="s">
        <v>1163</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2078</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1163</v>
      </c>
      <c r="S31" s="1048">
        <f t="shared" si="12"/>
        <v>100</v>
      </c>
      <c r="T31" s="1047" t="s">
        <v>1163</v>
      </c>
      <c r="U31" s="1048">
        <f t="shared" si="13"/>
        <v>100</v>
      </c>
      <c r="V31" s="1047" t="s">
        <v>1163</v>
      </c>
      <c r="W31" s="1048">
        <f t="shared" si="14"/>
        <v>100</v>
      </c>
      <c r="X31" s="1049"/>
      <c r="Y31" s="1014"/>
      <c r="Z31" s="1067" t="str">
        <f t="shared" si="15"/>
        <v>是否封闭</v>
      </c>
      <c r="AA31" s="1066">
        <f t="shared" si="3"/>
        <v>1</v>
      </c>
      <c r="AB31" s="1066">
        <f t="shared" si="4"/>
        <v>1</v>
      </c>
      <c r="AC31" s="1066">
        <f t="shared" si="5"/>
        <v>1</v>
      </c>
    </row>
    <row r="32" ht="15" spans="1:29">
      <c r="A32" s="912"/>
      <c r="B32" s="1263" t="s">
        <v>2079</v>
      </c>
      <c r="C32" s="1264" t="s">
        <v>1260</v>
      </c>
      <c r="D32" s="870">
        <v>100</v>
      </c>
      <c r="E32" s="1265" t="s">
        <v>1260</v>
      </c>
      <c r="F32" s="1251">
        <f>SUMIF(91:91,E32,92:92)-SUMIF(91:91,C32,92:92)+100</f>
        <v>100</v>
      </c>
      <c r="G32" s="1265" t="s">
        <v>2080</v>
      </c>
      <c r="H32" s="870">
        <f>SUMIF(91:91,G32,92:92)-SUMIF(91:91,C32,92:92)+100</f>
        <v>95</v>
      </c>
      <c r="I32" s="1265" t="s">
        <v>1260</v>
      </c>
      <c r="J32" s="870">
        <f>SUMIF(91:91,I32,92:92)-SUMIF(91:91,C32,92:92)+100</f>
        <v>100</v>
      </c>
      <c r="K32" s="1009"/>
      <c r="L32" s="1002"/>
      <c r="M32" s="986"/>
      <c r="N32" s="986"/>
      <c r="O32" s="1001"/>
      <c r="P32" s="1014" t="s">
        <v>1184</v>
      </c>
      <c r="Q32" s="554" t="str">
        <f t="shared" si="11"/>
        <v>结构</v>
      </c>
      <c r="R32" s="1052" t="s">
        <v>1163</v>
      </c>
      <c r="S32" s="1053">
        <f t="shared" si="12"/>
        <v>100</v>
      </c>
      <c r="T32" s="1052" t="s">
        <v>1163</v>
      </c>
      <c r="U32" s="1053">
        <f t="shared" si="13"/>
        <v>95</v>
      </c>
      <c r="V32" s="1052" t="s">
        <v>1163</v>
      </c>
      <c r="W32" s="1053">
        <f t="shared" si="14"/>
        <v>100</v>
      </c>
      <c r="X32" s="1039"/>
      <c r="Y32" s="1014" t="s">
        <v>1184</v>
      </c>
      <c r="Z32" s="1026" t="str">
        <f t="shared" si="15"/>
        <v>结构</v>
      </c>
      <c r="AA32" s="1068">
        <f t="shared" si="3"/>
        <v>1</v>
      </c>
      <c r="AB32" s="1068">
        <f t="shared" si="4"/>
        <v>1.05263157894737</v>
      </c>
      <c r="AC32" s="1068">
        <f t="shared" si="5"/>
        <v>1</v>
      </c>
    </row>
    <row r="33" ht="15" spans="1:29">
      <c r="A33" s="912"/>
      <c r="B33" s="1263" t="s">
        <v>847</v>
      </c>
      <c r="C33" s="1264" t="s">
        <v>854</v>
      </c>
      <c r="D33" s="870">
        <v>100</v>
      </c>
      <c r="E33" s="1265" t="s">
        <v>610</v>
      </c>
      <c r="F33" s="1251">
        <f>SUMIF(93:93,E33,94:94)-SUMIF(93:93,C33,94:94)+100</f>
        <v>94</v>
      </c>
      <c r="G33" s="1265" t="s">
        <v>610</v>
      </c>
      <c r="H33" s="870">
        <f>SUMIF(93:93,G33,94:94)-SUMIF(93:93,C33,94:94)+100</f>
        <v>94</v>
      </c>
      <c r="I33" s="1265" t="s">
        <v>610</v>
      </c>
      <c r="J33" s="870">
        <f>SUMIF(93:93,I33,94:94)-SUMIF(93:93,C33,94:94)+100</f>
        <v>94</v>
      </c>
      <c r="K33" s="1009"/>
      <c r="L33" s="1002"/>
      <c r="M33" s="986"/>
      <c r="N33" s="986"/>
      <c r="O33" s="1001"/>
      <c r="P33" s="1014"/>
      <c r="Q33" s="554" t="str">
        <f t="shared" si="11"/>
        <v>装修</v>
      </c>
      <c r="R33" s="1052" t="s">
        <v>1163</v>
      </c>
      <c r="S33" s="1053">
        <f t="shared" si="12"/>
        <v>94</v>
      </c>
      <c r="T33" s="1052" t="s">
        <v>1163</v>
      </c>
      <c r="U33" s="1053">
        <f t="shared" si="13"/>
        <v>94</v>
      </c>
      <c r="V33" s="1052" t="s">
        <v>1163</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1163</v>
      </c>
      <c r="S34" s="1053">
        <f t="shared" si="12"/>
        <v>100</v>
      </c>
      <c r="T34" s="1052" t="s">
        <v>1163</v>
      </c>
      <c r="U34" s="1053">
        <f t="shared" si="13"/>
        <v>100</v>
      </c>
      <c r="V34" s="1052" t="s">
        <v>1163</v>
      </c>
      <c r="W34" s="1053">
        <f t="shared" si="14"/>
        <v>100</v>
      </c>
      <c r="X34" s="1039"/>
      <c r="Y34" s="1014"/>
      <c r="Z34" s="1026">
        <f t="shared" si="15"/>
        <v>111</v>
      </c>
      <c r="AA34" s="1068">
        <f t="shared" si="3"/>
        <v>1</v>
      </c>
      <c r="AB34" s="1068">
        <f t="shared" si="4"/>
        <v>1</v>
      </c>
      <c r="AC34" s="1068">
        <f t="shared" si="5"/>
        <v>1</v>
      </c>
    </row>
    <row r="35" ht="15" spans="1:29">
      <c r="A35" s="919" t="s">
        <v>1195</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1196</v>
      </c>
      <c r="B36" s="1275"/>
      <c r="C36" s="1276">
        <f>R37</f>
        <v>4940</v>
      </c>
      <c r="D36" s="930" t="s">
        <v>1197</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1198</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1199</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1200</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1201</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1202</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1161</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1203</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1164</v>
      </c>
      <c r="B49" s="1082"/>
      <c r="C49" s="1083" t="s">
        <v>1165</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1204</v>
      </c>
      <c r="B51" s="1088" t="s">
        <v>1168</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1171</v>
      </c>
      <c r="C53" s="1093" t="s">
        <v>1205</v>
      </c>
      <c r="D53" s="1093" t="s">
        <v>1206</v>
      </c>
      <c r="E53" s="1093" t="s">
        <v>1207</v>
      </c>
      <c r="F53" s="1093" t="s">
        <v>1208</v>
      </c>
      <c r="G53" s="1093" t="s">
        <v>1209</v>
      </c>
      <c r="H53" s="1093" t="s">
        <v>1210</v>
      </c>
      <c r="I53" s="1093" t="s">
        <v>1211</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1270</v>
      </c>
      <c r="D54" s="1095" t="s">
        <v>1270</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1173</v>
      </c>
      <c r="B61" s="1088" t="s">
        <v>1176</v>
      </c>
      <c r="C61" s="1109" t="s">
        <v>1212</v>
      </c>
      <c r="D61" s="1109" t="s">
        <v>1213</v>
      </c>
      <c r="E61" s="1109" t="s">
        <v>1214</v>
      </c>
      <c r="F61" s="1109" t="s">
        <v>1215</v>
      </c>
      <c r="G61" s="1109" t="s">
        <v>1216</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2081</v>
      </c>
      <c r="C63" s="1111" t="s">
        <v>1212</v>
      </c>
      <c r="D63" s="1111" t="s">
        <v>1213</v>
      </c>
      <c r="E63" s="1111" t="s">
        <v>1214</v>
      </c>
      <c r="F63" s="1111" t="s">
        <v>1215</v>
      </c>
      <c r="G63" s="1111" t="s">
        <v>1216</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1178</v>
      </c>
      <c r="C65" s="1116" t="s">
        <v>1217</v>
      </c>
      <c r="D65" s="1116" t="s">
        <v>1218</v>
      </c>
      <c r="E65" s="1116" t="s">
        <v>1219</v>
      </c>
      <c r="F65" s="1116" t="s">
        <v>1220</v>
      </c>
      <c r="G65" s="1116" t="s">
        <v>1221</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1179</v>
      </c>
      <c r="C67" s="1111" t="s">
        <v>1212</v>
      </c>
      <c r="D67" s="1111" t="s">
        <v>1213</v>
      </c>
      <c r="E67" s="1111" t="s">
        <v>1214</v>
      </c>
      <c r="F67" s="1111" t="s">
        <v>1215</v>
      </c>
      <c r="G67" s="1111" t="s">
        <v>1216</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1256</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1182</v>
      </c>
      <c r="B77" s="1088" t="s">
        <v>1188</v>
      </c>
      <c r="C77" s="1296" t="s">
        <v>854</v>
      </c>
      <c r="D77" s="1296" t="s">
        <v>2074</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2062</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2063</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2075</v>
      </c>
      <c r="C84" s="1296" t="s">
        <v>2077</v>
      </c>
      <c r="D84" s="1296" t="s">
        <v>2076</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549</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2078</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1260</v>
      </c>
      <c r="D91" s="1297" t="s">
        <v>2080</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854</v>
      </c>
      <c r="D93" s="1297" t="s">
        <v>610</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4.1083333333333"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30">
      <c r="A1" s="817" t="s">
        <v>2082</v>
      </c>
      <c r="B1" s="818"/>
      <c r="C1" s="819" t="s">
        <v>2083</v>
      </c>
      <c r="D1" s="820"/>
      <c r="E1" s="820"/>
      <c r="F1" s="821" t="s">
        <v>1143</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1144</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1146</v>
      </c>
      <c r="B3" s="825" t="e">
        <f>ROUND(IF(D3="",B2*10000/'数据-汇总表'!E3,B2*10000/D3),0)</f>
        <v>#DIV/0!</v>
      </c>
      <c r="C3" s="156" t="s">
        <v>1147</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1148</v>
      </c>
      <c r="B4" s="828"/>
      <c r="C4" s="829" t="s">
        <v>1149</v>
      </c>
      <c r="D4" s="830"/>
      <c r="E4" s="831" t="s">
        <v>1150</v>
      </c>
      <c r="F4" s="832"/>
      <c r="G4" s="829" t="s">
        <v>1151</v>
      </c>
      <c r="H4" s="830"/>
      <c r="I4" s="829" t="s">
        <v>1152</v>
      </c>
      <c r="J4" s="830"/>
      <c r="K4" s="984" t="s">
        <v>1153</v>
      </c>
      <c r="L4" s="985"/>
      <c r="M4" s="986"/>
      <c r="N4" s="986"/>
      <c r="O4" s="986"/>
      <c r="P4" s="987" t="s">
        <v>1154</v>
      </c>
      <c r="Q4" s="1036"/>
      <c r="R4" s="1037" t="s">
        <v>1150</v>
      </c>
      <c r="S4" s="1038"/>
      <c r="T4" s="1037" t="s">
        <v>1151</v>
      </c>
      <c r="U4" s="1038"/>
      <c r="V4" s="1026" t="s">
        <v>1152</v>
      </c>
      <c r="W4" s="1026"/>
      <c r="X4" s="1039"/>
      <c r="Y4" s="1037" t="s">
        <v>1154</v>
      </c>
      <c r="Z4" s="1038"/>
      <c r="AA4" s="1064" t="s">
        <v>1150</v>
      </c>
      <c r="AB4" s="1039" t="s">
        <v>1151</v>
      </c>
      <c r="AC4" s="1064" t="s">
        <v>1152</v>
      </c>
    </row>
    <row r="5" ht="15" spans="1:29">
      <c r="A5" s="833"/>
      <c r="B5" s="834"/>
      <c r="C5" s="835" t="s">
        <v>1155</v>
      </c>
      <c r="D5" s="836"/>
      <c r="E5" s="837" t="s">
        <v>1156</v>
      </c>
      <c r="F5" s="838"/>
      <c r="G5" s="835" t="s">
        <v>1157</v>
      </c>
      <c r="H5" s="836"/>
      <c r="I5" s="835" t="s">
        <v>1158</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1159</v>
      </c>
      <c r="D6" s="1188"/>
      <c r="E6" s="1189" t="s">
        <v>1159</v>
      </c>
      <c r="F6" s="1190"/>
      <c r="G6" s="1187" t="s">
        <v>1159</v>
      </c>
      <c r="H6" s="1188"/>
      <c r="I6" s="1187" t="s">
        <v>1159</v>
      </c>
      <c r="J6" s="1188"/>
      <c r="K6" s="984" t="s">
        <v>1160</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1161</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1162</v>
      </c>
      <c r="Q7" s="1046"/>
      <c r="R7" s="1047" t="s">
        <v>1163</v>
      </c>
      <c r="S7" s="1048">
        <f t="shared" ref="S7:S15" si="0">F7</f>
        <v>0</v>
      </c>
      <c r="T7" s="1047" t="s">
        <v>1163</v>
      </c>
      <c r="U7" s="1048">
        <f t="shared" ref="U7:U15" si="1">H7</f>
        <v>0</v>
      </c>
      <c r="V7" s="1047" t="s">
        <v>1163</v>
      </c>
      <c r="W7" s="1048">
        <f t="shared" ref="W7:W15" si="2">J7</f>
        <v>0</v>
      </c>
      <c r="X7" s="1049"/>
      <c r="Y7" s="993" t="s">
        <v>1162</v>
      </c>
      <c r="Z7" s="1050"/>
      <c r="AA7" s="1066" t="e">
        <f>D7/F7</f>
        <v>#DIV/0!</v>
      </c>
      <c r="AB7" s="1066" t="e">
        <f>D7/H7</f>
        <v>#DIV/0!</v>
      </c>
      <c r="AC7" s="1066" t="e">
        <f>D7/J7</f>
        <v>#DIV/0!</v>
      </c>
    </row>
    <row r="8" s="808" customFormat="1" ht="15.75" spans="1:29">
      <c r="A8" s="845" t="s">
        <v>1164</v>
      </c>
      <c r="B8" s="846"/>
      <c r="C8" s="852" t="s">
        <v>1165</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1166</v>
      </c>
      <c r="Q8" s="1050"/>
      <c r="R8" s="1047" t="s">
        <v>1163</v>
      </c>
      <c r="S8" s="1048">
        <f t="shared" si="0"/>
        <v>0</v>
      </c>
      <c r="T8" s="1047" t="s">
        <v>1163</v>
      </c>
      <c r="U8" s="1048">
        <f t="shared" si="1"/>
        <v>0</v>
      </c>
      <c r="V8" s="1047" t="s">
        <v>1163</v>
      </c>
      <c r="W8" s="1048">
        <f t="shared" si="2"/>
        <v>0</v>
      </c>
      <c r="X8" s="1049"/>
      <c r="Y8" s="993" t="s">
        <v>1166</v>
      </c>
      <c r="Z8" s="1050"/>
      <c r="AA8" s="1066" t="e">
        <f t="shared" ref="AA8:AA45" si="3">D8/F8</f>
        <v>#DIV/0!</v>
      </c>
      <c r="AB8" s="1066" t="e">
        <f t="shared" ref="AB8:AB45" si="4">D8/H8</f>
        <v>#DIV/0!</v>
      </c>
      <c r="AC8" s="1066" t="e">
        <f t="shared" ref="AC8:AC45" si="5">D8/J8</f>
        <v>#DIV/0!</v>
      </c>
    </row>
    <row r="9" s="808" customFormat="1" spans="1:29">
      <c r="A9" s="853" t="s">
        <v>1167</v>
      </c>
      <c r="B9" s="854" t="s">
        <v>1168</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1169</v>
      </c>
      <c r="Q9" s="1051" t="str">
        <f t="shared" ref="Q9:Q15" si="6">B9</f>
        <v>用途</v>
      </c>
      <c r="R9" s="1047" t="s">
        <v>1163</v>
      </c>
      <c r="S9" s="1048">
        <f t="shared" si="0"/>
        <v>100</v>
      </c>
      <c r="T9" s="1047" t="s">
        <v>1163</v>
      </c>
      <c r="U9" s="1048">
        <f t="shared" si="1"/>
        <v>100</v>
      </c>
      <c r="V9" s="1047" t="s">
        <v>1163</v>
      </c>
      <c r="W9" s="1048">
        <f t="shared" si="2"/>
        <v>100</v>
      </c>
      <c r="X9" s="1049"/>
      <c r="Y9" s="1051" t="s">
        <v>1170</v>
      </c>
      <c r="Z9" s="1067" t="str">
        <f t="shared" ref="Z9:Z15" si="7">Q9</f>
        <v>用途</v>
      </c>
      <c r="AA9" s="1066">
        <f t="shared" si="3"/>
        <v>1</v>
      </c>
      <c r="AB9" s="1066">
        <f t="shared" si="4"/>
        <v>1</v>
      </c>
      <c r="AC9" s="1066">
        <f t="shared" si="5"/>
        <v>1</v>
      </c>
    </row>
    <row r="10" s="809" customFormat="1" ht="27" spans="1:29">
      <c r="A10" s="857"/>
      <c r="B10" s="858" t="s">
        <v>1171</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1163</v>
      </c>
      <c r="S10" s="1048">
        <f t="shared" si="0"/>
        <v>100</v>
      </c>
      <c r="T10" s="1047" t="s">
        <v>1163</v>
      </c>
      <c r="U10" s="1048">
        <f t="shared" si="1"/>
        <v>100</v>
      </c>
      <c r="V10" s="1047" t="s">
        <v>1163</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1172</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1163</v>
      </c>
      <c r="S11" s="1048" t="e">
        <f t="shared" si="0"/>
        <v>#N/A</v>
      </c>
      <c r="T11" s="1047" t="s">
        <v>1163</v>
      </c>
      <c r="U11" s="1048" t="e">
        <f t="shared" si="1"/>
        <v>#N/A</v>
      </c>
      <c r="V11" s="1047" t="s">
        <v>1163</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2084</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1163</v>
      </c>
      <c r="S12" s="1048">
        <f t="shared" si="0"/>
        <v>100</v>
      </c>
      <c r="T12" s="1047" t="s">
        <v>1163</v>
      </c>
      <c r="U12" s="1048">
        <f t="shared" si="1"/>
        <v>100</v>
      </c>
      <c r="V12" s="1047" t="s">
        <v>1163</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1163</v>
      </c>
      <c r="S13" s="1048">
        <f t="shared" si="0"/>
        <v>100</v>
      </c>
      <c r="T13" s="1047" t="s">
        <v>1163</v>
      </c>
      <c r="U13" s="1048">
        <f t="shared" si="1"/>
        <v>100</v>
      </c>
      <c r="V13" s="1047" t="s">
        <v>1163</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1163</v>
      </c>
      <c r="S14" s="1048">
        <f t="shared" si="0"/>
        <v>100</v>
      </c>
      <c r="T14" s="1047" t="s">
        <v>1163</v>
      </c>
      <c r="U14" s="1048">
        <f t="shared" si="1"/>
        <v>100</v>
      </c>
      <c r="V14" s="1047" t="s">
        <v>1163</v>
      </c>
      <c r="W14" s="1048">
        <f t="shared" si="2"/>
        <v>100</v>
      </c>
      <c r="X14" s="1049"/>
      <c r="Y14" s="1051"/>
      <c r="Z14" s="1067">
        <f t="shared" si="7"/>
        <v>111</v>
      </c>
      <c r="AA14" s="1066">
        <f t="shared" si="3"/>
        <v>1</v>
      </c>
      <c r="AB14" s="1066">
        <f t="shared" si="4"/>
        <v>1</v>
      </c>
      <c r="AC14" s="1066">
        <f t="shared" si="5"/>
        <v>1</v>
      </c>
    </row>
    <row r="15" ht="94.5" spans="1:29">
      <c r="A15" s="875" t="s">
        <v>1173</v>
      </c>
      <c r="B15" s="1193" t="s">
        <v>1174</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1175</v>
      </c>
      <c r="Q15" s="554" t="str">
        <f t="shared" si="6"/>
        <v>居住社区成熟度</v>
      </c>
      <c r="R15" s="1052" t="s">
        <v>1163</v>
      </c>
      <c r="S15" s="1053">
        <f t="shared" si="0"/>
        <v>100</v>
      </c>
      <c r="T15" s="1052" t="s">
        <v>1163</v>
      </c>
      <c r="U15" s="1053">
        <f t="shared" si="1"/>
        <v>100</v>
      </c>
      <c r="V15" s="1052" t="s">
        <v>1163</v>
      </c>
      <c r="W15" s="1053">
        <f t="shared" si="2"/>
        <v>100</v>
      </c>
      <c r="X15" s="1039"/>
      <c r="Y15" s="1004" t="s">
        <v>1175</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1249</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1163</v>
      </c>
      <c r="S17" s="1053">
        <f>F17</f>
        <v>100</v>
      </c>
      <c r="T17" s="1052" t="s">
        <v>1163</v>
      </c>
      <c r="U17" s="1053">
        <f>H17</f>
        <v>100</v>
      </c>
      <c r="V17" s="1052" t="s">
        <v>1163</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2048</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1163</v>
      </c>
      <c r="S19" s="1053">
        <f>F19</f>
        <v>100</v>
      </c>
      <c r="T19" s="1052" t="s">
        <v>1163</v>
      </c>
      <c r="U19" s="1053">
        <f>H19</f>
        <v>100</v>
      </c>
      <c r="V19" s="1052" t="s">
        <v>1163</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1176</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1163</v>
      </c>
      <c r="S21" s="1053">
        <f>F21</f>
        <v>100</v>
      </c>
      <c r="T21" s="1052" t="s">
        <v>1163</v>
      </c>
      <c r="U21" s="1053">
        <f>H21</f>
        <v>100</v>
      </c>
      <c r="V21" s="1052" t="s">
        <v>1163</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2085</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1163</v>
      </c>
      <c r="S23" s="1053">
        <f>F23</f>
        <v>100</v>
      </c>
      <c r="T23" s="1052" t="s">
        <v>1163</v>
      </c>
      <c r="U23" s="1053">
        <f>H23</f>
        <v>100</v>
      </c>
      <c r="V23" s="1052" t="s">
        <v>1163</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2086</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1163</v>
      </c>
      <c r="S25" s="1053">
        <f>F25</f>
        <v>100</v>
      </c>
      <c r="T25" s="1052" t="s">
        <v>1163</v>
      </c>
      <c r="U25" s="1053">
        <f>H25</f>
        <v>100</v>
      </c>
      <c r="V25" s="1052" t="s">
        <v>1163</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1177</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1163</v>
      </c>
      <c r="S27" s="1048">
        <f>F27</f>
        <v>100</v>
      </c>
      <c r="T27" s="1047" t="s">
        <v>1163</v>
      </c>
      <c r="U27" s="1048">
        <f>H27</f>
        <v>100</v>
      </c>
      <c r="V27" s="1047" t="s">
        <v>1163</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1178</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1163</v>
      </c>
      <c r="S29" s="1048">
        <f>F29</f>
        <v>100</v>
      </c>
      <c r="T29" s="1047" t="s">
        <v>1163</v>
      </c>
      <c r="U29" s="1048">
        <f>H29</f>
        <v>100</v>
      </c>
      <c r="V29" s="1047" t="s">
        <v>1163</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1252</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1163</v>
      </c>
      <c r="S31" s="1053">
        <f t="shared" ref="S31:S45" si="10">F31</f>
        <v>100</v>
      </c>
      <c r="T31" s="1052" t="s">
        <v>1163</v>
      </c>
      <c r="U31" s="1053">
        <f t="shared" ref="U31:U45" si="11">H31</f>
        <v>100</v>
      </c>
      <c r="V31" s="1052" t="s">
        <v>1163</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2050</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1163</v>
      </c>
      <c r="S32" s="1053">
        <f t="shared" si="10"/>
        <v>100</v>
      </c>
      <c r="T32" s="1052" t="s">
        <v>1163</v>
      </c>
      <c r="U32" s="1053">
        <f t="shared" si="11"/>
        <v>100</v>
      </c>
      <c r="V32" s="1052" t="s">
        <v>1163</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2087</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1163</v>
      </c>
      <c r="S34" s="1053">
        <f t="shared" si="10"/>
        <v>100</v>
      </c>
      <c r="T34" s="1052" t="s">
        <v>1163</v>
      </c>
      <c r="U34" s="1053">
        <f t="shared" si="11"/>
        <v>100</v>
      </c>
      <c r="V34" s="1052" t="s">
        <v>1163</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1163</v>
      </c>
      <c r="S35" s="1053">
        <f t="shared" si="10"/>
        <v>100</v>
      </c>
      <c r="T35" s="1052" t="s">
        <v>1163</v>
      </c>
      <c r="U35" s="1053">
        <f t="shared" si="11"/>
        <v>100</v>
      </c>
      <c r="V35" s="1052" t="s">
        <v>1163</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1184</v>
      </c>
      <c r="Q36" s="554">
        <f t="shared" si="8"/>
        <v>111</v>
      </c>
      <c r="R36" s="1052" t="s">
        <v>1163</v>
      </c>
      <c r="S36" s="1053">
        <f t="shared" si="10"/>
        <v>100</v>
      </c>
      <c r="T36" s="1052" t="s">
        <v>1163</v>
      </c>
      <c r="U36" s="1053">
        <f t="shared" si="11"/>
        <v>100</v>
      </c>
      <c r="V36" s="1052" t="s">
        <v>1163</v>
      </c>
      <c r="W36" s="1053">
        <f t="shared" si="12"/>
        <v>100</v>
      </c>
      <c r="X36" s="1039"/>
      <c r="Y36" s="1014" t="s">
        <v>1184</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1163</v>
      </c>
      <c r="S37" s="1055">
        <f t="shared" si="10"/>
        <v>100</v>
      </c>
      <c r="T37" s="1054" t="s">
        <v>1163</v>
      </c>
      <c r="U37" s="1055">
        <f t="shared" si="11"/>
        <v>100</v>
      </c>
      <c r="V37" s="1054" t="s">
        <v>1163</v>
      </c>
      <c r="W37" s="1055">
        <f t="shared" si="12"/>
        <v>100</v>
      </c>
      <c r="X37" s="1056"/>
      <c r="Y37" s="1014"/>
      <c r="Z37" s="1069">
        <f t="shared" si="13"/>
        <v>111</v>
      </c>
      <c r="AA37" s="1068">
        <f t="shared" si="3"/>
        <v>1</v>
      </c>
      <c r="AB37" s="1068">
        <f t="shared" si="4"/>
        <v>1</v>
      </c>
      <c r="AC37" s="1068">
        <f t="shared" si="5"/>
        <v>1</v>
      </c>
    </row>
    <row r="38" ht="15" spans="1:29">
      <c r="A38" s="912" t="s">
        <v>1182</v>
      </c>
      <c r="B38" s="909" t="s">
        <v>2088</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1163</v>
      </c>
      <c r="S38" s="1053" t="e">
        <f t="shared" si="10"/>
        <v>#N/A</v>
      </c>
      <c r="T38" s="1052" t="s">
        <v>1163</v>
      </c>
      <c r="U38" s="1053" t="e">
        <f t="shared" si="11"/>
        <v>#N/A</v>
      </c>
      <c r="V38" s="1052" t="s">
        <v>1163</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2089</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1163</v>
      </c>
      <c r="S39" s="1053">
        <f t="shared" si="10"/>
        <v>100</v>
      </c>
      <c r="T39" s="1052" t="s">
        <v>1163</v>
      </c>
      <c r="U39" s="1053">
        <f t="shared" si="11"/>
        <v>100</v>
      </c>
      <c r="V39" s="1052" t="s">
        <v>1163</v>
      </c>
      <c r="W39" s="1053">
        <f t="shared" si="12"/>
        <v>100</v>
      </c>
      <c r="X39" s="1039"/>
      <c r="Y39" s="1014"/>
      <c r="Z39" s="1026" t="str">
        <f t="shared" si="13"/>
        <v>宗地形状</v>
      </c>
      <c r="AA39" s="1068">
        <f t="shared" si="3"/>
        <v>1</v>
      </c>
      <c r="AB39" s="1068">
        <f t="shared" si="4"/>
        <v>1</v>
      </c>
      <c r="AC39" s="1068">
        <f t="shared" si="5"/>
        <v>1</v>
      </c>
    </row>
    <row r="40" ht="15" spans="1:29">
      <c r="A40" s="912"/>
      <c r="B40" s="858" t="s">
        <v>2090</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1163</v>
      </c>
      <c r="S40" s="1053">
        <f t="shared" si="10"/>
        <v>100</v>
      </c>
      <c r="T40" s="1052" t="s">
        <v>1163</v>
      </c>
      <c r="U40" s="1053">
        <f t="shared" si="11"/>
        <v>100</v>
      </c>
      <c r="V40" s="1052" t="s">
        <v>1163</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2091</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1163</v>
      </c>
      <c r="S41" s="1048">
        <f t="shared" si="10"/>
        <v>100</v>
      </c>
      <c r="T41" s="1047" t="s">
        <v>1163</v>
      </c>
      <c r="U41" s="1048">
        <f t="shared" si="11"/>
        <v>100</v>
      </c>
      <c r="V41" s="1047" t="s">
        <v>1163</v>
      </c>
      <c r="W41" s="1048">
        <f t="shared" si="12"/>
        <v>100</v>
      </c>
      <c r="X41" s="1049"/>
      <c r="Y41" s="1014"/>
      <c r="Z41" s="1067" t="str">
        <f t="shared" si="13"/>
        <v>宗地开发程度</v>
      </c>
      <c r="AA41" s="1066">
        <f t="shared" si="3"/>
        <v>1</v>
      </c>
      <c r="AB41" s="1066">
        <f t="shared" si="4"/>
        <v>1</v>
      </c>
      <c r="AC41" s="1066">
        <f t="shared" si="5"/>
        <v>1</v>
      </c>
    </row>
    <row r="42" ht="15" spans="1:29">
      <c r="A42" s="912"/>
      <c r="B42" s="858" t="s">
        <v>2092</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1184</v>
      </c>
      <c r="Q42" s="554" t="str">
        <f t="shared" si="14"/>
        <v>工程地质条件</v>
      </c>
      <c r="R42" s="1052" t="s">
        <v>1163</v>
      </c>
      <c r="S42" s="1053">
        <f t="shared" si="10"/>
        <v>100</v>
      </c>
      <c r="T42" s="1052" t="s">
        <v>1163</v>
      </c>
      <c r="U42" s="1053">
        <f t="shared" si="11"/>
        <v>100</v>
      </c>
      <c r="V42" s="1052" t="s">
        <v>1163</v>
      </c>
      <c r="W42" s="1053">
        <f t="shared" si="12"/>
        <v>100</v>
      </c>
      <c r="X42" s="1039"/>
      <c r="Y42" s="1014" t="s">
        <v>1184</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1163</v>
      </c>
      <c r="S43" s="1053">
        <f t="shared" si="10"/>
        <v>100</v>
      </c>
      <c r="T43" s="1052" t="s">
        <v>1163</v>
      </c>
      <c r="U43" s="1053">
        <f t="shared" si="11"/>
        <v>100</v>
      </c>
      <c r="V43" s="1052" t="s">
        <v>1163</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1163</v>
      </c>
      <c r="S44" s="1053">
        <f t="shared" si="10"/>
        <v>100</v>
      </c>
      <c r="T44" s="1052" t="s">
        <v>1163</v>
      </c>
      <c r="U44" s="1053">
        <f t="shared" si="11"/>
        <v>100</v>
      </c>
      <c r="V44" s="1052" t="s">
        <v>1163</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1163</v>
      </c>
      <c r="S45" s="1055">
        <f t="shared" si="10"/>
        <v>100</v>
      </c>
      <c r="T45" s="1054" t="s">
        <v>1163</v>
      </c>
      <c r="U45" s="1055">
        <f t="shared" si="11"/>
        <v>100</v>
      </c>
      <c r="V45" s="1054" t="s">
        <v>1163</v>
      </c>
      <c r="W45" s="1055">
        <f t="shared" si="12"/>
        <v>100</v>
      </c>
      <c r="X45" s="1056"/>
      <c r="Y45" s="1014"/>
      <c r="Z45" s="1069">
        <f t="shared" si="13"/>
        <v>111</v>
      </c>
      <c r="AA45" s="1068">
        <f t="shared" si="3"/>
        <v>1</v>
      </c>
      <c r="AB45" s="1068">
        <f t="shared" si="4"/>
        <v>1</v>
      </c>
      <c r="AC45" s="1068">
        <f t="shared" si="5"/>
        <v>1</v>
      </c>
    </row>
    <row r="46" ht="15" spans="1:29">
      <c r="A46" s="919" t="s">
        <v>2067</v>
      </c>
      <c r="B46" s="920" t="s">
        <v>2093</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1196</v>
      </c>
      <c r="B47" s="928"/>
      <c r="C47" s="929" t="e">
        <f>R48</f>
        <v>#DIV/0!</v>
      </c>
      <c r="D47" s="930" t="s">
        <v>1197</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2094</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1199</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1200</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1201</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2095</v>
      </c>
      <c r="B55" s="946" t="s">
        <v>2096</v>
      </c>
      <c r="C55" s="947" t="s">
        <v>2097</v>
      </c>
      <c r="D55" s="948" t="s">
        <v>2098</v>
      </c>
      <c r="E55" s="949" t="s">
        <v>2099</v>
      </c>
      <c r="F55" s="1204" t="s">
        <v>2100</v>
      </c>
      <c r="G55" s="829" t="s">
        <v>2101</v>
      </c>
      <c r="H55" s="550"/>
      <c r="I55" s="1208" t="s">
        <v>2102</v>
      </c>
      <c r="J55" s="1209">
        <f>项目基本情况!F35</f>
        <v>0</v>
      </c>
      <c r="K55" s="1027" t="s">
        <v>2103</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2104</v>
      </c>
      <c r="B56" s="952" t="e">
        <f>C48</f>
        <v>#DIV/0!</v>
      </c>
      <c r="C56" s="953">
        <v>1</v>
      </c>
      <c r="D56" s="954">
        <v>1</v>
      </c>
      <c r="E56" s="953">
        <f>'数据-汇总表'!E8+'数据-汇总表'!E9</f>
        <v>25215.42</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2105</v>
      </c>
      <c r="B57" s="170" t="e">
        <f>ROUND($C$48*C57*D57,0)</f>
        <v>#DIV/0!</v>
      </c>
      <c r="C57" s="495">
        <f t="shared" ref="C57:C65" si="16">IF($C$55="北京市系数",I57,J57)</f>
        <v>0.7</v>
      </c>
      <c r="D57" s="958">
        <v>0.25</v>
      </c>
      <c r="E57" s="959"/>
      <c r="F57" s="1205" t="e">
        <f t="shared" si="15"/>
        <v>#DIV/0!</v>
      </c>
      <c r="G57" s="960" t="s">
        <v>2106</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2107</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2108</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2109</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2110</v>
      </c>
      <c r="B61" s="170" t="e">
        <f t="shared" si="17"/>
        <v>#DIV/0!</v>
      </c>
      <c r="C61" s="495">
        <f t="shared" si="16"/>
        <v>0</v>
      </c>
      <c r="D61" s="958">
        <v>0.25</v>
      </c>
      <c r="E61" s="169">
        <f>'数据-汇总表'!E11</f>
        <v>0</v>
      </c>
      <c r="F61" s="1205" t="e">
        <f t="shared" si="15"/>
        <v>#DIV/0!</v>
      </c>
      <c r="G61" s="960" t="s">
        <v>2111</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2112</v>
      </c>
      <c r="B62" s="170" t="e">
        <f t="shared" si="17"/>
        <v>#DIV/0!</v>
      </c>
      <c r="C62" s="495">
        <f t="shared" si="16"/>
        <v>0</v>
      </c>
      <c r="D62" s="958">
        <v>0.25</v>
      </c>
      <c r="E62" s="169">
        <f>'数据-汇总表'!E12</f>
        <v>1140.25</v>
      </c>
      <c r="F62" s="1205" t="e">
        <f t="shared" si="15"/>
        <v>#DIV/0!</v>
      </c>
      <c r="G62" s="962" t="s">
        <v>2113</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2114</v>
      </c>
      <c r="B63" s="170" t="e">
        <f t="shared" si="17"/>
        <v>#DIV/0!</v>
      </c>
      <c r="C63" s="495">
        <f t="shared" si="16"/>
        <v>0</v>
      </c>
      <c r="D63" s="958">
        <v>0.25</v>
      </c>
      <c r="E63" s="169">
        <f>'数据-汇总表'!E13</f>
        <v>0</v>
      </c>
      <c r="F63" s="1205" t="e">
        <f t="shared" si="15"/>
        <v>#DIV/0!</v>
      </c>
      <c r="G63" s="962" t="s">
        <v>2115</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2116</v>
      </c>
      <c r="B64" s="170" t="e">
        <f t="shared" si="17"/>
        <v>#DIV/0!</v>
      </c>
      <c r="C64" s="495">
        <f t="shared" si="16"/>
        <v>0.2</v>
      </c>
      <c r="D64" s="958">
        <v>0.25</v>
      </c>
      <c r="E64" s="169">
        <f>'数据-汇总表'!E14</f>
        <v>0</v>
      </c>
      <c r="F64" s="1205" t="e">
        <f t="shared" si="15"/>
        <v>#DIV/0!</v>
      </c>
      <c r="G64" s="960" t="s">
        <v>2106</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2117</v>
      </c>
      <c r="B65" s="170" t="e">
        <f t="shared" si="17"/>
        <v>#DIV/0!</v>
      </c>
      <c r="C65" s="495">
        <f t="shared" si="16"/>
        <v>0</v>
      </c>
      <c r="D65" s="958">
        <v>0.25</v>
      </c>
      <c r="E65" s="169">
        <f>'数据-汇总表'!E15</f>
        <v>0</v>
      </c>
      <c r="F65" s="1205" t="e">
        <f t="shared" si="15"/>
        <v>#DIV/0!</v>
      </c>
      <c r="G65" s="963" t="s">
        <v>2111</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2118</v>
      </c>
      <c r="B66" s="966" t="s">
        <v>1270</v>
      </c>
      <c r="C66" s="966" t="s">
        <v>1270</v>
      </c>
      <c r="D66" s="966" t="s">
        <v>1270</v>
      </c>
      <c r="E66" s="966">
        <f>IF(B46="楼面地价",SUM(E56:E65),'数据-汇总表'!D3)</f>
        <v>26355.67</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1202</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2119</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2120</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1203</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1164</v>
      </c>
      <c r="B73" s="1082"/>
      <c r="C73" s="1083" t="s">
        <v>1165</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1204</v>
      </c>
      <c r="B75" s="1088" t="s">
        <v>1168</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1171</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1172</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1173</v>
      </c>
      <c r="B88" s="1088" t="s">
        <v>1174</v>
      </c>
      <c r="C88" s="1109" t="s">
        <v>1212</v>
      </c>
      <c r="D88" s="1109" t="s">
        <v>1213</v>
      </c>
      <c r="E88" s="1109" t="s">
        <v>1214</v>
      </c>
      <c r="F88" s="1109" t="s">
        <v>1215</v>
      </c>
      <c r="G88" s="1109" t="s">
        <v>1216</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1249</v>
      </c>
      <c r="C90" s="1111" t="s">
        <v>1212</v>
      </c>
      <c r="D90" s="1111" t="s">
        <v>1213</v>
      </c>
      <c r="E90" s="1111" t="s">
        <v>1214</v>
      </c>
      <c r="F90" s="1111" t="s">
        <v>1215</v>
      </c>
      <c r="G90" s="1111" t="s">
        <v>1216</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2048</v>
      </c>
      <c r="C92" s="1111" t="s">
        <v>1212</v>
      </c>
      <c r="D92" s="1111" t="s">
        <v>1213</v>
      </c>
      <c r="E92" s="1111" t="s">
        <v>1214</v>
      </c>
      <c r="F92" s="1111" t="s">
        <v>1215</v>
      </c>
      <c r="G92" s="1111" t="s">
        <v>1216</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1176</v>
      </c>
      <c r="C94" s="1111" t="s">
        <v>1212</v>
      </c>
      <c r="D94" s="1111" t="s">
        <v>1213</v>
      </c>
      <c r="E94" s="1111" t="s">
        <v>1214</v>
      </c>
      <c r="F94" s="1111" t="s">
        <v>1215</v>
      </c>
      <c r="G94" s="1111" t="s">
        <v>1216</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2085</v>
      </c>
      <c r="C96" s="1111" t="s">
        <v>1212</v>
      </c>
      <c r="D96" s="1111" t="s">
        <v>1213</v>
      </c>
      <c r="E96" s="1111" t="s">
        <v>1214</v>
      </c>
      <c r="F96" s="1111" t="s">
        <v>1215</v>
      </c>
      <c r="G96" s="1111" t="s">
        <v>1216</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2086</v>
      </c>
      <c r="C98" s="1109" t="s">
        <v>1212</v>
      </c>
      <c r="D98" s="1109" t="s">
        <v>1213</v>
      </c>
      <c r="E98" s="1109" t="s">
        <v>1214</v>
      </c>
      <c r="F98" s="1109" t="s">
        <v>1215</v>
      </c>
      <c r="G98" s="1109" t="s">
        <v>1216</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1177</v>
      </c>
      <c r="C100" s="1109" t="s">
        <v>1212</v>
      </c>
      <c r="D100" s="1109" t="s">
        <v>1213</v>
      </c>
      <c r="E100" s="1109" t="s">
        <v>1214</v>
      </c>
      <c r="F100" s="1109" t="s">
        <v>1215</v>
      </c>
      <c r="G100" s="1109" t="s">
        <v>1216</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1178</v>
      </c>
      <c r="C102" s="1116" t="s">
        <v>1217</v>
      </c>
      <c r="D102" s="1116" t="s">
        <v>1218</v>
      </c>
      <c r="E102" s="1116" t="s">
        <v>1219</v>
      </c>
      <c r="F102" s="1116" t="s">
        <v>1220</v>
      </c>
      <c r="G102" s="1116" t="s">
        <v>1221</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2121</v>
      </c>
      <c r="D104" s="1093" t="s">
        <v>2122</v>
      </c>
      <c r="E104" s="1093" t="s">
        <v>2123</v>
      </c>
      <c r="F104" s="1093" t="s">
        <v>2124</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2050</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2087</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1182</v>
      </c>
      <c r="B116" s="1088" t="s">
        <v>2088</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2089</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2090</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2091</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2092</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29">
      <c r="A1" s="817" t="s">
        <v>2082</v>
      </c>
      <c r="B1" s="818"/>
      <c r="C1" s="819" t="s">
        <v>2054</v>
      </c>
      <c r="D1" s="820"/>
      <c r="E1" s="820"/>
      <c r="F1" s="821" t="s">
        <v>1143</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1144</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1146</v>
      </c>
      <c r="B3" s="825" t="e">
        <f>ROUND(IF(D3="",B2*10000/'数据-汇总表'!E3,B2*10000/D3),0)</f>
        <v>#DIV/0!</v>
      </c>
      <c r="C3" s="156" t="s">
        <v>1147</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1148</v>
      </c>
      <c r="B4" s="828"/>
      <c r="C4" s="829" t="s">
        <v>1149</v>
      </c>
      <c r="D4" s="830"/>
      <c r="E4" s="831" t="s">
        <v>1150</v>
      </c>
      <c r="F4" s="832"/>
      <c r="G4" s="829" t="s">
        <v>1151</v>
      </c>
      <c r="H4" s="830"/>
      <c r="I4" s="829" t="s">
        <v>1152</v>
      </c>
      <c r="J4" s="830"/>
      <c r="K4" s="984" t="s">
        <v>1153</v>
      </c>
      <c r="L4" s="985"/>
      <c r="M4" s="986"/>
      <c r="N4" s="986"/>
      <c r="O4" s="986"/>
      <c r="P4" s="987" t="s">
        <v>1154</v>
      </c>
      <c r="Q4" s="1036"/>
      <c r="R4" s="1037" t="s">
        <v>1150</v>
      </c>
      <c r="S4" s="1038"/>
      <c r="T4" s="1037" t="s">
        <v>1151</v>
      </c>
      <c r="U4" s="1038"/>
      <c r="V4" s="1026" t="s">
        <v>1152</v>
      </c>
      <c r="W4" s="1026"/>
      <c r="X4" s="1039"/>
      <c r="Y4" s="1037" t="s">
        <v>1154</v>
      </c>
      <c r="Z4" s="1038"/>
      <c r="AA4" s="1064" t="s">
        <v>1150</v>
      </c>
      <c r="AB4" s="1039" t="s">
        <v>1151</v>
      </c>
      <c r="AC4" s="1064" t="s">
        <v>1152</v>
      </c>
    </row>
    <row r="5" ht="15" spans="1:29">
      <c r="A5" s="833"/>
      <c r="B5" s="834"/>
      <c r="C5" s="835" t="s">
        <v>1155</v>
      </c>
      <c r="D5" s="836"/>
      <c r="E5" s="837" t="s">
        <v>1156</v>
      </c>
      <c r="F5" s="838"/>
      <c r="G5" s="835" t="s">
        <v>1157</v>
      </c>
      <c r="H5" s="836"/>
      <c r="I5" s="835" t="s">
        <v>1158</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2125</v>
      </c>
      <c r="D6" s="842"/>
      <c r="E6" s="843" t="s">
        <v>2125</v>
      </c>
      <c r="F6" s="844"/>
      <c r="G6" s="841" t="s">
        <v>2125</v>
      </c>
      <c r="H6" s="842"/>
      <c r="I6" s="841" t="s">
        <v>2125</v>
      </c>
      <c r="J6" s="842"/>
      <c r="K6" s="984" t="s">
        <v>1160</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1161</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1162</v>
      </c>
      <c r="Q7" s="1046"/>
      <c r="R7" s="1047" t="s">
        <v>1163</v>
      </c>
      <c r="S7" s="1048">
        <f t="shared" ref="S7:S15" si="0">F7</f>
        <v>0</v>
      </c>
      <c r="T7" s="1047" t="s">
        <v>1163</v>
      </c>
      <c r="U7" s="1048">
        <f t="shared" ref="U7:U15" si="1">H7</f>
        <v>0</v>
      </c>
      <c r="V7" s="1047" t="s">
        <v>1163</v>
      </c>
      <c r="W7" s="1048">
        <f t="shared" ref="W7:W15" si="2">J7</f>
        <v>0</v>
      </c>
      <c r="X7" s="1049"/>
      <c r="Y7" s="993" t="s">
        <v>1162</v>
      </c>
      <c r="Z7" s="1050"/>
      <c r="AA7" s="1066" t="e">
        <f>D7/F7</f>
        <v>#DIV/0!</v>
      </c>
      <c r="AB7" s="1066" t="e">
        <f>D7/H7</f>
        <v>#DIV/0!</v>
      </c>
      <c r="AC7" s="1066" t="e">
        <f>D7/J7</f>
        <v>#DIV/0!</v>
      </c>
    </row>
    <row r="8" s="808" customFormat="1" ht="15.75" spans="1:29">
      <c r="A8" s="845" t="s">
        <v>1164</v>
      </c>
      <c r="B8" s="846"/>
      <c r="C8" s="852" t="s">
        <v>1165</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1166</v>
      </c>
      <c r="Q8" s="1050"/>
      <c r="R8" s="1047" t="s">
        <v>1163</v>
      </c>
      <c r="S8" s="1048">
        <f t="shared" si="0"/>
        <v>0</v>
      </c>
      <c r="T8" s="1047" t="s">
        <v>1163</v>
      </c>
      <c r="U8" s="1048">
        <f t="shared" si="1"/>
        <v>0</v>
      </c>
      <c r="V8" s="1047" t="s">
        <v>1163</v>
      </c>
      <c r="W8" s="1048">
        <f t="shared" si="2"/>
        <v>0</v>
      </c>
      <c r="X8" s="1049"/>
      <c r="Y8" s="993" t="s">
        <v>1166</v>
      </c>
      <c r="Z8" s="1050"/>
      <c r="AA8" s="1066" t="e">
        <f t="shared" ref="AA8:AA40" si="3">D8/F8</f>
        <v>#DIV/0!</v>
      </c>
      <c r="AB8" s="1066" t="e">
        <f t="shared" ref="AB8:AB40" si="4">D8/H8</f>
        <v>#DIV/0!</v>
      </c>
      <c r="AC8" s="1066" t="e">
        <f t="shared" ref="AC8:AC40" si="5">D8/J8</f>
        <v>#DIV/0!</v>
      </c>
    </row>
    <row r="9" s="808" customFormat="1" spans="1:29">
      <c r="A9" s="853" t="s">
        <v>1167</v>
      </c>
      <c r="B9" s="854" t="s">
        <v>1168</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1169</v>
      </c>
      <c r="Q9" s="1051" t="str">
        <f t="shared" ref="Q9:Q15" si="6">B9</f>
        <v>用途</v>
      </c>
      <c r="R9" s="1047" t="s">
        <v>1163</v>
      </c>
      <c r="S9" s="1048">
        <f t="shared" si="0"/>
        <v>100</v>
      </c>
      <c r="T9" s="1047" t="s">
        <v>1163</v>
      </c>
      <c r="U9" s="1048">
        <f t="shared" si="1"/>
        <v>100</v>
      </c>
      <c r="V9" s="1047" t="s">
        <v>1163</v>
      </c>
      <c r="W9" s="1048">
        <f t="shared" si="2"/>
        <v>100</v>
      </c>
      <c r="X9" s="1049"/>
      <c r="Y9" s="1051" t="s">
        <v>1170</v>
      </c>
      <c r="Z9" s="1067" t="str">
        <f t="shared" ref="Z9:Z15" si="7">Q9</f>
        <v>用途</v>
      </c>
      <c r="AA9" s="1066">
        <f t="shared" si="3"/>
        <v>1</v>
      </c>
      <c r="AB9" s="1066">
        <f t="shared" si="4"/>
        <v>1</v>
      </c>
      <c r="AC9" s="1066">
        <f t="shared" si="5"/>
        <v>1</v>
      </c>
    </row>
    <row r="10" s="809" customFormat="1" ht="27" spans="1:29">
      <c r="A10" s="857"/>
      <c r="B10" s="858" t="s">
        <v>1171</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1163</v>
      </c>
      <c r="S10" s="1048">
        <f t="shared" si="0"/>
        <v>100</v>
      </c>
      <c r="T10" s="1047" t="s">
        <v>1163</v>
      </c>
      <c r="U10" s="1048">
        <f t="shared" si="1"/>
        <v>100</v>
      </c>
      <c r="V10" s="1047" t="s">
        <v>1163</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1172</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1163</v>
      </c>
      <c r="S11" s="1048" t="e">
        <f t="shared" si="0"/>
        <v>#N/A</v>
      </c>
      <c r="T11" s="1047" t="s">
        <v>1163</v>
      </c>
      <c r="U11" s="1048" t="e">
        <f t="shared" si="1"/>
        <v>#N/A</v>
      </c>
      <c r="V11" s="1047" t="s">
        <v>1163</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1163</v>
      </c>
      <c r="S12" s="1048">
        <f t="shared" si="0"/>
        <v>100</v>
      </c>
      <c r="T12" s="1047" t="s">
        <v>1163</v>
      </c>
      <c r="U12" s="1048">
        <f t="shared" si="1"/>
        <v>100</v>
      </c>
      <c r="V12" s="1047" t="s">
        <v>1163</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1163</v>
      </c>
      <c r="S13" s="1048">
        <f t="shared" si="0"/>
        <v>100</v>
      </c>
      <c r="T13" s="1047" t="s">
        <v>1163</v>
      </c>
      <c r="U13" s="1048">
        <f t="shared" si="1"/>
        <v>100</v>
      </c>
      <c r="V13" s="1047" t="s">
        <v>1163</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1163</v>
      </c>
      <c r="S14" s="1048">
        <f t="shared" si="0"/>
        <v>100</v>
      </c>
      <c r="T14" s="1047" t="s">
        <v>1163</v>
      </c>
      <c r="U14" s="1048">
        <f t="shared" si="1"/>
        <v>100</v>
      </c>
      <c r="V14" s="1047" t="s">
        <v>1163</v>
      </c>
      <c r="W14" s="1048">
        <f t="shared" si="2"/>
        <v>100</v>
      </c>
      <c r="X14" s="1049"/>
      <c r="Y14" s="1051"/>
      <c r="Z14" s="1067">
        <f t="shared" si="7"/>
        <v>111</v>
      </c>
      <c r="AA14" s="1066">
        <f t="shared" si="3"/>
        <v>1</v>
      </c>
      <c r="AB14" s="1066">
        <f t="shared" si="4"/>
        <v>1</v>
      </c>
      <c r="AC14" s="1066">
        <f t="shared" si="5"/>
        <v>1</v>
      </c>
    </row>
    <row r="15" ht="56.25" spans="1:29">
      <c r="A15" s="875" t="s">
        <v>1173</v>
      </c>
      <c r="B15" s="876" t="s">
        <v>2055</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1175</v>
      </c>
      <c r="Q15" s="554" t="str">
        <f t="shared" si="6"/>
        <v>产业集聚程度</v>
      </c>
      <c r="R15" s="1052" t="s">
        <v>1163</v>
      </c>
      <c r="S15" s="1053">
        <f t="shared" si="0"/>
        <v>100</v>
      </c>
      <c r="T15" s="1052" t="s">
        <v>1163</v>
      </c>
      <c r="U15" s="1053">
        <f t="shared" si="1"/>
        <v>100</v>
      </c>
      <c r="V15" s="1052" t="s">
        <v>1163</v>
      </c>
      <c r="W15" s="1053">
        <f t="shared" si="2"/>
        <v>100</v>
      </c>
      <c r="X15" s="1039"/>
      <c r="Y15" s="1004" t="s">
        <v>1175</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1176</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1163</v>
      </c>
      <c r="S17" s="1053">
        <f>F17</f>
        <v>100</v>
      </c>
      <c r="T17" s="1052" t="s">
        <v>1163</v>
      </c>
      <c r="U17" s="1053">
        <f>H17</f>
        <v>100</v>
      </c>
      <c r="V17" s="1052" t="s">
        <v>1163</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2085</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1163</v>
      </c>
      <c r="S19" s="1053">
        <f>F19</f>
        <v>100</v>
      </c>
      <c r="T19" s="1052" t="s">
        <v>1163</v>
      </c>
      <c r="U19" s="1053">
        <f>H19</f>
        <v>100</v>
      </c>
      <c r="V19" s="1052" t="s">
        <v>1163</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2126</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1163</v>
      </c>
      <c r="S21" s="1053">
        <f>F21</f>
        <v>100</v>
      </c>
      <c r="T21" s="1052" t="s">
        <v>1163</v>
      </c>
      <c r="U21" s="1053">
        <f>H21</f>
        <v>100</v>
      </c>
      <c r="V21" s="1052" t="s">
        <v>1163</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1177</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1163</v>
      </c>
      <c r="S23" s="1048">
        <f>F23</f>
        <v>100</v>
      </c>
      <c r="T23" s="1047" t="s">
        <v>1163</v>
      </c>
      <c r="U23" s="1048">
        <f>H23</f>
        <v>100</v>
      </c>
      <c r="V23" s="1047" t="s">
        <v>1163</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1178</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1163</v>
      </c>
      <c r="S25" s="1048">
        <f>F25</f>
        <v>100</v>
      </c>
      <c r="T25" s="1047" t="s">
        <v>1163</v>
      </c>
      <c r="U25" s="1048">
        <f>H25</f>
        <v>100</v>
      </c>
      <c r="V25" s="1047" t="s">
        <v>1163</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1252</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1163</v>
      </c>
      <c r="S27" s="1053">
        <f t="shared" ref="S27:S40" si="10">F27</f>
        <v>100</v>
      </c>
      <c r="T27" s="1052" t="s">
        <v>1163</v>
      </c>
      <c r="U27" s="1053">
        <f t="shared" ref="U27:U40" si="11">H27</f>
        <v>100</v>
      </c>
      <c r="V27" s="1052" t="s">
        <v>1163</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2050</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1163</v>
      </c>
      <c r="S28" s="1053">
        <f t="shared" si="10"/>
        <v>100</v>
      </c>
      <c r="T28" s="1052" t="s">
        <v>1163</v>
      </c>
      <c r="U28" s="1053">
        <f t="shared" si="11"/>
        <v>100</v>
      </c>
      <c r="V28" s="1052" t="s">
        <v>1163</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2087</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1163</v>
      </c>
      <c r="S30" s="1053">
        <f t="shared" si="10"/>
        <v>100</v>
      </c>
      <c r="T30" s="1052" t="s">
        <v>1163</v>
      </c>
      <c r="U30" s="1053">
        <f t="shared" si="11"/>
        <v>100</v>
      </c>
      <c r="V30" s="1052" t="s">
        <v>1163</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1163</v>
      </c>
      <c r="S31" s="1053">
        <f t="shared" si="10"/>
        <v>100</v>
      </c>
      <c r="T31" s="1052" t="s">
        <v>1163</v>
      </c>
      <c r="U31" s="1053">
        <f t="shared" si="11"/>
        <v>100</v>
      </c>
      <c r="V31" s="1052" t="s">
        <v>1163</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1184</v>
      </c>
      <c r="Q32" s="554">
        <f t="shared" si="8"/>
        <v>111</v>
      </c>
      <c r="R32" s="1052" t="s">
        <v>1163</v>
      </c>
      <c r="S32" s="1053">
        <f t="shared" si="10"/>
        <v>100</v>
      </c>
      <c r="T32" s="1052" t="s">
        <v>1163</v>
      </c>
      <c r="U32" s="1053">
        <f t="shared" si="11"/>
        <v>100</v>
      </c>
      <c r="V32" s="1052" t="s">
        <v>1163</v>
      </c>
      <c r="W32" s="1053">
        <f t="shared" si="12"/>
        <v>100</v>
      </c>
      <c r="X32" s="1039"/>
      <c r="Y32" s="1014" t="s">
        <v>1184</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1163</v>
      </c>
      <c r="S33" s="1055">
        <f t="shared" si="10"/>
        <v>100</v>
      </c>
      <c r="T33" s="1054" t="s">
        <v>1163</v>
      </c>
      <c r="U33" s="1055">
        <f t="shared" si="11"/>
        <v>100</v>
      </c>
      <c r="V33" s="1054" t="s">
        <v>1163</v>
      </c>
      <c r="W33" s="1055">
        <f t="shared" si="12"/>
        <v>100</v>
      </c>
      <c r="X33" s="1056"/>
      <c r="Y33" s="1014"/>
      <c r="Z33" s="1069">
        <f t="shared" si="13"/>
        <v>111</v>
      </c>
      <c r="AA33" s="1068">
        <f t="shared" si="3"/>
        <v>1</v>
      </c>
      <c r="AB33" s="1068">
        <f t="shared" si="4"/>
        <v>1</v>
      </c>
      <c r="AC33" s="1068">
        <f t="shared" si="5"/>
        <v>1</v>
      </c>
    </row>
    <row r="34" ht="15" spans="1:29">
      <c r="A34" s="875" t="s">
        <v>1182</v>
      </c>
      <c r="B34" s="909" t="s">
        <v>2088</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1163</v>
      </c>
      <c r="S34" s="1053" t="e">
        <f t="shared" si="10"/>
        <v>#N/A</v>
      </c>
      <c r="T34" s="1052" t="s">
        <v>1163</v>
      </c>
      <c r="U34" s="1053" t="e">
        <f t="shared" si="11"/>
        <v>#N/A</v>
      </c>
      <c r="V34" s="1052" t="s">
        <v>1163</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2089</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1163</v>
      </c>
      <c r="S35" s="1053">
        <f t="shared" si="10"/>
        <v>100</v>
      </c>
      <c r="T35" s="1052" t="s">
        <v>1163</v>
      </c>
      <c r="U35" s="1053">
        <f t="shared" si="11"/>
        <v>100</v>
      </c>
      <c r="V35" s="1052" t="s">
        <v>1163</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2091</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1163</v>
      </c>
      <c r="S36" s="1048">
        <f t="shared" si="10"/>
        <v>100</v>
      </c>
      <c r="T36" s="1047" t="s">
        <v>1163</v>
      </c>
      <c r="U36" s="1048">
        <f t="shared" si="11"/>
        <v>100</v>
      </c>
      <c r="V36" s="1047" t="s">
        <v>1163</v>
      </c>
      <c r="W36" s="1048">
        <f t="shared" si="12"/>
        <v>100</v>
      </c>
      <c r="X36" s="1049"/>
      <c r="Y36" s="1014"/>
      <c r="Z36" s="1067" t="str">
        <f t="shared" si="13"/>
        <v>宗地开发程度</v>
      </c>
      <c r="AA36" s="1066">
        <f t="shared" si="3"/>
        <v>1</v>
      </c>
      <c r="AB36" s="1066">
        <f t="shared" si="4"/>
        <v>1</v>
      </c>
      <c r="AC36" s="1066">
        <f t="shared" si="5"/>
        <v>1</v>
      </c>
    </row>
    <row r="37" ht="15" spans="1:29">
      <c r="A37" s="912"/>
      <c r="B37" s="858" t="s">
        <v>2092</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1184</v>
      </c>
      <c r="Q37" s="554" t="str">
        <f t="shared" si="14"/>
        <v>工程地质条件</v>
      </c>
      <c r="R37" s="1052" t="s">
        <v>1163</v>
      </c>
      <c r="S37" s="1053">
        <f t="shared" si="10"/>
        <v>100</v>
      </c>
      <c r="T37" s="1052" t="s">
        <v>1163</v>
      </c>
      <c r="U37" s="1053">
        <f t="shared" si="11"/>
        <v>100</v>
      </c>
      <c r="V37" s="1052" t="s">
        <v>1163</v>
      </c>
      <c r="W37" s="1053">
        <f t="shared" si="12"/>
        <v>100</v>
      </c>
      <c r="X37" s="1039"/>
      <c r="Y37" s="1014" t="s">
        <v>1184</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1163</v>
      </c>
      <c r="S38" s="1053">
        <f t="shared" si="10"/>
        <v>100</v>
      </c>
      <c r="T38" s="1052" t="s">
        <v>1163</v>
      </c>
      <c r="U38" s="1053">
        <f t="shared" si="11"/>
        <v>100</v>
      </c>
      <c r="V38" s="1052" t="s">
        <v>1163</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1163</v>
      </c>
      <c r="S39" s="1053">
        <f t="shared" si="10"/>
        <v>100</v>
      </c>
      <c r="T39" s="1052" t="s">
        <v>1163</v>
      </c>
      <c r="U39" s="1053">
        <f t="shared" si="11"/>
        <v>100</v>
      </c>
      <c r="V39" s="1052" t="s">
        <v>1163</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1163</v>
      </c>
      <c r="S40" s="1055">
        <f t="shared" si="10"/>
        <v>100</v>
      </c>
      <c r="T40" s="1054" t="s">
        <v>1163</v>
      </c>
      <c r="U40" s="1055">
        <f t="shared" si="11"/>
        <v>100</v>
      </c>
      <c r="V40" s="1054" t="s">
        <v>1163</v>
      </c>
      <c r="W40" s="1055">
        <f t="shared" si="12"/>
        <v>100</v>
      </c>
      <c r="X40" s="1056"/>
      <c r="Y40" s="1014"/>
      <c r="Z40" s="1069">
        <f t="shared" si="13"/>
        <v>111</v>
      </c>
      <c r="AA40" s="1068">
        <f t="shared" si="3"/>
        <v>1</v>
      </c>
      <c r="AB40" s="1068">
        <f t="shared" si="4"/>
        <v>1</v>
      </c>
      <c r="AC40" s="1068">
        <f t="shared" si="5"/>
        <v>1</v>
      </c>
    </row>
    <row r="41" ht="15" spans="1:29">
      <c r="A41" s="919" t="s">
        <v>2067</v>
      </c>
      <c r="B41" s="920" t="s">
        <v>2127</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1196</v>
      </c>
      <c r="B42" s="928"/>
      <c r="C42" s="929" t="e">
        <f>R43</f>
        <v>#DIV/0!</v>
      </c>
      <c r="D42" s="930" t="s">
        <v>1197</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1198</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1199</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1200</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1201</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2095</v>
      </c>
      <c r="B50" s="946" t="s">
        <v>2096</v>
      </c>
      <c r="C50" s="947" t="s">
        <v>2097</v>
      </c>
      <c r="D50" s="948" t="s">
        <v>2098</v>
      </c>
      <c r="E50" s="949" t="s">
        <v>2099</v>
      </c>
      <c r="F50" s="950" t="s">
        <v>2100</v>
      </c>
      <c r="G50" s="829" t="s">
        <v>2101</v>
      </c>
      <c r="H50" s="550"/>
      <c r="I50" s="1026" t="s">
        <v>2128</v>
      </c>
      <c r="J50" s="1026">
        <f>项目基本情况!F35</f>
        <v>0</v>
      </c>
      <c r="K50" s="1027" t="s">
        <v>2103</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2104</v>
      </c>
      <c r="B51" s="952" t="e">
        <f>C43</f>
        <v>#DIV/0!</v>
      </c>
      <c r="C51" s="953">
        <v>1</v>
      </c>
      <c r="D51" s="954">
        <v>1</v>
      </c>
      <c r="E51" s="953">
        <f>'数据-汇总表'!E8+'数据-汇总表'!E9</f>
        <v>25215.42</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2105</v>
      </c>
      <c r="B52" s="170" t="e">
        <f>ROUND($C$43*C52*D52,0)</f>
        <v>#DIV/0!</v>
      </c>
      <c r="C52" s="495">
        <f t="shared" ref="C52:C60" si="16">IF($C$50="北京市系数",I52,J52)</f>
        <v>0.7</v>
      </c>
      <c r="D52" s="958">
        <v>0.25</v>
      </c>
      <c r="E52" s="959"/>
      <c r="F52" s="955" t="e">
        <f t="shared" si="15"/>
        <v>#DIV/0!</v>
      </c>
      <c r="G52" s="960" t="s">
        <v>2106</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2107</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2108</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2109</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2110</v>
      </c>
      <c r="B56" s="170" t="e">
        <f t="shared" si="17"/>
        <v>#DIV/0!</v>
      </c>
      <c r="C56" s="495">
        <f t="shared" si="16"/>
        <v>0</v>
      </c>
      <c r="D56" s="958">
        <v>0.25</v>
      </c>
      <c r="E56" s="169">
        <f>'数据-汇总表'!E11</f>
        <v>0</v>
      </c>
      <c r="F56" s="955" t="e">
        <f t="shared" si="15"/>
        <v>#DIV/0!</v>
      </c>
      <c r="G56" s="960" t="s">
        <v>2111</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2112</v>
      </c>
      <c r="B57" s="170" t="e">
        <f t="shared" si="17"/>
        <v>#DIV/0!</v>
      </c>
      <c r="C57" s="495">
        <f t="shared" si="16"/>
        <v>0</v>
      </c>
      <c r="D57" s="958">
        <v>0.25</v>
      </c>
      <c r="E57" s="169">
        <f>'数据-汇总表'!E12</f>
        <v>1140.25</v>
      </c>
      <c r="F57" s="955" t="e">
        <f t="shared" si="15"/>
        <v>#DIV/0!</v>
      </c>
      <c r="G57" s="962" t="s">
        <v>2113</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2114</v>
      </c>
      <c r="B58" s="170" t="e">
        <f t="shared" si="17"/>
        <v>#DIV/0!</v>
      </c>
      <c r="C58" s="495">
        <f t="shared" si="16"/>
        <v>0</v>
      </c>
      <c r="D58" s="958">
        <v>0.25</v>
      </c>
      <c r="E58" s="169">
        <f>'数据-汇总表'!E13</f>
        <v>0</v>
      </c>
      <c r="F58" s="955" t="e">
        <f t="shared" si="15"/>
        <v>#DIV/0!</v>
      </c>
      <c r="G58" s="962" t="s">
        <v>2115</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2116</v>
      </c>
      <c r="B59" s="170" t="e">
        <f t="shared" si="17"/>
        <v>#DIV/0!</v>
      </c>
      <c r="C59" s="495">
        <f t="shared" si="16"/>
        <v>0.2</v>
      </c>
      <c r="D59" s="958">
        <v>0.25</v>
      </c>
      <c r="E59" s="169">
        <f>'数据-汇总表'!E14</f>
        <v>0</v>
      </c>
      <c r="F59" s="955" t="e">
        <f t="shared" si="15"/>
        <v>#DIV/0!</v>
      </c>
      <c r="G59" s="960" t="s">
        <v>2106</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2117</v>
      </c>
      <c r="B60" s="170" t="e">
        <f t="shared" si="17"/>
        <v>#DIV/0!</v>
      </c>
      <c r="C60" s="495">
        <f t="shared" si="16"/>
        <v>0</v>
      </c>
      <c r="D60" s="958">
        <v>0.25</v>
      </c>
      <c r="E60" s="169">
        <f>'数据-汇总表'!E15</f>
        <v>0</v>
      </c>
      <c r="F60" s="955" t="e">
        <f t="shared" si="15"/>
        <v>#DIV/0!</v>
      </c>
      <c r="G60" s="963" t="s">
        <v>2111</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2118</v>
      </c>
      <c r="B61" s="966" t="s">
        <v>1270</v>
      </c>
      <c r="C61" s="966" t="s">
        <v>1270</v>
      </c>
      <c r="D61" s="966" t="s">
        <v>1270</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1202</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2119</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2129</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1203</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1164</v>
      </c>
      <c r="B68" s="1082"/>
      <c r="C68" s="1083" t="s">
        <v>1165</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1204</v>
      </c>
      <c r="B70" s="1088" t="s">
        <v>1168</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1171</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1172</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1173</v>
      </c>
      <c r="B83" s="1088" t="s">
        <v>2055</v>
      </c>
      <c r="C83" s="1109" t="s">
        <v>1212</v>
      </c>
      <c r="D83" s="1109" t="s">
        <v>1213</v>
      </c>
      <c r="E83" s="1109" t="s">
        <v>1214</v>
      </c>
      <c r="F83" s="1109" t="s">
        <v>1215</v>
      </c>
      <c r="G83" s="1109" t="s">
        <v>1216</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1176</v>
      </c>
      <c r="C85" s="1111" t="s">
        <v>1212</v>
      </c>
      <c r="D85" s="1111" t="s">
        <v>1213</v>
      </c>
      <c r="E85" s="1111" t="s">
        <v>1214</v>
      </c>
      <c r="F85" s="1111" t="s">
        <v>1215</v>
      </c>
      <c r="G85" s="1111" t="s">
        <v>1216</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2085</v>
      </c>
      <c r="C87" s="1109" t="s">
        <v>1212</v>
      </c>
      <c r="D87" s="1109" t="s">
        <v>1213</v>
      </c>
      <c r="E87" s="1109" t="s">
        <v>1214</v>
      </c>
      <c r="F87" s="1109" t="s">
        <v>1215</v>
      </c>
      <c r="G87" s="1109" t="s">
        <v>1216</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2086</v>
      </c>
      <c r="C89" s="1109" t="s">
        <v>1212</v>
      </c>
      <c r="D89" s="1109" t="s">
        <v>1213</v>
      </c>
      <c r="E89" s="1109" t="s">
        <v>1214</v>
      </c>
      <c r="F89" s="1109" t="s">
        <v>1215</v>
      </c>
      <c r="G89" s="1109" t="s">
        <v>1216</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1177</v>
      </c>
      <c r="C91" s="1109" t="s">
        <v>1212</v>
      </c>
      <c r="D91" s="1109" t="s">
        <v>1213</v>
      </c>
      <c r="E91" s="1109" t="s">
        <v>1214</v>
      </c>
      <c r="F91" s="1109" t="s">
        <v>1215</v>
      </c>
      <c r="G91" s="1109" t="s">
        <v>1216</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1178</v>
      </c>
      <c r="C93" s="1116" t="s">
        <v>1217</v>
      </c>
      <c r="D93" s="1116" t="s">
        <v>1218</v>
      </c>
      <c r="E93" s="1116" t="s">
        <v>1219</v>
      </c>
      <c r="F93" s="1116" t="s">
        <v>1220</v>
      </c>
      <c r="G93" s="1116" t="s">
        <v>1221</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2121</v>
      </c>
      <c r="D95" s="1093" t="s">
        <v>2122</v>
      </c>
      <c r="E95" s="1093" t="s">
        <v>2123</v>
      </c>
      <c r="F95" s="1093" t="s">
        <v>2124</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2050</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2087</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1182</v>
      </c>
      <c r="B107" s="1088" t="s">
        <v>2088</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2089</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2091</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2092</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1326</v>
      </c>
      <c r="B1" s="789" t="s">
        <v>460</v>
      </c>
      <c r="C1" s="151"/>
      <c r="D1" s="151"/>
      <c r="E1" s="151"/>
      <c r="F1" s="151"/>
      <c r="G1" s="791">
        <f>MATCH(B1,'数据-取费表'!A6:A16,0)+5</f>
        <v>7</v>
      </c>
    </row>
    <row r="2" s="141" customFormat="1" ht="18" customHeight="1" spans="1:7">
      <c r="A2" s="153" t="s">
        <v>1144</v>
      </c>
      <c r="B2" s="154">
        <f ca="1">IF(D2="——",C52,C52-E2)</f>
        <v>836</v>
      </c>
      <c r="C2" s="152" t="s">
        <v>1145</v>
      </c>
      <c r="D2" s="793" t="s">
        <v>124</v>
      </c>
      <c r="E2" s="794" t="e">
        <f ca="1">SUMIF(INDIRECT("'"&amp;G2&amp;"'"&amp;"!A:A"),"承租人权益价值",INDIRECT("'"&amp;G2&amp;"'"&amp;"!c:c"))</f>
        <v>#REF!</v>
      </c>
      <c r="F2" s="795" t="s">
        <v>1145</v>
      </c>
      <c r="G2" s="796"/>
    </row>
    <row r="3" s="141" customFormat="1" ht="18" customHeight="1" spans="1:7">
      <c r="A3" s="156" t="s">
        <v>1146</v>
      </c>
      <c r="B3" s="157">
        <f ca="1">ROUND(B2*10000/(IF(B1="",'数据-汇总表'!E3,INDIRECT("'数据-取费表'!k"&amp;$G$1))),0)</f>
        <v>7332</v>
      </c>
      <c r="C3" s="152" t="s">
        <v>1327</v>
      </c>
      <c r="D3" s="152"/>
      <c r="E3" s="152"/>
      <c r="F3" s="152"/>
      <c r="G3" s="152"/>
    </row>
    <row r="4" s="142" customFormat="1" ht="15.75" spans="1:7">
      <c r="A4" s="158" t="s">
        <v>1328</v>
      </c>
      <c r="B4" s="159"/>
      <c r="C4" s="159"/>
      <c r="D4" s="159"/>
      <c r="E4" s="159"/>
      <c r="F4" s="159"/>
      <c r="G4" s="160"/>
    </row>
    <row r="5" s="143" customFormat="1" ht="13.5" customHeight="1" spans="1:7">
      <c r="A5" s="161" t="s">
        <v>1329</v>
      </c>
      <c r="B5" s="162" t="s">
        <v>1330</v>
      </c>
      <c r="C5" s="163">
        <f ca="1">C6+C7+C8</f>
        <v>315</v>
      </c>
      <c r="D5" s="163" t="s">
        <v>1331</v>
      </c>
      <c r="E5" s="164" t="s">
        <v>1332</v>
      </c>
      <c r="F5" s="164" t="s">
        <v>1045</v>
      </c>
      <c r="G5" s="165"/>
    </row>
    <row r="6" s="143" customFormat="1" ht="13.5" customHeight="1" spans="1:7">
      <c r="A6" s="166" t="s">
        <v>1333</v>
      </c>
      <c r="B6" s="167" t="s">
        <v>1334</v>
      </c>
      <c r="C6" s="168">
        <f>'基准地价修正--仓储'!E38</f>
        <v>283</v>
      </c>
      <c r="D6" s="169"/>
      <c r="E6" s="170"/>
      <c r="F6" s="170"/>
      <c r="G6" s="171"/>
    </row>
    <row r="7" s="143" customFormat="1" ht="13.5" customHeight="1" spans="1:7">
      <c r="A7" s="166" t="s">
        <v>1335</v>
      </c>
      <c r="B7" s="167" t="s">
        <v>1336</v>
      </c>
      <c r="C7" s="172">
        <f>ROUND(C6*F7,0)</f>
        <v>9</v>
      </c>
      <c r="D7" s="172"/>
      <c r="E7" s="170"/>
      <c r="F7" s="173">
        <f>IF(项目基本情况!B8="出让",0,'数据-取费表'!B48+'数据-取费表'!B49)</f>
        <v>0.0305</v>
      </c>
      <c r="G7" s="171"/>
    </row>
    <row r="8" s="144" customFormat="1" spans="1:7">
      <c r="A8" s="166" t="s">
        <v>1337</v>
      </c>
      <c r="B8" s="167" t="s">
        <v>1338</v>
      </c>
      <c r="C8" s="172">
        <f ca="1">IF(G8="已包含在土地购买价格中","0",IF(B1="",'数据-取费表'!B29,IF(G9="全部缴纳",C9+C10,H9)))</f>
        <v>23</v>
      </c>
      <c r="D8" s="174"/>
      <c r="E8" s="172"/>
      <c r="F8" s="173"/>
      <c r="G8" s="797" t="s">
        <v>1339</v>
      </c>
    </row>
    <row r="9" s="143" customFormat="1" ht="13.5" customHeight="1" spans="1:9">
      <c r="A9" s="176" t="s">
        <v>1340</v>
      </c>
      <c r="B9" s="177" t="s">
        <v>1341</v>
      </c>
      <c r="C9" s="178">
        <f ca="1">ROUND(D9*E9/10000,0)</f>
        <v>0</v>
      </c>
      <c r="D9" s="179">
        <f ca="1">IF(B1="",'数据-汇总表'!E5,IF(INDIRECT("'数据-取费表'!c"&amp;$G$1)="住宅",INDIRECT("'数据-取费表'!k"&amp;$G$1),0))</f>
        <v>0</v>
      </c>
      <c r="E9" s="178">
        <f>'数据-取费表'!B27</f>
        <v>160</v>
      </c>
      <c r="F9" s="173"/>
      <c r="G9" s="804" t="s">
        <v>1342</v>
      </c>
      <c r="H9" s="805"/>
      <c r="I9" s="806" t="s">
        <v>1343</v>
      </c>
    </row>
    <row r="10" s="143" customFormat="1" ht="13.5" customHeight="1" spans="1:7">
      <c r="A10" s="176" t="s">
        <v>1344</v>
      </c>
      <c r="B10" s="177" t="s">
        <v>1345</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1346</v>
      </c>
      <c r="B11" s="167" t="s">
        <v>1347</v>
      </c>
      <c r="C11" s="163"/>
      <c r="D11" s="182"/>
      <c r="E11" s="170"/>
      <c r="F11" s="170"/>
      <c r="G11" s="171"/>
    </row>
    <row r="12" s="143" customFormat="1" ht="13.5" hidden="1" customHeight="1" spans="1:7">
      <c r="A12" s="181" t="s">
        <v>1348</v>
      </c>
      <c r="B12" s="167" t="s">
        <v>1081</v>
      </c>
      <c r="C12" s="163">
        <v>0</v>
      </c>
      <c r="D12" s="182"/>
      <c r="E12" s="183"/>
      <c r="F12" s="173">
        <v>0.0305</v>
      </c>
      <c r="G12" s="171"/>
    </row>
    <row r="13" s="143" customFormat="1" ht="13.5" hidden="1" customHeight="1" spans="1:7">
      <c r="A13" s="181" t="s">
        <v>1349</v>
      </c>
      <c r="B13" s="167" t="s">
        <v>1350</v>
      </c>
      <c r="C13" s="163"/>
      <c r="D13" s="182"/>
      <c r="E13" s="170"/>
      <c r="F13" s="170"/>
      <c r="G13" s="171"/>
    </row>
    <row r="14" s="143" customFormat="1" ht="13.5" hidden="1" customHeight="1" spans="1:7">
      <c r="A14" s="181" t="s">
        <v>1351</v>
      </c>
      <c r="B14" s="167" t="s">
        <v>1338</v>
      </c>
      <c r="C14" s="163"/>
      <c r="D14" s="182"/>
      <c r="E14" s="170"/>
      <c r="F14" s="170"/>
      <c r="G14" s="171" t="s">
        <v>1352</v>
      </c>
    </row>
    <row r="15" s="143" customFormat="1" ht="13.5" hidden="1" customHeight="1" spans="1:7">
      <c r="A15" s="181" t="s">
        <v>1353</v>
      </c>
      <c r="B15" s="167" t="s">
        <v>1354</v>
      </c>
      <c r="C15" s="172"/>
      <c r="D15" s="182"/>
      <c r="E15" s="170"/>
      <c r="F15" s="170"/>
      <c r="G15" s="171" t="s">
        <v>1355</v>
      </c>
    </row>
    <row r="16" s="143" customFormat="1" ht="13.5" hidden="1" customHeight="1" spans="1:7">
      <c r="A16" s="181" t="s">
        <v>1356</v>
      </c>
      <c r="B16" s="167" t="s">
        <v>1338</v>
      </c>
      <c r="C16" s="172"/>
      <c r="D16" s="182"/>
      <c r="E16" s="170"/>
      <c r="F16" s="170"/>
      <c r="G16" s="171"/>
    </row>
    <row r="17" s="143" customFormat="1" ht="13.5" hidden="1" customHeight="1" spans="1:7">
      <c r="A17" s="181" t="s">
        <v>1357</v>
      </c>
      <c r="B17" s="167" t="s">
        <v>1358</v>
      </c>
      <c r="C17" s="184"/>
      <c r="D17" s="185"/>
      <c r="E17" s="184"/>
      <c r="F17" s="184"/>
      <c r="G17" s="171" t="s">
        <v>1355</v>
      </c>
    </row>
    <row r="18" s="143" customFormat="1" ht="13.5" hidden="1" customHeight="1" spans="1:7">
      <c r="A18" s="181" t="s">
        <v>1359</v>
      </c>
      <c r="B18" s="167" t="s">
        <v>1360</v>
      </c>
      <c r="C18" s="172">
        <v>0</v>
      </c>
      <c r="D18" s="182"/>
      <c r="E18" s="170"/>
      <c r="F18" s="173">
        <v>0.0305</v>
      </c>
      <c r="G18" s="171" t="s">
        <v>1361</v>
      </c>
    </row>
    <row r="19" s="144" customFormat="1" ht="13.5" customHeight="1" spans="1:7">
      <c r="A19" s="161" t="s">
        <v>1362</v>
      </c>
      <c r="B19" s="162" t="s">
        <v>1363</v>
      </c>
      <c r="C19" s="163" t="str">
        <f ca="1">IF(G19="已包含在土地取得成本中","0",ROUND(D19*E19/10000,0))</f>
        <v>0</v>
      </c>
      <c r="D19" s="187">
        <f ca="1">D9+D10</f>
        <v>1140.25</v>
      </c>
      <c r="E19" s="163">
        <f>'数据-取费表'!B31</f>
        <v>200</v>
      </c>
      <c r="F19" s="188"/>
      <c r="G19" s="797" t="s">
        <v>1364</v>
      </c>
    </row>
    <row r="20" s="143" customFormat="1" ht="13.5" customHeight="1" spans="1:7">
      <c r="A20" s="161" t="s">
        <v>1365</v>
      </c>
      <c r="B20" s="162" t="s">
        <v>1366</v>
      </c>
      <c r="C20" s="189">
        <f ca="1">ROUND((C5+C19)*F20,0)</f>
        <v>3</v>
      </c>
      <c r="D20" s="189"/>
      <c r="E20" s="189"/>
      <c r="F20" s="190">
        <f>'数据-取费表'!B37</f>
        <v>0.01</v>
      </c>
      <c r="G20" s="194" t="s">
        <v>1367</v>
      </c>
    </row>
    <row r="21" s="143" customFormat="1" ht="13.5" customHeight="1" spans="1:7">
      <c r="A21" s="161" t="s">
        <v>1368</v>
      </c>
      <c r="B21" s="162" t="s">
        <v>1369</v>
      </c>
      <c r="C21" s="192">
        <f>F21</f>
        <v>0.01</v>
      </c>
      <c r="D21" s="193" t="s">
        <v>1370</v>
      </c>
      <c r="E21" s="189"/>
      <c r="F21" s="190">
        <f>'数据-取费表'!B38</f>
        <v>0.01</v>
      </c>
      <c r="G21" s="194" t="s">
        <v>1371</v>
      </c>
    </row>
    <row r="22" s="143" customFormat="1" ht="13.5" customHeight="1" spans="1:7">
      <c r="A22" s="161" t="s">
        <v>1372</v>
      </c>
      <c r="B22" s="162" t="s">
        <v>1373</v>
      </c>
      <c r="C22" s="195">
        <f ca="1">ROUND(SUM(C23:C25),0)</f>
        <v>28</v>
      </c>
      <c r="D22" s="192">
        <f ca="1">C26</f>
        <v>0.0004</v>
      </c>
      <c r="E22" s="193" t="s">
        <v>1370</v>
      </c>
      <c r="F22" s="196">
        <f ca="1">'数据-取费表'!B40</f>
        <v>0.0435</v>
      </c>
      <c r="G22" s="194" t="str">
        <f>IF('数据-取费表'!B22&lt;=1,"单利计息","复利计息")</f>
        <v>复利计息</v>
      </c>
    </row>
    <row r="23" s="143" customFormat="1" ht="13.5" customHeight="1" spans="1:7">
      <c r="A23" s="197" t="s">
        <v>1333</v>
      </c>
      <c r="B23" s="167" t="s">
        <v>1374</v>
      </c>
      <c r="C23" s="198">
        <f ca="1">ROUND(IF('数据-取费表'!B22&lt;=1,C5*F22*'数据-取费表'!B23,C5*(POWER((1+F22),'数据-取费表'!B23)-1)),0)</f>
        <v>28</v>
      </c>
      <c r="D23" s="199"/>
      <c r="E23" s="199"/>
      <c r="F23" s="200"/>
      <c r="G23" s="201" t="s">
        <v>1375</v>
      </c>
    </row>
    <row r="24" s="143" customFormat="1" ht="13.5" customHeight="1" spans="1:7">
      <c r="A24" s="197" t="s">
        <v>1335</v>
      </c>
      <c r="B24" s="167" t="s">
        <v>1376</v>
      </c>
      <c r="C24" s="198">
        <f ca="1">ROUND(IF('数据-取费表'!B22&lt;=1,C19*F22*('数据-取费表'!B19/2+'数据-取费表'!B21),C19*(POWER((1+F22),('数据-取费表'!B19/2+'数据-取费表'!B21))-1)),0)</f>
        <v>0</v>
      </c>
      <c r="D24" s="199"/>
      <c r="E24" s="199"/>
      <c r="F24" s="200"/>
      <c r="G24" s="201" t="s">
        <v>1377</v>
      </c>
    </row>
    <row r="25" s="143" customFormat="1" ht="24" spans="1:7">
      <c r="A25" s="197" t="s">
        <v>1337</v>
      </c>
      <c r="B25" s="167" t="s">
        <v>1378</v>
      </c>
      <c r="C25" s="198">
        <f ca="1">ROUND(IF('数据-取费表'!B22&lt;=1,C20*F22*'数据-取费表'!B23/2,C20*(POWER((1+F22),'数据-取费表'!B23/2)-1)),0)</f>
        <v>0</v>
      </c>
      <c r="D25" s="199"/>
      <c r="E25" s="202"/>
      <c r="F25" s="200"/>
      <c r="G25" s="203" t="s">
        <v>1379</v>
      </c>
    </row>
    <row r="26" s="143" customFormat="1" spans="1:7">
      <c r="A26" s="197" t="s">
        <v>1380</v>
      </c>
      <c r="B26" s="167" t="s">
        <v>1381</v>
      </c>
      <c r="C26" s="199">
        <f ca="1">ROUND(IF('数据-取费表'!B22&lt;=1,F21*F22*'数据-取费表'!B23/2,F21*(POWER((1+F22),'数据-取费表'!B23/2)-1)),4)</f>
        <v>0.0004</v>
      </c>
      <c r="D26" s="199"/>
      <c r="E26" s="202"/>
      <c r="F26" s="200"/>
      <c r="G26" s="204"/>
    </row>
    <row r="27" s="143" customFormat="1" ht="24.75" spans="1:7">
      <c r="A27" s="161" t="s">
        <v>1382</v>
      </c>
      <c r="B27" s="205" t="s">
        <v>1383</v>
      </c>
      <c r="C27" s="206">
        <f ca="1">C28</f>
        <v>25</v>
      </c>
      <c r="D27" s="192">
        <f ca="1">C29</f>
        <v>0.0008</v>
      </c>
      <c r="E27" s="193" t="s">
        <v>1370</v>
      </c>
      <c r="F27" s="207">
        <f ca="1">IF(B1="",'数据-取费表'!Q16,INDIRECT("'数据-取费表'!q"&amp;$G$1))</f>
        <v>0.08</v>
      </c>
      <c r="G27" s="208" t="s">
        <v>1384</v>
      </c>
    </row>
    <row r="28" s="143" customFormat="1" ht="13.5" customHeight="1" spans="1:7">
      <c r="A28" s="197" t="s">
        <v>1333</v>
      </c>
      <c r="B28" s="209" t="s">
        <v>1385</v>
      </c>
      <c r="C28" s="210">
        <f ca="1">ROUND((C5+C19+C20)*F27*'数据-取费表'!B21/'数据-取费表'!B20,0)</f>
        <v>25</v>
      </c>
      <c r="D28" s="192"/>
      <c r="E28" s="193"/>
      <c r="F28" s="207"/>
      <c r="G28" s="208"/>
    </row>
    <row r="29" s="143" customFormat="1" ht="13.5" customHeight="1" spans="1:7">
      <c r="A29" s="197" t="s">
        <v>1335</v>
      </c>
      <c r="B29" s="209" t="s">
        <v>1386</v>
      </c>
      <c r="C29" s="199">
        <f ca="1">ROUND(C21*F27*'数据-取费表'!B21/'数据-取费表'!B20,4)</f>
        <v>0.0008</v>
      </c>
      <c r="D29" s="192"/>
      <c r="E29" s="193"/>
      <c r="F29" s="207"/>
      <c r="G29" s="208"/>
    </row>
    <row r="30" s="143" customFormat="1" ht="13.5" customHeight="1" spans="1:7">
      <c r="A30" s="161" t="s">
        <v>1387</v>
      </c>
      <c r="B30" s="162" t="s">
        <v>1388</v>
      </c>
      <c r="C30" s="192">
        <f>ROUND(F30/(1+'数据-取费表'!C42),4)</f>
        <v>0.0533</v>
      </c>
      <c r="D30" s="193" t="s">
        <v>1370</v>
      </c>
      <c r="E30" s="202"/>
      <c r="F30" s="196">
        <f>'数据-取费表'!B41</f>
        <v>0.056</v>
      </c>
      <c r="G30" s="194" t="s">
        <v>1389</v>
      </c>
    </row>
    <row r="31" ht="16.5" customHeight="1" spans="1:7">
      <c r="A31" s="211">
        <v>1</v>
      </c>
      <c r="B31" s="162" t="s">
        <v>1390</v>
      </c>
      <c r="C31" s="163">
        <f ca="1">ROUND((C5+C19+C20+C22+C27)/(1-C21-D22-D27-C30),0)</f>
        <v>397</v>
      </c>
      <c r="D31" s="212"/>
      <c r="E31" s="163"/>
      <c r="F31" s="213"/>
      <c r="G31" s="194" t="s">
        <v>1391</v>
      </c>
    </row>
    <row r="32" s="142" customFormat="1" ht="15.75" spans="1:7">
      <c r="A32" s="214" t="s">
        <v>1392</v>
      </c>
      <c r="B32" s="215"/>
      <c r="C32" s="215"/>
      <c r="D32" s="215"/>
      <c r="E32" s="215"/>
      <c r="F32" s="215"/>
      <c r="G32" s="216"/>
    </row>
    <row r="33" s="143" customFormat="1" ht="13.5" customHeight="1" spans="1:7">
      <c r="A33" s="161" t="s">
        <v>1329</v>
      </c>
      <c r="B33" s="162" t="s">
        <v>1393</v>
      </c>
      <c r="C33" s="217">
        <f ca="1">SUM(C34:C38)</f>
        <v>380</v>
      </c>
      <c r="D33" s="189"/>
      <c r="E33" s="164"/>
      <c r="F33" s="202"/>
      <c r="G33" s="194"/>
    </row>
    <row r="34" s="145" customFormat="1" ht="13.5" customHeight="1" spans="1:7">
      <c r="A34" s="197" t="s">
        <v>1333</v>
      </c>
      <c r="B34" s="167" t="s">
        <v>1394</v>
      </c>
      <c r="C34" s="172">
        <f ca="1">IF(B1="",IF(F34=100%,'数据-取费表'!M16,'数据-取费表'!O16),IF(F34=100%,INDIRECT("'数据-取费表'!m"&amp;$G$1)+INDIRECT("'数据-取费表'!t"&amp;$G$1),INDIRECT("'数据-取费表'!o"&amp;$G$1)+INDIRECT("'数据-取费表'!aq"&amp;$G$1)))</f>
        <v>342</v>
      </c>
      <c r="D34" s="169"/>
      <c r="E34" s="172"/>
      <c r="F34" s="218">
        <f ca="1">IF('数据-取费表'!B24=0,1,IF(B1="",'数据-取费表'!N16,INDIRECT("'数据-取费表'!n"&amp;$G$1)))</f>
        <v>1</v>
      </c>
      <c r="G34" s="171" t="s">
        <v>1395</v>
      </c>
    </row>
    <row r="35" ht="13.5" customHeight="1" spans="1:7">
      <c r="A35" s="197" t="s">
        <v>1335</v>
      </c>
      <c r="B35" s="167" t="s">
        <v>1396</v>
      </c>
      <c r="C35" s="172">
        <f ca="1">ROUND(C34*F35,0)</f>
        <v>10</v>
      </c>
      <c r="D35" s="172"/>
      <c r="E35" s="172"/>
      <c r="F35" s="219">
        <f>'数据-取费表'!B33</f>
        <v>0.03</v>
      </c>
      <c r="G35" s="171" t="s">
        <v>1397</v>
      </c>
    </row>
    <row r="36" ht="24" spans="1:7">
      <c r="A36" s="197" t="s">
        <v>1337</v>
      </c>
      <c r="B36" s="167" t="s">
        <v>1398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1399</v>
      </c>
    </row>
    <row r="37" s="145" customFormat="1" ht="13.5" customHeight="1" spans="1:7">
      <c r="A37" s="197" t="s">
        <v>1380</v>
      </c>
      <c r="B37" s="167" t="s">
        <v>1400</v>
      </c>
      <c r="C37" s="210">
        <f ca="1">ROUND(E37*D37*F34/10000,0)</f>
        <v>23</v>
      </c>
      <c r="D37" s="169">
        <f ca="1">D19</f>
        <v>1140.25</v>
      </c>
      <c r="E37" s="210">
        <f>'数据-取费表'!B35</f>
        <v>200</v>
      </c>
      <c r="F37" s="219"/>
      <c r="G37" s="221" t="s">
        <v>1401</v>
      </c>
    </row>
    <row r="38" ht="13.5" customHeight="1" spans="1:7">
      <c r="A38" s="197" t="s">
        <v>1402</v>
      </c>
      <c r="B38" s="167" t="s">
        <v>1081</v>
      </c>
      <c r="C38" s="172">
        <f ca="1">ROUND(C34*F38,0)</f>
        <v>5</v>
      </c>
      <c r="D38" s="172"/>
      <c r="E38" s="172"/>
      <c r="F38" s="219">
        <f>'数据-取费表'!B36</f>
        <v>0.015</v>
      </c>
      <c r="G38" s="171" t="s">
        <v>1397</v>
      </c>
    </row>
    <row r="39" s="143" customFormat="1" ht="13.5" customHeight="1" spans="1:7">
      <c r="A39" s="161" t="s">
        <v>1362</v>
      </c>
      <c r="B39" s="162" t="s">
        <v>1366</v>
      </c>
      <c r="C39" s="189">
        <f ca="1">ROUND(C33*F20,0)</f>
        <v>4</v>
      </c>
      <c r="D39" s="189"/>
      <c r="E39" s="189"/>
      <c r="F39" s="800">
        <f t="shared" ref="F39:F41" si="0">F20</f>
        <v>0.01</v>
      </c>
      <c r="G39" s="194" t="s">
        <v>1403</v>
      </c>
    </row>
    <row r="40" s="143" customFormat="1" ht="13.5" customHeight="1" spans="1:7">
      <c r="A40" s="161" t="s">
        <v>1365</v>
      </c>
      <c r="B40" s="162" t="s">
        <v>1369</v>
      </c>
      <c r="C40" s="801">
        <f>F21</f>
        <v>0.01</v>
      </c>
      <c r="D40" s="193" t="s">
        <v>1404</v>
      </c>
      <c r="E40" s="189"/>
      <c r="F40" s="800">
        <f t="shared" si="0"/>
        <v>0.01</v>
      </c>
      <c r="G40" s="194" t="s">
        <v>1405</v>
      </c>
    </row>
    <row r="41" s="143" customFormat="1" ht="13.5" customHeight="1" spans="1:7">
      <c r="A41" s="161" t="s">
        <v>1368</v>
      </c>
      <c r="B41" s="162" t="s">
        <v>1373</v>
      </c>
      <c r="C41" s="189">
        <f ca="1">ROUND(SUM(C42:C43),0)</f>
        <v>17</v>
      </c>
      <c r="D41" s="192">
        <f ca="1">C44</f>
        <v>0.0004</v>
      </c>
      <c r="E41" s="193" t="s">
        <v>1404</v>
      </c>
      <c r="F41" s="802">
        <f ca="1" t="shared" si="0"/>
        <v>0.0435</v>
      </c>
      <c r="G41" s="194" t="str">
        <f>IF('数据-取费表'!B22&lt;=1,"单利计息","复利计息")</f>
        <v>复利计息</v>
      </c>
    </row>
    <row r="42" ht="13.5" customHeight="1" spans="1:7">
      <c r="A42" s="197" t="s">
        <v>1333</v>
      </c>
      <c r="B42" s="167" t="s">
        <v>1374</v>
      </c>
      <c r="C42" s="199">
        <f ca="1">ROUND(IF('数据-取费表'!B22&lt;=1,C33*F22*'数据-取费表'!B21/2,C33*(POWER((1+F22),'数据-取费表'!B21/2)-1)),0)</f>
        <v>17</v>
      </c>
      <c r="D42" s="199"/>
      <c r="E42" s="199"/>
      <c r="F42" s="200"/>
      <c r="G42" s="223" t="s">
        <v>1406</v>
      </c>
    </row>
    <row r="43" ht="13.5" customHeight="1" spans="1:7">
      <c r="A43" s="197" t="s">
        <v>1335</v>
      </c>
      <c r="B43" s="167" t="s">
        <v>1376</v>
      </c>
      <c r="C43" s="199">
        <f ca="1">ROUND(IF('数据-取费表'!B22&lt;=1,C39*F22*'数据-取费表'!B21/2,C39*(POWER((1+F22),'数据-取费表'!B21/2)-1)),0)</f>
        <v>0</v>
      </c>
      <c r="D43" s="199"/>
      <c r="E43" s="199"/>
      <c r="F43" s="200"/>
      <c r="G43" s="224"/>
    </row>
    <row r="44" ht="13.5" customHeight="1" spans="1:7">
      <c r="A44" s="197" t="s">
        <v>1337</v>
      </c>
      <c r="B44" s="167" t="s">
        <v>1378</v>
      </c>
      <c r="C44" s="199">
        <f ca="1">ROUND(IF('数据-取费表'!B22&lt;=1,C40*F22*'数据-取费表'!B21/2,C40*(POWER((1+F22),'数据-取费表'!B21/2)-1)),4)</f>
        <v>0.0004</v>
      </c>
      <c r="D44" s="199"/>
      <c r="E44" s="199"/>
      <c r="F44" s="200"/>
      <c r="G44" s="225"/>
    </row>
    <row r="45" s="143" customFormat="1" ht="13.5" customHeight="1" spans="1:7">
      <c r="A45" s="161" t="s">
        <v>1372</v>
      </c>
      <c r="B45" s="205" t="s">
        <v>1383</v>
      </c>
      <c r="C45" s="206">
        <f ca="1">C46</f>
        <v>31</v>
      </c>
      <c r="D45" s="192">
        <f ca="1">C47</f>
        <v>0.0008</v>
      </c>
      <c r="E45" s="193" t="s">
        <v>1404</v>
      </c>
      <c r="F45" s="803">
        <f ca="1">F27</f>
        <v>0.08</v>
      </c>
      <c r="G45" s="208" t="s">
        <v>1407</v>
      </c>
    </row>
    <row r="46" s="143" customFormat="1" ht="13.5" customHeight="1" spans="1:7">
      <c r="A46" s="197" t="s">
        <v>1333</v>
      </c>
      <c r="B46" s="209" t="s">
        <v>1408</v>
      </c>
      <c r="C46" s="210">
        <f ca="1">ROUND((C33+C39)*F27,0)</f>
        <v>31</v>
      </c>
      <c r="D46" s="226"/>
      <c r="E46" s="193"/>
      <c r="F46" s="207"/>
      <c r="G46" s="208"/>
    </row>
    <row r="47" s="143" customFormat="1" ht="13.5" customHeight="1" spans="1:7">
      <c r="A47" s="197" t="s">
        <v>1335</v>
      </c>
      <c r="B47" s="209" t="s">
        <v>1409</v>
      </c>
      <c r="C47" s="199">
        <f ca="1">ROUND(C40*F27,4)</f>
        <v>0.0008</v>
      </c>
      <c r="D47" s="226"/>
      <c r="E47" s="193"/>
      <c r="F47" s="207"/>
      <c r="G47" s="208"/>
    </row>
    <row r="48" s="143" customFormat="1" ht="13.5" customHeight="1" spans="1:7">
      <c r="A48" s="161" t="s">
        <v>1382</v>
      </c>
      <c r="B48" s="162" t="s">
        <v>1388</v>
      </c>
      <c r="C48" s="801">
        <f>ROUND(F30/(1+'数据-取费表'!C42),4)</f>
        <v>0.0533</v>
      </c>
      <c r="D48" s="193" t="s">
        <v>1404</v>
      </c>
      <c r="E48" s="189"/>
      <c r="F48" s="802">
        <f>F30</f>
        <v>0.056</v>
      </c>
      <c r="G48" s="194" t="s">
        <v>1410</v>
      </c>
    </row>
    <row r="49" ht="16.5" customHeight="1" spans="1:7">
      <c r="A49" s="161" t="s">
        <v>1387</v>
      </c>
      <c r="B49" s="162" t="s">
        <v>1411</v>
      </c>
      <c r="C49" s="189">
        <f ca="1">ROUND((C33+C39+C41+C45)/(1-C40-D41-D45-C48),0)</f>
        <v>462</v>
      </c>
      <c r="D49" s="189"/>
      <c r="E49" s="189"/>
      <c r="F49" s="227"/>
      <c r="G49" s="194" t="s">
        <v>1412</v>
      </c>
    </row>
    <row r="50" s="145" customFormat="1" ht="24" spans="1:7">
      <c r="A50" s="161" t="s">
        <v>1413</v>
      </c>
      <c r="B50" s="162" t="s">
        <v>1414</v>
      </c>
      <c r="C50" s="189"/>
      <c r="D50" s="189"/>
      <c r="E50" s="189"/>
      <c r="F50" s="227">
        <f>IF('数据-取费表'!B24=0,'数据-取费表'!N16,1)</f>
        <v>0.95</v>
      </c>
      <c r="G50" s="208" t="s">
        <v>1415</v>
      </c>
    </row>
    <row r="51" ht="16.5" customHeight="1" spans="1:7">
      <c r="A51" s="161" t="s">
        <v>1416</v>
      </c>
      <c r="B51" s="162" t="s">
        <v>1417</v>
      </c>
      <c r="C51" s="189">
        <f ca="1">ROUND(C49*F50,0)</f>
        <v>439</v>
      </c>
      <c r="D51" s="189"/>
      <c r="E51" s="189"/>
      <c r="F51" s="227"/>
      <c r="G51" s="194" t="s">
        <v>1418</v>
      </c>
    </row>
    <row r="52" s="142" customFormat="1" ht="16.5" spans="1:7">
      <c r="A52" s="228" t="s">
        <v>1419</v>
      </c>
      <c r="B52" s="229"/>
      <c r="C52" s="230">
        <f ca="1">C31+C51</f>
        <v>836</v>
      </c>
      <c r="D52" s="229"/>
      <c r="E52" s="229"/>
      <c r="F52" s="229"/>
      <c r="G52" s="231"/>
    </row>
    <row r="55" ht="15" spans="2:3">
      <c r="B55" s="232" t="s">
        <v>1420</v>
      </c>
      <c r="C55" s="233"/>
    </row>
    <row r="56" spans="2:3">
      <c r="B56" s="234" t="s">
        <v>1421</v>
      </c>
      <c r="C56" s="236">
        <f ca="1">1-C57</f>
        <v>0.475</v>
      </c>
    </row>
    <row r="57" spans="2:3">
      <c r="B57" s="234" t="s">
        <v>1422</v>
      </c>
      <c r="C57" s="235">
        <f ca="1">ROUND(C51/C52,3)</f>
        <v>0.525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1326</v>
      </c>
      <c r="B1" s="789" t="s">
        <v>460</v>
      </c>
      <c r="C1" s="790" t="s">
        <v>2130</v>
      </c>
      <c r="D1" s="151"/>
      <c r="E1" s="151"/>
      <c r="F1" s="151"/>
      <c r="G1" s="791">
        <f>MATCH(B1,'数据-取费表'!A6:A16,0)+5</f>
        <v>7</v>
      </c>
      <c r="H1" s="792" t="str">
        <f>IF(ISERROR(FIND("住宅",B1)),"非住宅","住宅")</f>
        <v>非住宅</v>
      </c>
    </row>
    <row r="2" s="141" customFormat="1" ht="18" customHeight="1" spans="1:7">
      <c r="A2" s="153" t="s">
        <v>1144</v>
      </c>
      <c r="B2" s="154">
        <f ca="1">ROUND(IF(D2="——",C52/10000,C52/10000-E2),0)</f>
        <v>835</v>
      </c>
      <c r="C2" s="152" t="s">
        <v>1145</v>
      </c>
      <c r="D2" s="793" t="s">
        <v>124</v>
      </c>
      <c r="E2" s="794" t="e">
        <f ca="1">SUMIF(INDIRECT("'"&amp;G2&amp;"'"&amp;"!A:A"),"承租人权益价值",INDIRECT("'"&amp;G2&amp;"'"&amp;"!c:c"))</f>
        <v>#REF!</v>
      </c>
      <c r="F2" s="795" t="s">
        <v>1145</v>
      </c>
      <c r="G2" s="796"/>
    </row>
    <row r="3" s="141" customFormat="1" ht="18" customHeight="1" spans="1:7">
      <c r="A3" s="156" t="s">
        <v>1146</v>
      </c>
      <c r="B3" s="157">
        <f ca="1">ROUND(B2*10000/(IF(B1="",'数据-汇总表'!E3,INDIRECT("'数据-取费表'!k"&amp;$G$1))),0)</f>
        <v>7323</v>
      </c>
      <c r="C3" s="152" t="s">
        <v>1327</v>
      </c>
      <c r="D3" s="152"/>
      <c r="E3" s="152"/>
      <c r="F3" s="152"/>
      <c r="G3" s="152"/>
    </row>
    <row r="4" s="142" customFormat="1" ht="15.75" spans="1:7">
      <c r="A4" s="158" t="s">
        <v>1328</v>
      </c>
      <c r="B4" s="159"/>
      <c r="C4" s="159"/>
      <c r="D4" s="159"/>
      <c r="E4" s="159"/>
      <c r="F4" s="159"/>
      <c r="G4" s="160"/>
    </row>
    <row r="5" s="143" customFormat="1" ht="13.5" customHeight="1" spans="1:7">
      <c r="A5" s="161" t="s">
        <v>1329</v>
      </c>
      <c r="B5" s="162" t="s">
        <v>1330</v>
      </c>
      <c r="C5" s="163">
        <f ca="1">C6+C7+C8</f>
        <v>3143293.25</v>
      </c>
      <c r="D5" s="163" t="s">
        <v>1331</v>
      </c>
      <c r="E5" s="164" t="s">
        <v>1332</v>
      </c>
      <c r="F5" s="164" t="s">
        <v>1045</v>
      </c>
      <c r="G5" s="165"/>
    </row>
    <row r="6" s="143" customFormat="1" ht="13.5" customHeight="1" spans="1:7">
      <c r="A6" s="166" t="s">
        <v>1333</v>
      </c>
      <c r="B6" s="167" t="s">
        <v>1334</v>
      </c>
      <c r="C6" s="168">
        <f>'基准地价修正--仓储'!C38*'基准地价修正--仓储'!D38</f>
        <v>2828960.25</v>
      </c>
      <c r="D6" s="169"/>
      <c r="E6" s="170"/>
      <c r="F6" s="170"/>
      <c r="G6" s="171"/>
    </row>
    <row r="7" s="143" customFormat="1" ht="13.5" customHeight="1" spans="1:7">
      <c r="A7" s="166" t="s">
        <v>1335</v>
      </c>
      <c r="B7" s="167" t="s">
        <v>1336</v>
      </c>
      <c r="C7" s="172">
        <f>ROUND(C6*F7,0)</f>
        <v>86283</v>
      </c>
      <c r="D7" s="172"/>
      <c r="E7" s="170"/>
      <c r="F7" s="173">
        <f>IF(项目基本情况!B8="出让",0,'数据-取费表'!B48+'数据-取费表'!B49)</f>
        <v>0.0305</v>
      </c>
      <c r="G7" s="171"/>
    </row>
    <row r="8" s="144" customFormat="1" spans="1:7">
      <c r="A8" s="166" t="s">
        <v>1337</v>
      </c>
      <c r="B8" s="167" t="s">
        <v>1338</v>
      </c>
      <c r="C8" s="172">
        <f ca="1">IF(G8="已包含在土地购买价格中",0,C9+C10)</f>
        <v>228050</v>
      </c>
      <c r="D8" s="174"/>
      <c r="E8" s="172"/>
      <c r="F8" s="173"/>
      <c r="G8" s="797" t="s">
        <v>1339</v>
      </c>
    </row>
    <row r="9" s="143" customFormat="1" ht="13.5" customHeight="1" spans="1:7">
      <c r="A9" s="176" t="s">
        <v>1340</v>
      </c>
      <c r="B9" s="177" t="s">
        <v>1341</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1344</v>
      </c>
      <c r="B10" s="177" t="s">
        <v>1345</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1346</v>
      </c>
      <c r="B11" s="167" t="s">
        <v>1347</v>
      </c>
      <c r="C11" s="163"/>
      <c r="D11" s="182"/>
      <c r="E11" s="170"/>
      <c r="F11" s="170"/>
      <c r="G11" s="171"/>
    </row>
    <row r="12" s="143" customFormat="1" ht="13.5" hidden="1" customHeight="1" spans="1:7">
      <c r="A12" s="181" t="s">
        <v>1348</v>
      </c>
      <c r="B12" s="167" t="s">
        <v>1081</v>
      </c>
      <c r="C12" s="163">
        <v>0</v>
      </c>
      <c r="D12" s="182"/>
      <c r="E12" s="183"/>
      <c r="F12" s="173">
        <v>0.0305</v>
      </c>
      <c r="G12" s="171"/>
    </row>
    <row r="13" s="143" customFormat="1" ht="13.5" hidden="1" customHeight="1" spans="1:7">
      <c r="A13" s="181" t="s">
        <v>1349</v>
      </c>
      <c r="B13" s="167" t="s">
        <v>1350</v>
      </c>
      <c r="C13" s="163"/>
      <c r="D13" s="182"/>
      <c r="E13" s="170"/>
      <c r="F13" s="170"/>
      <c r="G13" s="171"/>
    </row>
    <row r="14" s="143" customFormat="1" ht="13.5" hidden="1" customHeight="1" spans="1:7">
      <c r="A14" s="181" t="s">
        <v>1351</v>
      </c>
      <c r="B14" s="167" t="s">
        <v>1338</v>
      </c>
      <c r="C14" s="163"/>
      <c r="D14" s="182"/>
      <c r="E14" s="170"/>
      <c r="F14" s="170"/>
      <c r="G14" s="171" t="s">
        <v>1352</v>
      </c>
    </row>
    <row r="15" s="143" customFormat="1" ht="13.5" hidden="1" customHeight="1" spans="1:7">
      <c r="A15" s="181" t="s">
        <v>1353</v>
      </c>
      <c r="B15" s="167" t="s">
        <v>1354</v>
      </c>
      <c r="C15" s="172"/>
      <c r="D15" s="182"/>
      <c r="E15" s="170"/>
      <c r="F15" s="170"/>
      <c r="G15" s="171" t="s">
        <v>1355</v>
      </c>
    </row>
    <row r="16" s="143" customFormat="1" ht="13.5" hidden="1" customHeight="1" spans="1:7">
      <c r="A16" s="181" t="s">
        <v>1356</v>
      </c>
      <c r="B16" s="167" t="s">
        <v>1338</v>
      </c>
      <c r="C16" s="172"/>
      <c r="D16" s="182"/>
      <c r="E16" s="170"/>
      <c r="F16" s="170"/>
      <c r="G16" s="171"/>
    </row>
    <row r="17" s="143" customFormat="1" ht="13.5" hidden="1" customHeight="1" spans="1:7">
      <c r="A17" s="181" t="s">
        <v>1357</v>
      </c>
      <c r="B17" s="167" t="s">
        <v>1358</v>
      </c>
      <c r="C17" s="184"/>
      <c r="D17" s="185"/>
      <c r="E17" s="184"/>
      <c r="F17" s="184"/>
      <c r="G17" s="171" t="s">
        <v>1355</v>
      </c>
    </row>
    <row r="18" s="143" customFormat="1" ht="13.5" hidden="1" customHeight="1" spans="1:7">
      <c r="A18" s="181" t="s">
        <v>1359</v>
      </c>
      <c r="B18" s="167" t="s">
        <v>1360</v>
      </c>
      <c r="C18" s="172">
        <v>0</v>
      </c>
      <c r="D18" s="182"/>
      <c r="E18" s="170"/>
      <c r="F18" s="173">
        <v>0.0305</v>
      </c>
      <c r="G18" s="171" t="s">
        <v>1361</v>
      </c>
    </row>
    <row r="19" s="144" customFormat="1" ht="13.5" customHeight="1" spans="1:7">
      <c r="A19" s="161" t="s">
        <v>1362</v>
      </c>
      <c r="B19" s="162" t="s">
        <v>1363</v>
      </c>
      <c r="C19" s="163" t="str">
        <f ca="1">IF(G19="已包含在土地取得成本中","0",ROUND(D19*E19,0))</f>
        <v>0</v>
      </c>
      <c r="D19" s="187">
        <f ca="1">D9+D10</f>
        <v>1140.25</v>
      </c>
      <c r="E19" s="163">
        <f>'数据-取费表'!B31</f>
        <v>200</v>
      </c>
      <c r="F19" s="188"/>
      <c r="G19" s="797" t="s">
        <v>1364</v>
      </c>
    </row>
    <row r="20" s="143" customFormat="1" ht="13.5" customHeight="1" spans="1:7">
      <c r="A20" s="161" t="s">
        <v>1365</v>
      </c>
      <c r="B20" s="162" t="s">
        <v>1366</v>
      </c>
      <c r="C20" s="189">
        <f ca="1">ROUND((C5+C19)*F20,0)</f>
        <v>31433</v>
      </c>
      <c r="D20" s="189"/>
      <c r="E20" s="189"/>
      <c r="F20" s="190">
        <f>'数据-取费表'!B37</f>
        <v>0.01</v>
      </c>
      <c r="G20" s="194" t="s">
        <v>1367</v>
      </c>
    </row>
    <row r="21" s="143" customFormat="1" ht="13.5" customHeight="1" spans="1:7">
      <c r="A21" s="161" t="s">
        <v>1368</v>
      </c>
      <c r="B21" s="162" t="s">
        <v>1369</v>
      </c>
      <c r="C21" s="192">
        <f>F21</f>
        <v>0.01</v>
      </c>
      <c r="D21" s="193" t="s">
        <v>1370</v>
      </c>
      <c r="E21" s="189"/>
      <c r="F21" s="190">
        <f>'数据-取费表'!B38</f>
        <v>0.01</v>
      </c>
      <c r="G21" s="194" t="s">
        <v>1371</v>
      </c>
    </row>
    <row r="22" s="143" customFormat="1" ht="13.5" customHeight="1" spans="1:7">
      <c r="A22" s="161" t="s">
        <v>1372</v>
      </c>
      <c r="B22" s="162" t="s">
        <v>1373</v>
      </c>
      <c r="C22" s="798">
        <f ca="1">ROUND(SUM(C23:C25),0)</f>
        <v>280781</v>
      </c>
      <c r="D22" s="192">
        <f ca="1">C26</f>
        <v>0.0004</v>
      </c>
      <c r="E22" s="193" t="s">
        <v>1370</v>
      </c>
      <c r="F22" s="196">
        <f ca="1">'数据-取费表'!B40</f>
        <v>0.0435</v>
      </c>
      <c r="G22" s="194" t="str">
        <f>IF('数据-取费表'!B22&lt;=1,"单利计息","复利计息")</f>
        <v>复利计息</v>
      </c>
    </row>
    <row r="23" s="143" customFormat="1" ht="13.5" customHeight="1" spans="1:7">
      <c r="A23" s="197" t="s">
        <v>1333</v>
      </c>
      <c r="B23" s="167" t="s">
        <v>1374</v>
      </c>
      <c r="C23" s="799">
        <f ca="1">ROUND(IF('数据-取费表'!B22&lt;=1,C5*F22*'数据-取费表'!B22,C5*(POWER((1+F22),'数据-取费表'!B22)-1)),0)</f>
        <v>279414</v>
      </c>
      <c r="D23" s="199"/>
      <c r="E23" s="199"/>
      <c r="F23" s="200"/>
      <c r="G23" s="201" t="s">
        <v>1375</v>
      </c>
    </row>
    <row r="24" s="143" customFormat="1" ht="13.5" customHeight="1" spans="1:7">
      <c r="A24" s="197" t="s">
        <v>1335</v>
      </c>
      <c r="B24" s="167" t="s">
        <v>1376</v>
      </c>
      <c r="C24" s="799">
        <f ca="1">ROUND(IF('数据-取费表'!B22&lt;=1,C19*F22*('数据-取费表'!B19/2+'数据-取费表'!B20),C19*(POWER((1+F22),('数据-取费表'!B19/2+'数据-取费表'!B20))-1)),0)</f>
        <v>0</v>
      </c>
      <c r="D24" s="199"/>
      <c r="E24" s="199"/>
      <c r="F24" s="200"/>
      <c r="G24" s="201" t="s">
        <v>1377</v>
      </c>
    </row>
    <row r="25" s="143" customFormat="1" ht="24" spans="1:7">
      <c r="A25" s="197" t="s">
        <v>1337</v>
      </c>
      <c r="B25" s="167" t="s">
        <v>1378</v>
      </c>
      <c r="C25" s="799">
        <f ca="1">ROUND(IF('数据-取费表'!B22&lt;=1,C20*F22*'数据-取费表'!B22/2,C20*(POWER((1+F22),'数据-取费表'!B22/2)-1)),0)</f>
        <v>1367</v>
      </c>
      <c r="D25" s="199"/>
      <c r="E25" s="202"/>
      <c r="F25" s="200"/>
      <c r="G25" s="203" t="s">
        <v>1379</v>
      </c>
    </row>
    <row r="26" s="143" customFormat="1" spans="1:7">
      <c r="A26" s="197" t="s">
        <v>1380</v>
      </c>
      <c r="B26" s="167" t="s">
        <v>1381</v>
      </c>
      <c r="C26" s="199">
        <f ca="1">ROUND(IF('数据-取费表'!B22&lt;=1,F21*F22*'数据-取费表'!B22/2,F21*(POWER((1+F22),'数据-取费表'!B22/2)-1)),4)</f>
        <v>0.0004</v>
      </c>
      <c r="D26" s="199"/>
      <c r="E26" s="202"/>
      <c r="F26" s="200"/>
      <c r="G26" s="204"/>
    </row>
    <row r="27" s="143" customFormat="1" ht="24.75" spans="1:7">
      <c r="A27" s="161" t="s">
        <v>1382</v>
      </c>
      <c r="B27" s="205" t="s">
        <v>1383</v>
      </c>
      <c r="C27" s="206">
        <f ca="1">C28</f>
        <v>253978</v>
      </c>
      <c r="D27" s="192">
        <f ca="1">C29</f>
        <v>0.0008</v>
      </c>
      <c r="E27" s="193" t="s">
        <v>1370</v>
      </c>
      <c r="F27" s="207">
        <f ca="1">IF(B1="",'数据-取费表'!Q16,INDIRECT("'数据-取费表'!q"&amp;$G$1))</f>
        <v>0.08</v>
      </c>
      <c r="G27" s="208" t="s">
        <v>1384</v>
      </c>
    </row>
    <row r="28" s="143" customFormat="1" ht="13.5" customHeight="1" spans="1:7">
      <c r="A28" s="197" t="s">
        <v>1333</v>
      </c>
      <c r="B28" s="209" t="s">
        <v>1385</v>
      </c>
      <c r="C28" s="210">
        <f ca="1">ROUND((C5+C19+C20)*F27,0)</f>
        <v>253978</v>
      </c>
      <c r="D28" s="192"/>
      <c r="E28" s="193"/>
      <c r="F28" s="207"/>
      <c r="G28" s="208"/>
    </row>
    <row r="29" s="143" customFormat="1" ht="13.5" customHeight="1" spans="1:7">
      <c r="A29" s="197" t="s">
        <v>1335</v>
      </c>
      <c r="B29" s="209" t="s">
        <v>1386</v>
      </c>
      <c r="C29" s="199">
        <f ca="1">ROUND(C21*F27,4)</f>
        <v>0.0008</v>
      </c>
      <c r="D29" s="192"/>
      <c r="E29" s="193"/>
      <c r="F29" s="207"/>
      <c r="G29" s="208"/>
    </row>
    <row r="30" s="143" customFormat="1" ht="13.5" customHeight="1" spans="1:7">
      <c r="A30" s="161" t="s">
        <v>1387</v>
      </c>
      <c r="B30" s="162" t="s">
        <v>1388</v>
      </c>
      <c r="C30" s="192">
        <f>ROUND(F30/(1+'数据-取费表'!C42),4)</f>
        <v>0.0533</v>
      </c>
      <c r="D30" s="193" t="s">
        <v>1370</v>
      </c>
      <c r="E30" s="202"/>
      <c r="F30" s="196">
        <f>'数据-取费表'!B41</f>
        <v>0.056</v>
      </c>
      <c r="G30" s="194" t="s">
        <v>1389</v>
      </c>
    </row>
    <row r="31" ht="16.5" customHeight="1" spans="1:7">
      <c r="A31" s="211">
        <v>1</v>
      </c>
      <c r="B31" s="162" t="s">
        <v>1390</v>
      </c>
      <c r="C31" s="163">
        <f ca="1">ROUND((C5+C19+C20+C22+C27)/(1-C21-D22-D27-C30),0)</f>
        <v>3965243</v>
      </c>
      <c r="D31" s="212"/>
      <c r="E31" s="163"/>
      <c r="F31" s="213"/>
      <c r="G31" s="194" t="s">
        <v>1391</v>
      </c>
    </row>
    <row r="32" s="142" customFormat="1" ht="15.75" spans="1:7">
      <c r="A32" s="214" t="s">
        <v>2131</v>
      </c>
      <c r="B32" s="215"/>
      <c r="C32" s="215"/>
      <c r="D32" s="215"/>
      <c r="E32" s="215"/>
      <c r="F32" s="215"/>
      <c r="G32" s="216"/>
    </row>
    <row r="33" s="143" customFormat="1" ht="13.5" customHeight="1" spans="1:7">
      <c r="A33" s="161" t="s">
        <v>1329</v>
      </c>
      <c r="B33" s="162" t="s">
        <v>2132</v>
      </c>
      <c r="C33" s="217">
        <f ca="1">SUM(C34:C38)</f>
        <v>3802734</v>
      </c>
      <c r="D33" s="189"/>
      <c r="E33" s="164"/>
      <c r="F33" s="202"/>
      <c r="G33" s="194"/>
    </row>
    <row r="34" s="145" customFormat="1" ht="13.5" customHeight="1" spans="1:7">
      <c r="A34" s="197" t="s">
        <v>1333</v>
      </c>
      <c r="B34" s="167" t="s">
        <v>1394</v>
      </c>
      <c r="C34" s="172">
        <f ca="1">ROUND(IF(B1="",SUMPRODUCT('数据-取费表'!K6:K14,'数据-取费表'!L6:L14),INDIRECT("'数据-取费表'!l"&amp;$G$1)*INDIRECT("'数据-取费表'!k"&amp;$G$1)+'数据-取费表'!L14*INDIRECT("'数据-取费表'!S"&amp;$G$1)),0)</f>
        <v>3420750</v>
      </c>
      <c r="D34" s="169"/>
      <c r="E34" s="172"/>
      <c r="F34" s="218"/>
      <c r="G34" s="171"/>
    </row>
    <row r="35" ht="13.5" customHeight="1" spans="1:7">
      <c r="A35" s="197" t="s">
        <v>1335</v>
      </c>
      <c r="B35" s="167" t="s">
        <v>1396</v>
      </c>
      <c r="C35" s="172">
        <f ca="1">ROUND(C34*F35,0)</f>
        <v>102623</v>
      </c>
      <c r="D35" s="172"/>
      <c r="E35" s="172"/>
      <c r="F35" s="219">
        <f>'数据-取费表'!B33</f>
        <v>0.03</v>
      </c>
      <c r="G35" s="171" t="s">
        <v>1397</v>
      </c>
    </row>
    <row r="36" ht="24" spans="1:7">
      <c r="A36" s="197" t="s">
        <v>1337</v>
      </c>
      <c r="B36" s="167" t="s">
        <v>1398</v>
      </c>
      <c r="C36" s="172">
        <f ca="1">ROUND(IF(B1="",SUM('数据-取费表'!AP6:AP13)*F36,IF(INDIRECT("'数据-取费表'!c"&amp;$G$1)="住宅",INDIRECT("'数据-取费表'!k"&amp;$G$1)*INDIRECT("'数据-取费表'!l"&amp;$G$1)*F36,0)),0)</f>
        <v>0</v>
      </c>
      <c r="D36" s="172"/>
      <c r="E36" s="172"/>
      <c r="F36" s="219">
        <f>'数据-取费表'!B34</f>
        <v>0</v>
      </c>
      <c r="G36" s="220" t="s">
        <v>1399</v>
      </c>
    </row>
    <row r="37" s="145" customFormat="1" ht="13.5" customHeight="1" spans="1:7">
      <c r="A37" s="197" t="s">
        <v>1380</v>
      </c>
      <c r="B37" s="167" t="s">
        <v>1400</v>
      </c>
      <c r="C37" s="210">
        <f ca="1">ROUND(E37*D37,0)</f>
        <v>228050</v>
      </c>
      <c r="D37" s="169">
        <f ca="1">D19</f>
        <v>1140.25</v>
      </c>
      <c r="E37" s="210">
        <f>'数据-取费表'!B35</f>
        <v>200</v>
      </c>
      <c r="F37" s="219"/>
      <c r="G37" s="221"/>
    </row>
    <row r="38" ht="13.5" customHeight="1" spans="1:7">
      <c r="A38" s="197" t="s">
        <v>1402</v>
      </c>
      <c r="B38" s="167" t="s">
        <v>1081</v>
      </c>
      <c r="C38" s="172">
        <f ca="1">ROUND(C34*F38,0)</f>
        <v>51311</v>
      </c>
      <c r="D38" s="172"/>
      <c r="E38" s="172"/>
      <c r="F38" s="219">
        <f>'数据-取费表'!B36</f>
        <v>0.015</v>
      </c>
      <c r="G38" s="171" t="s">
        <v>1397</v>
      </c>
    </row>
    <row r="39" s="143" customFormat="1" ht="13.5" customHeight="1" spans="1:7">
      <c r="A39" s="161" t="s">
        <v>1362</v>
      </c>
      <c r="B39" s="162" t="s">
        <v>1366</v>
      </c>
      <c r="C39" s="189">
        <f ca="1">ROUND(C33*F20,0)</f>
        <v>38027</v>
      </c>
      <c r="D39" s="189"/>
      <c r="E39" s="189"/>
      <c r="F39" s="800">
        <f>F20</f>
        <v>0.01</v>
      </c>
      <c r="G39" s="194" t="s">
        <v>1403</v>
      </c>
    </row>
    <row r="40" s="143" customFormat="1" ht="13.5" customHeight="1" spans="1:7">
      <c r="A40" s="161" t="s">
        <v>1365</v>
      </c>
      <c r="B40" s="162" t="s">
        <v>1369</v>
      </c>
      <c r="C40" s="801">
        <f>F21</f>
        <v>0.01</v>
      </c>
      <c r="D40" s="193" t="s">
        <v>1404</v>
      </c>
      <c r="E40" s="189"/>
      <c r="F40" s="800">
        <f>F21</f>
        <v>0.01</v>
      </c>
      <c r="G40" s="194" t="s">
        <v>1405</v>
      </c>
    </row>
    <row r="41" s="143" customFormat="1" ht="13.5" customHeight="1" spans="1:7">
      <c r="A41" s="161" t="s">
        <v>1368</v>
      </c>
      <c r="B41" s="162" t="s">
        <v>1373</v>
      </c>
      <c r="C41" s="189">
        <f ca="1">ROUND(SUM(C42:C43),0)</f>
        <v>167073</v>
      </c>
      <c r="D41" s="192">
        <f ca="1">C44</f>
        <v>0.0004</v>
      </c>
      <c r="E41" s="193" t="s">
        <v>1404</v>
      </c>
      <c r="F41" s="802">
        <f ca="1">F22</f>
        <v>0.0435</v>
      </c>
      <c r="G41" s="194" t="str">
        <f>IF('数据-取费表'!B22&lt;=1,"单利计息","复利计息")</f>
        <v>复利计息</v>
      </c>
    </row>
    <row r="42" ht="13.5" customHeight="1" spans="1:7">
      <c r="A42" s="197" t="s">
        <v>1333</v>
      </c>
      <c r="B42" s="167" t="s">
        <v>1374</v>
      </c>
      <c r="C42" s="199">
        <f ca="1">ROUND(IF('数据-取费表'!B22&lt;=1,C33*F22*'数据-取费表'!B20/2,C33*(POWER((1+F22),'数据-取费表'!B20/2)-1)),0)</f>
        <v>165419</v>
      </c>
      <c r="D42" s="199"/>
      <c r="E42" s="199"/>
      <c r="F42" s="200"/>
      <c r="G42" s="223" t="s">
        <v>2133</v>
      </c>
    </row>
    <row r="43" ht="13.5" customHeight="1" spans="1:7">
      <c r="A43" s="197" t="s">
        <v>1335</v>
      </c>
      <c r="B43" s="167" t="s">
        <v>1376</v>
      </c>
      <c r="C43" s="199">
        <f ca="1">ROUND(IF('数据-取费表'!B22&lt;=1,C39*F22*'数据-取费表'!B20/2,C39*(POWER((1+F22),'数据-取费表'!B20/2)-1)),0)</f>
        <v>1654</v>
      </c>
      <c r="D43" s="199"/>
      <c r="E43" s="199"/>
      <c r="F43" s="200"/>
      <c r="G43" s="224"/>
    </row>
    <row r="44" ht="13.5" customHeight="1" spans="1:7">
      <c r="A44" s="197" t="s">
        <v>1337</v>
      </c>
      <c r="B44" s="167" t="s">
        <v>1378</v>
      </c>
      <c r="C44" s="199">
        <f ca="1">ROUND(IF('数据-取费表'!B22&lt;=1,C40*F22*'数据-取费表'!B20/2,C40*(POWER((1+F22),'数据-取费表'!B20/2)-1)),4)</f>
        <v>0.0004</v>
      </c>
      <c r="D44" s="199"/>
      <c r="E44" s="199"/>
      <c r="F44" s="200"/>
      <c r="G44" s="225"/>
    </row>
    <row r="45" s="143" customFormat="1" ht="13.5" customHeight="1" spans="1:7">
      <c r="A45" s="161" t="s">
        <v>1372</v>
      </c>
      <c r="B45" s="205" t="s">
        <v>1383</v>
      </c>
      <c r="C45" s="206">
        <f ca="1">C46</f>
        <v>307261</v>
      </c>
      <c r="D45" s="192">
        <f ca="1">C47</f>
        <v>0.0008</v>
      </c>
      <c r="E45" s="193" t="s">
        <v>1404</v>
      </c>
      <c r="F45" s="803">
        <f ca="1">F27</f>
        <v>0.08</v>
      </c>
      <c r="G45" s="208" t="s">
        <v>1407</v>
      </c>
    </row>
    <row r="46" s="143" customFormat="1" ht="13.5" customHeight="1" spans="1:7">
      <c r="A46" s="197" t="s">
        <v>1333</v>
      </c>
      <c r="B46" s="209" t="s">
        <v>1408</v>
      </c>
      <c r="C46" s="210">
        <f ca="1">ROUND((C33+C39)*F27,0)</f>
        <v>307261</v>
      </c>
      <c r="D46" s="226"/>
      <c r="E46" s="193"/>
      <c r="F46" s="207"/>
      <c r="G46" s="208"/>
    </row>
    <row r="47" s="143" customFormat="1" ht="13.5" customHeight="1" spans="1:7">
      <c r="A47" s="197" t="s">
        <v>1335</v>
      </c>
      <c r="B47" s="209" t="s">
        <v>1409</v>
      </c>
      <c r="C47" s="199">
        <f ca="1">ROUND(C40*F27,4)</f>
        <v>0.0008</v>
      </c>
      <c r="D47" s="226"/>
      <c r="E47" s="193"/>
      <c r="F47" s="207"/>
      <c r="G47" s="208"/>
    </row>
    <row r="48" s="143" customFormat="1" ht="13.5" customHeight="1" spans="1:7">
      <c r="A48" s="161" t="s">
        <v>1382</v>
      </c>
      <c r="B48" s="162" t="s">
        <v>1388</v>
      </c>
      <c r="C48" s="222">
        <f>ROUND(F30/(1+'数据-取费表'!C42),4)</f>
        <v>0.0533</v>
      </c>
      <c r="D48" s="193" t="s">
        <v>1404</v>
      </c>
      <c r="E48" s="189"/>
      <c r="F48" s="802">
        <f>F30</f>
        <v>0.056</v>
      </c>
      <c r="G48" s="194" t="s">
        <v>1410</v>
      </c>
    </row>
    <row r="49" ht="16.5" customHeight="1" spans="1:7">
      <c r="A49" s="161" t="s">
        <v>1387</v>
      </c>
      <c r="B49" s="162" t="s">
        <v>2134</v>
      </c>
      <c r="C49" s="189">
        <f ca="1">ROUND((C33+C39+C41+C45)/(1-C40-D41-D45-C48),0)</f>
        <v>4612608</v>
      </c>
      <c r="D49" s="189"/>
      <c r="E49" s="189"/>
      <c r="F49" s="227"/>
      <c r="G49" s="194" t="s">
        <v>1412</v>
      </c>
    </row>
    <row r="50" s="145" customFormat="1" spans="1:7">
      <c r="A50" s="161" t="s">
        <v>1413</v>
      </c>
      <c r="B50" s="162" t="s">
        <v>1414</v>
      </c>
      <c r="C50" s="189"/>
      <c r="D50" s="189"/>
      <c r="E50" s="189"/>
      <c r="F50" s="227">
        <f>IF('数据-取费表'!B24=0,'数据-取费表'!N16,1)</f>
        <v>0.95</v>
      </c>
      <c r="G50" s="208"/>
    </row>
    <row r="51" ht="16.5" customHeight="1" spans="1:7">
      <c r="A51" s="161" t="s">
        <v>1416</v>
      </c>
      <c r="B51" s="162" t="s">
        <v>2135</v>
      </c>
      <c r="C51" s="189">
        <f ca="1">ROUND(C49*F50,0)</f>
        <v>4381978</v>
      </c>
      <c r="D51" s="189"/>
      <c r="E51" s="189"/>
      <c r="F51" s="227"/>
      <c r="G51" s="194" t="s">
        <v>1418</v>
      </c>
    </row>
    <row r="52" s="142" customFormat="1" ht="16.5" spans="1:7">
      <c r="A52" s="228" t="s">
        <v>1419</v>
      </c>
      <c r="B52" s="229"/>
      <c r="C52" s="230">
        <f ca="1">C31+C51</f>
        <v>8347221</v>
      </c>
      <c r="D52" s="229"/>
      <c r="E52" s="229"/>
      <c r="F52" s="229"/>
      <c r="G52" s="231"/>
    </row>
    <row r="55" ht="15" spans="2:3">
      <c r="B55" s="232" t="s">
        <v>1420</v>
      </c>
      <c r="C55" s="233"/>
    </row>
    <row r="56" spans="2:3">
      <c r="B56" s="234" t="s">
        <v>1421</v>
      </c>
      <c r="C56" s="236">
        <f ca="1">1-C57</f>
        <v>0.475</v>
      </c>
    </row>
    <row r="57" spans="2:3">
      <c r="B57" s="234" t="s">
        <v>1422</v>
      </c>
      <c r="C57" s="235">
        <f ca="1">ROUND(C51/C52,3)</f>
        <v>0.525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380" customWidth="1"/>
    <col min="2" max="9" width="12.1083333333333" style="380" customWidth="1"/>
    <col min="10" max="16384" width="9" style="380"/>
  </cols>
  <sheetData>
    <row r="1" ht="18.75" spans="1:9">
      <c r="A1" s="3584" t="str">
        <f>IF(项目基本情况!B9="房地产市场价值","估价结果一览表","结果表-2")</f>
        <v>估价结果一览表</v>
      </c>
      <c r="B1" s="3584"/>
      <c r="C1" s="3584"/>
      <c r="D1" s="3584"/>
      <c r="E1" s="3584"/>
      <c r="F1" s="3584"/>
      <c r="G1" s="3584"/>
      <c r="H1" s="3584"/>
      <c r="I1" s="3584"/>
    </row>
    <row r="2" ht="30" customHeight="1" spans="1:9">
      <c r="A2" s="3585" t="s">
        <v>107</v>
      </c>
      <c r="B2" s="3585" t="s">
        <v>108</v>
      </c>
      <c r="C2" s="3585" t="s">
        <v>109</v>
      </c>
      <c r="D2" s="3585" t="str">
        <f>'结果表--商业'!D116</f>
        <v>出让国有建设用地使用权价值</v>
      </c>
      <c r="E2" s="3585"/>
      <c r="F2" s="3585" t="str">
        <f>'结果表--商业'!F116</f>
        <v>在建建筑物价值</v>
      </c>
      <c r="G2" s="3585"/>
      <c r="H2" s="3585" t="str">
        <f>IF(项目基本情况!B9="房地产市场价值","房地产市场价值","房地产价值")</f>
        <v>房地产市场价值</v>
      </c>
      <c r="I2" s="3585"/>
    </row>
    <row r="3" ht="15" spans="1:9">
      <c r="A3" s="3586"/>
      <c r="B3" s="3586"/>
      <c r="C3" s="3586"/>
      <c r="D3" s="3586" t="s">
        <v>110</v>
      </c>
      <c r="E3" s="3586" t="s">
        <v>111</v>
      </c>
      <c r="F3" s="3586" t="s">
        <v>110</v>
      </c>
      <c r="G3" s="3586" t="s">
        <v>111</v>
      </c>
      <c r="H3" s="3586" t="s">
        <v>110</v>
      </c>
      <c r="I3" s="3586" t="s">
        <v>111</v>
      </c>
    </row>
    <row r="4" ht="15" spans="1:9">
      <c r="A4" s="3587" t="str">
        <f>项目基本情况!S2</f>
        <v>北京市房地产</v>
      </c>
      <c r="B4" s="3586">
        <f>项目基本情况!C17</f>
        <v>33735.37</v>
      </c>
      <c r="C4" s="3586">
        <f>项目基本情况!C18</f>
        <v>0</v>
      </c>
      <c r="D4" s="3586" t="e">
        <f ca="1">'结果表--商业'!D118</f>
        <v>#REF!</v>
      </c>
      <c r="E4" s="3586" t="e">
        <f ca="1">'结果表--商业'!E118</f>
        <v>#REF!</v>
      </c>
      <c r="F4" s="3586" t="e">
        <f ca="1">'结果表--商业'!F118</f>
        <v>#REF!</v>
      </c>
      <c r="G4" s="3586" t="e">
        <f ca="1">'结果表--商业'!G118</f>
        <v>#REF!</v>
      </c>
      <c r="H4" s="3586">
        <f ca="1">'结果表--商业'!H118</f>
        <v>88617</v>
      </c>
      <c r="I4" s="3586">
        <f ca="1">'结果表--商业'!I118</f>
        <v>35693</v>
      </c>
    </row>
    <row r="5" ht="30" customHeight="1" spans="1:9">
      <c r="A5" s="3586" t="s">
        <v>112</v>
      </c>
      <c r="B5" s="3586"/>
      <c r="C5" s="3586"/>
      <c r="D5" s="3588" t="e">
        <f ca="1">'结果表--商业'!D119</f>
        <v>#REF!</v>
      </c>
      <c r="E5" s="3588"/>
      <c r="F5" s="3588" t="e">
        <f ca="1">'结果表--商业'!F119</f>
        <v>#REF!</v>
      </c>
      <c r="G5" s="3588"/>
      <c r="H5" s="3588" t="str">
        <f ca="1">'结果表--商业'!H119</f>
        <v>捌亿捌仟陆佰壹拾柒万元整</v>
      </c>
      <c r="I5" s="3588"/>
    </row>
    <row r="6" ht="15.75" spans="1:9">
      <c r="A6" s="3589" t="str">
        <f>'结果表--商业'!A120</f>
        <v/>
      </c>
      <c r="B6" s="3589"/>
      <c r="C6" s="3589"/>
      <c r="D6" s="3589">
        <f>'结果表--商业'!D120</f>
        <v>0</v>
      </c>
      <c r="E6" s="3589"/>
      <c r="F6" s="3589"/>
      <c r="G6" s="3589"/>
      <c r="H6" s="3589"/>
      <c r="I6" s="3589"/>
    </row>
    <row r="7" ht="15" spans="1:9">
      <c r="A7" s="3586" t="s">
        <v>112</v>
      </c>
      <c r="B7" s="3586"/>
      <c r="C7" s="3586"/>
      <c r="D7" s="3590" t="str">
        <f>'结果表--商业'!D121</f>
        <v>零元整</v>
      </c>
      <c r="E7" s="3591"/>
      <c r="F7" s="3591"/>
      <c r="G7" s="3591"/>
      <c r="H7" s="3591"/>
      <c r="I7" s="3596"/>
    </row>
    <row r="8" ht="15.75" spans="1:9">
      <c r="A8" s="3589" t="str">
        <f>'结果表--商业'!A122</f>
        <v/>
      </c>
      <c r="B8" s="3589"/>
      <c r="C8" s="3589"/>
      <c r="D8" s="3589">
        <f ca="1">'结果表--商业'!D122</f>
        <v>88617</v>
      </c>
      <c r="E8" s="3589"/>
      <c r="F8" s="3589"/>
      <c r="G8" s="3589"/>
      <c r="H8" s="3589"/>
      <c r="I8" s="3589"/>
    </row>
    <row r="9" ht="15" spans="1:9">
      <c r="A9" s="3586" t="s">
        <v>112</v>
      </c>
      <c r="B9" s="3586"/>
      <c r="C9" s="3586"/>
      <c r="D9" s="3588" t="str">
        <f ca="1">'结果表--商业'!D123</f>
        <v>捌亿捌仟陆佰壹拾柒万元整</v>
      </c>
      <c r="E9" s="3588"/>
      <c r="F9" s="3588"/>
      <c r="G9" s="3588"/>
      <c r="H9" s="3588"/>
      <c r="I9" s="3588"/>
    </row>
    <row r="10" ht="15.75" spans="1:9">
      <c r="A10" s="3589" t="str">
        <f>'结果表--商业'!A124</f>
        <v/>
      </c>
      <c r="B10" s="3589"/>
      <c r="C10" s="3589"/>
      <c r="D10" s="3589" t="str">
        <f ca="1">'结果表--商业'!D124</f>
        <v>——</v>
      </c>
      <c r="E10" s="3589"/>
      <c r="F10" s="3589"/>
      <c r="G10" s="3589"/>
      <c r="H10" s="3589"/>
      <c r="I10" s="3589"/>
    </row>
    <row r="11" ht="15" spans="1:9">
      <c r="A11" s="3586" t="s">
        <v>112</v>
      </c>
      <c r="B11" s="3586"/>
      <c r="C11" s="3586"/>
      <c r="D11" s="3588" t="e">
        <f ca="1">'结果表--商业'!D125</f>
        <v>#VALUE!</v>
      </c>
      <c r="E11" s="3588"/>
      <c r="F11" s="3588"/>
      <c r="G11" s="3588"/>
      <c r="H11" s="3588"/>
      <c r="I11" s="3588"/>
    </row>
    <row r="12" ht="15.75" spans="1:9">
      <c r="A12" s="3589" t="str">
        <f>'结果表--商业'!A126</f>
        <v/>
      </c>
      <c r="B12" s="3589"/>
      <c r="C12" s="3589"/>
      <c r="D12" s="3589" t="str">
        <f ca="1">'结果表--商业'!D126</f>
        <v>——</v>
      </c>
      <c r="E12" s="3589"/>
      <c r="F12" s="3589"/>
      <c r="G12" s="3589"/>
      <c r="H12" s="3589"/>
      <c r="I12" s="3589"/>
    </row>
    <row r="13" ht="15.75" spans="1:9">
      <c r="A13" s="3592" t="s">
        <v>112</v>
      </c>
      <c r="B13" s="3592"/>
      <c r="C13" s="3592"/>
      <c r="D13" s="3593" t="e">
        <f ca="1">'结果表--商业'!D127</f>
        <v>#VALUE!</v>
      </c>
      <c r="E13" s="3593"/>
      <c r="F13" s="3593"/>
      <c r="G13" s="3593"/>
      <c r="H13" s="3593"/>
      <c r="I13" s="3593"/>
    </row>
    <row r="14" spans="1:9">
      <c r="A14" s="3594" t="s">
        <v>113</v>
      </c>
      <c r="B14" s="3594"/>
      <c r="C14" s="3594"/>
      <c r="D14" s="3594"/>
      <c r="E14" s="3594"/>
      <c r="F14" s="3594"/>
      <c r="G14" s="3594"/>
      <c r="H14" s="3594"/>
      <c r="I14" s="3594"/>
    </row>
    <row r="16" ht="18.75" spans="1:9">
      <c r="A16" s="3595"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1" workbookViewId="0">
      <selection activeCell="P47" sqref="P47"/>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1423</v>
      </c>
      <c r="B1" s="150"/>
      <c r="C1" s="153" t="s">
        <v>1147</v>
      </c>
      <c r="D1" s="456">
        <f>SUM(D29:D30,D33:D39)</f>
        <v>1140.25</v>
      </c>
      <c r="E1" s="457"/>
      <c r="F1" s="457"/>
      <c r="G1" s="457"/>
      <c r="H1" s="457"/>
      <c r="I1" s="457"/>
      <c r="J1" s="457"/>
      <c r="K1" s="449"/>
      <c r="L1" s="640" t="s">
        <v>1424</v>
      </c>
      <c r="M1" s="641">
        <f>SUMPRODUCT((区片价!B5:B9=I2)*(区片价!C3:F3=E2)*(区片价!C5:F9))</f>
        <v>0</v>
      </c>
      <c r="N1" s="642">
        <f>SUMPRODUCT((因素修正幅度!B5:B9=I2)*(因素修正幅度!C3:F3=E2)*(因素修正幅度!C5:F9))</f>
        <v>0</v>
      </c>
      <c r="O1" s="450"/>
      <c r="P1" s="450"/>
      <c r="Q1" s="449"/>
      <c r="R1" s="723" t="s">
        <v>1425</v>
      </c>
      <c r="S1" s="723" t="s">
        <v>1426</v>
      </c>
      <c r="T1" s="723" t="s">
        <v>1427</v>
      </c>
      <c r="U1" s="723" t="s">
        <v>1428</v>
      </c>
      <c r="V1" s="723" t="s">
        <v>1429</v>
      </c>
      <c r="W1" s="724"/>
      <c r="X1" s="724"/>
      <c r="Y1" s="724"/>
      <c r="Z1" s="724"/>
      <c r="AA1" s="724"/>
      <c r="AB1" s="724"/>
      <c r="AC1" s="734"/>
      <c r="AD1" s="735"/>
      <c r="AE1" s="735"/>
      <c r="AF1" s="735"/>
      <c r="AG1" s="735"/>
      <c r="AH1" s="735"/>
      <c r="AI1" s="735"/>
      <c r="AJ1" s="745"/>
    </row>
    <row r="2" ht="15.75" spans="1:36">
      <c r="A2" s="153" t="s">
        <v>1144</v>
      </c>
      <c r="B2" s="157">
        <f>C26</f>
        <v>283</v>
      </c>
      <c r="C2" s="458" t="s">
        <v>1145</v>
      </c>
      <c r="D2" s="459" t="s">
        <v>1430</v>
      </c>
      <c r="E2" s="460" t="s">
        <v>459</v>
      </c>
      <c r="F2" s="459" t="s">
        <v>1431</v>
      </c>
      <c r="G2" s="461" t="str">
        <f>IF(E2="商业",项目基本情况!B37,IF(E2="办公",项目基本情况!C37,IF(E2="住宅",项目基本情况!D37,项目基本情况!E37)))</f>
        <v>七级</v>
      </c>
      <c r="H2" s="459" t="s">
        <v>1432</v>
      </c>
      <c r="I2" s="461" t="str">
        <f>IF(E2="商业",项目基本情况!B38,IF(E2="办公",项目基本情况!C38,IF(E2="住宅",项目基本情况!D38,项目基本情况!E38)))</f>
        <v>Ⅶ-房1</v>
      </c>
      <c r="J2" s="643"/>
      <c r="K2" s="449"/>
      <c r="L2" s="644" t="s">
        <v>1433</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 t="shared" ref="V2:V16" si="0">ROUND(T2*U2/10000,0)</f>
        <v>0</v>
      </c>
      <c r="W2" s="724"/>
      <c r="X2" s="724"/>
      <c r="Y2" s="724"/>
      <c r="Z2" s="724"/>
      <c r="AA2" s="724"/>
      <c r="AB2" s="724"/>
      <c r="AC2" s="734"/>
      <c r="AD2" s="735"/>
      <c r="AE2" s="735"/>
      <c r="AF2" s="735"/>
      <c r="AG2" s="735"/>
      <c r="AH2" s="735"/>
      <c r="AI2" s="735"/>
      <c r="AJ2" s="745"/>
    </row>
    <row r="3" ht="15.75" spans="1:36">
      <c r="A3" s="156" t="s">
        <v>1146</v>
      </c>
      <c r="B3" s="157">
        <f>ROUND(B2*10000/D1,0)</f>
        <v>2482</v>
      </c>
      <c r="C3" s="458" t="s">
        <v>1327</v>
      </c>
      <c r="D3" s="459" t="s">
        <v>1434</v>
      </c>
      <c r="E3" s="462" t="s">
        <v>1435</v>
      </c>
      <c r="F3" s="463" t="s">
        <v>1436</v>
      </c>
      <c r="G3" s="464">
        <f>IF(F3="宗地容积率",'数据-汇总表'!I4,IF(F3="估价对象容积率",'数据-汇总表'!I6,'数据-汇总表'!I7))</f>
        <v>2.5</v>
      </c>
      <c r="H3" s="465" t="s">
        <v>1437</v>
      </c>
      <c r="I3" s="646"/>
      <c r="J3" s="643" t="s">
        <v>1438</v>
      </c>
      <c r="K3" s="449"/>
      <c r="L3" s="644" t="s">
        <v>1439</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13269</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1440</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10705</v>
      </c>
      <c r="U4" s="725"/>
      <c r="V4" s="723">
        <f t="shared" si="0"/>
        <v>0</v>
      </c>
      <c r="W4" s="724"/>
      <c r="X4" s="724"/>
      <c r="Y4" s="724"/>
      <c r="Z4" s="724"/>
      <c r="AA4" s="724"/>
      <c r="AB4" s="724"/>
      <c r="AC4" s="734"/>
      <c r="AD4" s="735"/>
      <c r="AE4" s="735"/>
      <c r="AF4" s="735"/>
      <c r="AG4" s="735"/>
      <c r="AH4" s="735"/>
      <c r="AI4" s="735"/>
      <c r="AJ4" s="745"/>
    </row>
    <row r="5" s="448" customFormat="1" ht="15.75" spans="1:36">
      <c r="A5" s="469" t="s">
        <v>1046</v>
      </c>
      <c r="B5" s="470" t="s">
        <v>1441</v>
      </c>
      <c r="C5" s="471">
        <f>ROUND(IF(E2="商业",C6*C7+C16,(IF(E2="住宅",C6*C12+C16,C6+C16))),0)</f>
        <v>7210</v>
      </c>
      <c r="D5" s="472">
        <f>ROUND(C6+C16,0)</f>
        <v>7210</v>
      </c>
      <c r="E5" s="472"/>
      <c r="F5" s="473"/>
      <c r="G5" s="474"/>
      <c r="H5" s="474"/>
      <c r="I5" s="474"/>
      <c r="J5" s="648"/>
      <c r="K5" s="649"/>
      <c r="L5" s="644" t="s">
        <v>1442</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8590</v>
      </c>
      <c r="U5" s="725"/>
      <c r="V5" s="723">
        <f t="shared" si="0"/>
        <v>0</v>
      </c>
      <c r="W5" s="724"/>
      <c r="X5" s="724"/>
      <c r="Y5" s="724"/>
      <c r="Z5" s="724"/>
      <c r="AA5" s="724"/>
      <c r="AB5" s="724"/>
      <c r="AC5" s="736"/>
      <c r="AD5" s="737"/>
      <c r="AE5" s="737"/>
      <c r="AF5" s="737"/>
      <c r="AG5" s="737"/>
      <c r="AH5" s="737"/>
      <c r="AI5" s="737"/>
      <c r="AJ5" s="746"/>
    </row>
    <row r="6" ht="15.75" spans="1:36">
      <c r="A6" s="475" t="s">
        <v>1329</v>
      </c>
      <c r="B6" s="476" t="s">
        <v>1443</v>
      </c>
      <c r="C6" s="477">
        <f>SUMIF(L1:L12,G2,M1:M12)</f>
        <v>7210</v>
      </c>
      <c r="D6" s="478" t="s">
        <v>1444</v>
      </c>
      <c r="E6" s="479"/>
      <c r="F6" s="479"/>
      <c r="G6" s="480"/>
      <c r="H6" s="480"/>
      <c r="I6" s="480"/>
      <c r="J6" s="650"/>
      <c r="K6" s="651"/>
      <c r="L6" s="644" t="s">
        <v>1445</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7314</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1446</v>
      </c>
      <c r="C7" s="483">
        <f>IF(C8="不临58条商业街",1,ROUND(1+(1.6*E8+1.2*E9+0.8*E10+0.4*E11)*C9,4))</f>
        <v>1</v>
      </c>
      <c r="D7" s="484" t="s">
        <v>1447</v>
      </c>
      <c r="E7" s="485"/>
      <c r="F7" s="486"/>
      <c r="G7" s="487"/>
      <c r="H7" s="487"/>
      <c r="I7" s="487"/>
      <c r="J7" s="652"/>
      <c r="K7" s="651"/>
      <c r="L7" s="644" t="s">
        <v>1448</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6432</v>
      </c>
      <c r="U7" s="725"/>
      <c r="V7" s="723">
        <f t="shared" si="0"/>
        <v>0</v>
      </c>
      <c r="W7" s="726" t="s">
        <v>1449</v>
      </c>
      <c r="X7" s="727" t="str">
        <f>G2</f>
        <v>七级</v>
      </c>
      <c r="Y7" s="727" t="s">
        <v>1450</v>
      </c>
      <c r="Z7" s="738">
        <f>G3</f>
        <v>2.5</v>
      </c>
      <c r="AA7" s="724"/>
      <c r="AB7" s="724"/>
      <c r="AC7" s="734"/>
      <c r="AD7" s="735"/>
      <c r="AE7" s="735"/>
      <c r="AF7" s="735"/>
      <c r="AG7" s="735"/>
      <c r="AH7" s="735"/>
      <c r="AI7" s="735"/>
      <c r="AJ7" s="745"/>
    </row>
    <row r="8" ht="24.75" spans="1:36">
      <c r="A8" s="488"/>
      <c r="B8" s="465" t="s">
        <v>1451</v>
      </c>
      <c r="C8" s="489" t="s">
        <v>1452</v>
      </c>
      <c r="D8" s="490" t="s">
        <v>1453</v>
      </c>
      <c r="E8" s="491" t="e">
        <f>ROUND(C11/E7,4)</f>
        <v>#DIV/0!</v>
      </c>
      <c r="F8" s="492" t="s">
        <v>1454</v>
      </c>
      <c r="G8" s="493"/>
      <c r="H8" s="493"/>
      <c r="I8" s="493"/>
      <c r="J8" s="653"/>
      <c r="K8" s="449"/>
      <c r="L8" s="644" t="s">
        <v>1455</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1456</v>
      </c>
      <c r="X8" s="729"/>
      <c r="Y8" s="739" t="s">
        <v>1457</v>
      </c>
      <c r="Z8" s="739" t="s">
        <v>1458</v>
      </c>
      <c r="AA8" s="739" t="s">
        <v>1459</v>
      </c>
      <c r="AB8" s="739" t="s">
        <v>1460</v>
      </c>
      <c r="AC8" s="739" t="s">
        <v>1461</v>
      </c>
      <c r="AD8" s="739" t="s">
        <v>1462</v>
      </c>
      <c r="AE8" s="739" t="s">
        <v>1463</v>
      </c>
      <c r="AF8" s="739" t="s">
        <v>1464</v>
      </c>
      <c r="AG8" s="739" t="s">
        <v>1465</v>
      </c>
      <c r="AH8" s="739" t="s">
        <v>1466</v>
      </c>
      <c r="AI8" s="739" t="s">
        <v>1467</v>
      </c>
      <c r="AJ8" s="739" t="s">
        <v>1468</v>
      </c>
    </row>
    <row r="9" ht="15" spans="1:36">
      <c r="A9" s="488"/>
      <c r="B9" s="465" t="s">
        <v>1469</v>
      </c>
      <c r="C9" s="494">
        <f>SUMIF(修正!C59:C119,C8,修正!E59:E119)</f>
        <v>0</v>
      </c>
      <c r="D9" s="495" t="s">
        <v>1470</v>
      </c>
      <c r="E9" s="495" t="e">
        <f>ROUND(C11/E7,4)</f>
        <v>#DIV/0!</v>
      </c>
      <c r="F9" s="492" t="s">
        <v>1471</v>
      </c>
      <c r="G9" s="493"/>
      <c r="H9" s="493"/>
      <c r="I9" s="493"/>
      <c r="J9" s="653"/>
      <c r="K9" s="449"/>
      <c r="L9" s="644" t="s">
        <v>1472</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1473</v>
      </c>
      <c r="X9" s="730" t="s">
        <v>1474</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1475</v>
      </c>
      <c r="C10" s="495">
        <f>SUMIF(修正!C59:C119,C8,修正!F59:F119)</f>
        <v>0</v>
      </c>
      <c r="D10" s="495" t="s">
        <v>1476</v>
      </c>
      <c r="E10" s="495" t="e">
        <f>ROUND(C11/E7,4)</f>
        <v>#DIV/0!</v>
      </c>
      <c r="F10" s="492" t="s">
        <v>1477</v>
      </c>
      <c r="G10" s="493"/>
      <c r="H10" s="493"/>
      <c r="I10" s="493"/>
      <c r="J10" s="653"/>
      <c r="K10" s="449"/>
      <c r="L10" s="644" t="s">
        <v>1478</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1479</v>
      </c>
      <c r="C11" s="497">
        <f>C10/4</f>
        <v>0</v>
      </c>
      <c r="D11" s="497" t="s">
        <v>1480</v>
      </c>
      <c r="E11" s="497" t="e">
        <f>ROUND(C11/E7,4)</f>
        <v>#DIV/0!</v>
      </c>
      <c r="F11" s="498" t="s">
        <v>1481</v>
      </c>
      <c r="G11" s="499"/>
      <c r="H11" s="499"/>
      <c r="I11" s="499"/>
      <c r="J11" s="654"/>
      <c r="K11" s="449"/>
      <c r="L11" s="644" t="s">
        <v>1482</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1483</v>
      </c>
      <c r="X11" s="731" t="s">
        <v>1450</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1484</v>
      </c>
      <c r="B12" s="500" t="s">
        <v>1485</v>
      </c>
      <c r="C12" s="483">
        <f>ROUND(C15*D15*E15*F15*G15*H15*I15*J15,4)</f>
        <v>1</v>
      </c>
      <c r="D12" s="501" t="s">
        <v>1486</v>
      </c>
      <c r="E12" s="502"/>
      <c r="F12" s="502"/>
      <c r="G12" s="503"/>
      <c r="H12" s="503"/>
      <c r="I12" s="503"/>
      <c r="J12" s="655"/>
      <c r="K12" s="449"/>
      <c r="L12" s="656" t="s">
        <v>1487</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1488</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1489</v>
      </c>
      <c r="C13" s="506" t="s">
        <v>1490</v>
      </c>
      <c r="D13" s="507" t="s">
        <v>1491</v>
      </c>
      <c r="E13" s="507" t="s">
        <v>1492</v>
      </c>
      <c r="F13" s="508" t="s">
        <v>1493</v>
      </c>
      <c r="G13" s="509" t="s">
        <v>1494</v>
      </c>
      <c r="H13" s="509" t="s">
        <v>1494</v>
      </c>
      <c r="I13" s="509" t="s">
        <v>1494</v>
      </c>
      <c r="J13" s="658" t="s">
        <v>1494</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1495</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1283</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1496</v>
      </c>
      <c r="B16" s="482" t="s">
        <v>1497</v>
      </c>
      <c r="C16" s="520">
        <f>ROUND(IF(F17="与级别开发程度一致",0,(G17-E17)/C17),0)</f>
        <v>0</v>
      </c>
      <c r="D16" s="521" t="s">
        <v>1498</v>
      </c>
      <c r="E16" s="522"/>
      <c r="F16" s="521" t="s">
        <v>1499</v>
      </c>
      <c r="G16" s="522"/>
      <c r="H16" s="523" t="s">
        <v>1500</v>
      </c>
      <c r="I16" s="523" t="s">
        <v>1501</v>
      </c>
      <c r="J16" s="662" t="s">
        <v>1502</v>
      </c>
      <c r="K16" s="523" t="s">
        <v>1503</v>
      </c>
      <c r="L16" s="523" t="s">
        <v>1504</v>
      </c>
      <c r="M16" s="523" t="s">
        <v>1505</v>
      </c>
      <c r="N16" s="523" t="s">
        <v>1506</v>
      </c>
      <c r="O16" s="663" t="s">
        <v>1507</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1508</v>
      </c>
      <c r="C17" s="526">
        <f>SUMPRODUCT((修正!A2:A5=E2)*(修正!B1:M1=G2)*(修正!B2:M5))</f>
        <v>2.5</v>
      </c>
      <c r="D17" s="518" t="str">
        <f>IF(OR(G2="八级",G2="九级",G2="十级",G2="十一级",G2="十二级"),"五通一平","七通一平")</f>
        <v>七通一平</v>
      </c>
      <c r="E17" s="527">
        <f>SUMPRODUCT((修正!B1:M1=G2)*(修正!B15:M15))</f>
        <v>300</v>
      </c>
      <c r="F17" s="528" t="s">
        <v>1509</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1057</v>
      </c>
      <c r="B18" s="531" t="s">
        <v>1510</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1062</v>
      </c>
      <c r="B19" s="536" t="s">
        <v>1511</v>
      </c>
      <c r="C19" s="537">
        <f>ROUND(IF(H19="按公示增长率计算",SUMPRODUCT((地价!A3:A35=YEAR(G19)&amp;"-"&amp;ROUNDUP(MONTH(G19)/3,0))*(地价!X2:AB2=E2)*(地价!X3:AB35)),IF(H19="地价指数",M20/M19,(1+I19)^O19)),4)</f>
        <v>1.3588</v>
      </c>
      <c r="D19" s="538" t="s">
        <v>1512</v>
      </c>
      <c r="E19" s="539">
        <v>41640</v>
      </c>
      <c r="F19" s="538" t="s">
        <v>1513</v>
      </c>
      <c r="G19" s="540">
        <f>'数据-取费表'!B2</f>
        <v>44461</v>
      </c>
      <c r="H19" s="541" t="s">
        <v>1514</v>
      </c>
      <c r="I19" s="670" t="str">
        <f>IF(H19="季度增幅（自定义）",SUMIF(N21:N24,E2,O21:O24),"")</f>
        <v/>
      </c>
      <c r="J19" s="671"/>
      <c r="K19" s="667"/>
      <c r="L19" s="672" t="s">
        <v>1515</v>
      </c>
      <c r="M19" s="673">
        <f>ROUND(SUMIF(地价!B2:F2,E2,地价!B35:F35),0)</f>
        <v>258</v>
      </c>
      <c r="N19" s="674" t="s">
        <v>1516</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1065</v>
      </c>
      <c r="B20" s="543" t="s">
        <v>1517</v>
      </c>
      <c r="C20" s="544">
        <f>ROUND(POWER(1+G20,J20-I20)*(POWER(1+G20,I20)-1)/(POWER(1+G20,J20)-1),4)</f>
        <v>1</v>
      </c>
      <c r="D20" s="545" t="s">
        <v>1518</v>
      </c>
      <c r="E20" s="546">
        <f>存贷款利率!E18/100</f>
        <v>0.0435</v>
      </c>
      <c r="F20" s="545" t="s">
        <v>1519</v>
      </c>
      <c r="G20" s="547">
        <f>SUMIF(M26:P26,E2,M28:P28)</f>
        <v>0.054</v>
      </c>
      <c r="H20" s="545" t="s">
        <v>1520</v>
      </c>
      <c r="I20" s="521">
        <f>SUMIF('数据-取费表'!C6:C15,E2,'数据-取费表'!F6:F15)/COUNTIF('数据-取费表'!C6:C15,E2)</f>
        <v>40</v>
      </c>
      <c r="J20" s="677">
        <f>IF(E2="住宅",70,IF(E2="商业",40,50))</f>
        <v>40</v>
      </c>
      <c r="K20" s="667"/>
      <c r="L20" s="678" t="s">
        <v>1521</v>
      </c>
      <c r="M20" s="679">
        <f>ROUND(SUMPRODUCT((地价!A4:A35=YEAR(G19)&amp;"-"&amp;ROUNDUP(MONTH(G19)/3,0))*(地价!B2:F2=E2)*(地价!B4:F35)),0)</f>
        <v>350</v>
      </c>
      <c r="N20" s="680" t="s">
        <v>1522</v>
      </c>
      <c r="O20" s="681" t="s">
        <v>1523</v>
      </c>
      <c r="P20" s="682" t="s">
        <v>1524</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1087</v>
      </c>
      <c r="B21" s="549" t="s">
        <v>1525</v>
      </c>
      <c r="C21" s="550">
        <f>IF(B21="容积率修正",IF(G3&lt;=10,D22,J22),C23)</f>
        <v>1</v>
      </c>
      <c r="D21" s="551"/>
      <c r="E21" s="551"/>
      <c r="F21" s="551"/>
      <c r="G21" s="551"/>
      <c r="H21" s="551"/>
      <c r="I21" s="551"/>
      <c r="J21" s="683"/>
      <c r="K21" s="667"/>
      <c r="L21" s="668"/>
      <c r="M21" s="668"/>
      <c r="N21" s="684" t="s">
        <v>1526</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1527</v>
      </c>
      <c r="B22" s="553" t="s">
        <v>1528</v>
      </c>
      <c r="C22" s="554" t="s">
        <v>1529</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1530</v>
      </c>
      <c r="J22" s="687" t="str">
        <f>IF(G3&gt;10,D113,"——")</f>
        <v>——</v>
      </c>
      <c r="K22" s="667"/>
      <c r="L22" s="668"/>
      <c r="M22" s="668"/>
      <c r="N22" s="684" t="s">
        <v>1531</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1532</v>
      </c>
      <c r="B23" s="555" t="s">
        <v>1533</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1534</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1535</v>
      </c>
      <c r="B24" s="536" t="s">
        <v>1536</v>
      </c>
      <c r="C24" s="537">
        <f>SUMIF(A45:A88,E2,B45:B88)</f>
        <v>1.0129</v>
      </c>
      <c r="D24" s="560"/>
      <c r="E24" s="561"/>
      <c r="F24" s="561"/>
      <c r="G24" s="561"/>
      <c r="H24" s="561"/>
      <c r="I24" s="561"/>
      <c r="J24" s="690"/>
      <c r="K24" s="667"/>
      <c r="L24" s="668"/>
      <c r="M24" s="668"/>
      <c r="N24" s="691" t="s">
        <v>1537</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1538</v>
      </c>
      <c r="B25" s="562" t="s">
        <v>1539</v>
      </c>
      <c r="C25" s="563"/>
      <c r="D25" s="487"/>
      <c r="E25" s="487"/>
      <c r="F25" s="564"/>
      <c r="G25" s="487"/>
      <c r="H25" s="487"/>
      <c r="I25" s="487"/>
      <c r="J25" s="652"/>
      <c r="K25" s="449"/>
      <c r="L25" s="450"/>
      <c r="M25" s="450"/>
      <c r="N25" s="694" t="s">
        <v>1540</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1541</v>
      </c>
      <c r="C26" s="566">
        <f>IF(B21="容积率修正",E29+SUM(E33:E39),SUM(V2:V16)+SUM(E33:E39))</f>
        <v>283</v>
      </c>
      <c r="D26" s="567"/>
      <c r="E26" s="515"/>
      <c r="F26" s="568"/>
      <c r="G26" s="515"/>
      <c r="H26" s="515"/>
      <c r="I26" s="515"/>
      <c r="J26" s="697"/>
      <c r="K26" s="449"/>
      <c r="L26" s="698" t="s">
        <v>1430</v>
      </c>
      <c r="M26" s="484" t="s">
        <v>1542</v>
      </c>
      <c r="N26" s="484" t="s">
        <v>1543</v>
      </c>
      <c r="O26" s="484" t="s">
        <v>1544</v>
      </c>
      <c r="P26" s="699" t="s">
        <v>1545</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1546</v>
      </c>
      <c r="C27" s="570">
        <f>E30+SUM(I33:I39)</f>
        <v>71</v>
      </c>
      <c r="D27" s="571"/>
      <c r="E27" s="572"/>
      <c r="F27" s="573"/>
      <c r="G27" s="572"/>
      <c r="H27" s="572"/>
      <c r="I27" s="572"/>
      <c r="J27" s="700"/>
      <c r="K27" s="449"/>
      <c r="L27" s="701" t="s">
        <v>1547</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1548</v>
      </c>
      <c r="C28" s="576" t="s">
        <v>1549</v>
      </c>
      <c r="D28" s="576" t="s">
        <v>514</v>
      </c>
      <c r="E28" s="577" t="s">
        <v>1550</v>
      </c>
      <c r="F28" s="578"/>
      <c r="G28" s="503"/>
      <c r="H28" s="503"/>
      <c r="I28" s="503"/>
      <c r="J28" s="655"/>
      <c r="K28" s="449"/>
      <c r="L28" s="703" t="s">
        <v>1519</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1551</v>
      </c>
      <c r="C29" s="581">
        <f>ROUND(C5*C18*C19*C20*C21*C24,0)</f>
        <v>9923</v>
      </c>
      <c r="D29" s="582"/>
      <c r="E29" s="583">
        <f t="shared" ref="E29:E39" si="7">ROUND(C29*D29/10000,0)</f>
        <v>0</v>
      </c>
      <c r="F29" s="584" t="s">
        <v>1552</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1553</v>
      </c>
      <c r="C30" s="518">
        <f>ROUND(IF(E2="工业",C29*M39,C29*M38),0)</f>
        <v>2481</v>
      </c>
      <c r="D30" s="588"/>
      <c r="E30" s="583">
        <f t="shared" si="7"/>
        <v>0</v>
      </c>
      <c r="F30" s="589" t="s">
        <v>1554</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1555</v>
      </c>
      <c r="C31" s="593" t="s">
        <v>1556</v>
      </c>
      <c r="D31" s="503"/>
      <c r="E31" s="593"/>
      <c r="F31" s="593"/>
      <c r="G31" s="501" t="s">
        <v>1554</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1549</v>
      </c>
      <c r="D32" s="596" t="s">
        <v>514</v>
      </c>
      <c r="E32" s="596" t="s">
        <v>1550</v>
      </c>
      <c r="F32" s="456" t="s">
        <v>1557</v>
      </c>
      <c r="G32" s="597" t="s">
        <v>1549</v>
      </c>
      <c r="H32" s="597" t="s">
        <v>514</v>
      </c>
      <c r="I32" s="597" t="s">
        <v>1550</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1558</v>
      </c>
      <c r="C33" s="581">
        <f>ROUND(D5*C19*C20*C24*F33,0)</f>
        <v>6946</v>
      </c>
      <c r="D33" s="582"/>
      <c r="E33" s="495">
        <f t="shared" si="7"/>
        <v>0</v>
      </c>
      <c r="F33" s="495">
        <f>SUMIF(修正!A45:A56,G2,修正!B45:B56)</f>
        <v>0.7</v>
      </c>
      <c r="G33" s="495">
        <f>ROUND(IF(E2="工业",C33*$M$39,C33*$M$38),0)</f>
        <v>1737</v>
      </c>
      <c r="H33" s="495">
        <f t="shared" ref="H33:H39" si="8">D33</f>
        <v>0</v>
      </c>
      <c r="I33" s="495">
        <f t="shared" ref="I33:I39" si="9">ROUND(G33*H33/10000,0)</f>
        <v>0</v>
      </c>
      <c r="J33" s="709" t="s">
        <v>1559</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1560</v>
      </c>
      <c r="C34" s="581">
        <f>ROUND(D5*C19*C20*C24*F34,0)</f>
        <v>3969</v>
      </c>
      <c r="D34" s="582"/>
      <c r="E34" s="495">
        <f t="shared" si="7"/>
        <v>0</v>
      </c>
      <c r="F34" s="495">
        <f>SUMIF(修正!A45:A56,G2,修正!C45:C56)</f>
        <v>0.4</v>
      </c>
      <c r="G34" s="495">
        <f>ROUND(IF(E2="工业",C34*$M$39,C34*$M$38),0)</f>
        <v>992</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1561</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1562</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1563</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1564</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1565</v>
      </c>
      <c r="C38" s="495">
        <f>ROUND(D5*C19*C41*C24*F38,0)</f>
        <v>2481</v>
      </c>
      <c r="D38" s="582">
        <f>'数据-基础表'!G51</f>
        <v>1140.25</v>
      </c>
      <c r="E38" s="495">
        <f t="shared" si="7"/>
        <v>283</v>
      </c>
      <c r="F38" s="581">
        <f>SUMIF(修正!A45:A56,G2,修正!G45:G56)</f>
        <v>0.25</v>
      </c>
      <c r="G38" s="495">
        <f>ROUND(IF(E2="工业",C38*$M$39,C38*$M$38),0)</f>
        <v>620</v>
      </c>
      <c r="H38" s="495">
        <f t="shared" si="8"/>
        <v>1140.25</v>
      </c>
      <c r="I38" s="495">
        <f t="shared" si="9"/>
        <v>71</v>
      </c>
      <c r="J38" s="710"/>
      <c r="K38" s="449"/>
      <c r="L38" s="713" t="s">
        <v>1566</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1567</v>
      </c>
      <c r="C39" s="518">
        <f>ROUND(D5*C19*C41*C24*F39,0)</f>
        <v>1985</v>
      </c>
      <c r="D39" s="588"/>
      <c r="E39" s="518">
        <f t="shared" si="7"/>
        <v>0</v>
      </c>
      <c r="F39" s="604">
        <f>SUMIF(修正!A45:A56,G2,修正!H45:H56)</f>
        <v>0.2</v>
      </c>
      <c r="G39" s="518">
        <f>ROUND(IF(E2="工业",C39*$M$39,C39*$M$38),0)</f>
        <v>496</v>
      </c>
      <c r="H39" s="518">
        <f t="shared" si="8"/>
        <v>0</v>
      </c>
      <c r="I39" s="518">
        <f t="shared" si="9"/>
        <v>0</v>
      </c>
      <c r="J39" s="715"/>
      <c r="K39" s="449"/>
      <c r="L39" s="716" t="s">
        <v>1545</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1568</v>
      </c>
      <c r="C41" s="456">
        <f>ROUND(POWER(1+E41,H41-G41)*(POWER(1+E41,G41)-1)/(POWER(1+E41,H41)-1),4)</f>
        <v>1</v>
      </c>
      <c r="D41" s="495" t="s">
        <v>1519</v>
      </c>
      <c r="E41" s="607">
        <f>G20</f>
        <v>0.054</v>
      </c>
      <c r="F41" s="495" t="s">
        <v>1520</v>
      </c>
      <c r="G41" s="608">
        <v>50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1569</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1570</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1571</v>
      </c>
      <c r="B47" s="621" t="s">
        <v>1572</v>
      </c>
      <c r="C47" s="621" t="s">
        <v>1573</v>
      </c>
      <c r="D47" s="621" t="s">
        <v>1574</v>
      </c>
      <c r="E47" s="622" t="s">
        <v>1575</v>
      </c>
      <c r="F47" s="623" t="s">
        <v>1576</v>
      </c>
      <c r="G47" s="621" t="s">
        <v>1283</v>
      </c>
      <c r="H47" s="624" t="s">
        <v>1577</v>
      </c>
      <c r="I47" s="621" t="s">
        <v>1578</v>
      </c>
      <c r="J47" s="719" t="s">
        <v>1212</v>
      </c>
      <c r="K47" s="719" t="s">
        <v>1213</v>
      </c>
      <c r="L47" s="719" t="s">
        <v>1214</v>
      </c>
      <c r="M47" s="719" t="s">
        <v>1215</v>
      </c>
      <c r="N47" s="719" t="s">
        <v>1216</v>
      </c>
      <c r="AA47" s="605"/>
      <c r="AB47" s="605"/>
      <c r="AC47" s="605"/>
      <c r="AD47" s="605"/>
      <c r="AE47" s="605"/>
      <c r="AF47" s="605"/>
      <c r="AG47" s="605"/>
      <c r="AH47" s="605"/>
      <c r="AI47" s="605"/>
      <c r="AJ47" s="605"/>
      <c r="AK47" s="605"/>
    </row>
    <row r="48" s="449" customFormat="1" ht="36.75" spans="1:37">
      <c r="A48" s="620" t="s">
        <v>1579</v>
      </c>
      <c r="B48" s="625" t="str">
        <f>估价对象房地状况!C4</f>
        <v>估价对象位于XX商圈，周边商业氛围成熟，人流量大，商业繁华度好</v>
      </c>
      <c r="C48" s="512" t="s">
        <v>1250</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M56" si="14">L48-$G48</f>
        <v>-0.0214</v>
      </c>
      <c r="N48" s="721">
        <f t="shared" ref="N48:N56" si="15">M48-$G48</f>
        <v>-0.0428</v>
      </c>
      <c r="AA48" s="605"/>
      <c r="AB48" s="605"/>
      <c r="AC48" s="605"/>
      <c r="AD48" s="605"/>
      <c r="AE48" s="605"/>
      <c r="AF48" s="605"/>
      <c r="AG48" s="605"/>
      <c r="AH48" s="605"/>
      <c r="AI48" s="605"/>
      <c r="AJ48" s="605"/>
      <c r="AK48" s="605"/>
    </row>
    <row r="49" s="449" customFormat="1" ht="48" spans="1:37">
      <c r="A49" s="620" t="s">
        <v>1580</v>
      </c>
      <c r="B49" s="631" t="str">
        <f>估价对象房地状况!C18</f>
        <v>估价对象周边道路状况、公共交通通达情况、停车便捷程度，综合评价交通便捷度较好</v>
      </c>
      <c r="C49" s="512" t="s">
        <v>1250</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5"/>
        <v>-0.0324</v>
      </c>
      <c r="AA49" s="605"/>
      <c r="AB49" s="605"/>
      <c r="AC49" s="605"/>
      <c r="AD49" s="605"/>
      <c r="AE49" s="605"/>
      <c r="AF49" s="605"/>
      <c r="AG49" s="605"/>
      <c r="AH49" s="605"/>
      <c r="AI49" s="605"/>
      <c r="AJ49" s="605"/>
      <c r="AK49" s="605"/>
    </row>
    <row r="50" s="449" customFormat="1" ht="24" spans="1:37">
      <c r="A50" s="620" t="s">
        <v>1581</v>
      </c>
      <c r="B50" s="631">
        <f>估价对象房地状况!C19</f>
        <v>0</v>
      </c>
      <c r="C50" s="512" t="s">
        <v>1250</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5"/>
        <v>-0.0064</v>
      </c>
      <c r="AA50" s="605"/>
      <c r="AB50" s="605"/>
      <c r="AC50" s="605"/>
      <c r="AD50" s="605"/>
      <c r="AE50" s="605"/>
      <c r="AF50" s="605"/>
      <c r="AG50" s="605"/>
      <c r="AH50" s="605"/>
      <c r="AI50" s="605"/>
      <c r="AJ50" s="605"/>
      <c r="AK50" s="605"/>
    </row>
    <row r="51" s="449" customFormat="1" ht="36.75" spans="1:37">
      <c r="A51" s="620" t="s">
        <v>1582</v>
      </c>
      <c r="B51" s="633" t="s">
        <v>1583</v>
      </c>
      <c r="C51" s="512" t="s">
        <v>1251</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5"/>
        <v>-0.0064</v>
      </c>
      <c r="AA51" s="605"/>
      <c r="AB51" s="605"/>
      <c r="AC51" s="605"/>
      <c r="AD51" s="605"/>
      <c r="AE51" s="605"/>
      <c r="AF51" s="605"/>
      <c r="AG51" s="605"/>
      <c r="AH51" s="605"/>
      <c r="AI51" s="605"/>
      <c r="AJ51" s="605"/>
      <c r="AK51" s="605"/>
    </row>
    <row r="52" s="449" customFormat="1" ht="24" spans="1:37">
      <c r="A52" s="620" t="s">
        <v>1584</v>
      </c>
      <c r="B52" s="631">
        <f>估价对象房地状况!C24</f>
        <v>0</v>
      </c>
      <c r="C52" s="512" t="s">
        <v>1585</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5"/>
        <v>-0.0104</v>
      </c>
      <c r="AA52" s="605"/>
      <c r="AB52" s="605"/>
      <c r="AC52" s="605"/>
      <c r="AD52" s="605"/>
      <c r="AE52" s="605"/>
      <c r="AF52" s="605"/>
      <c r="AG52" s="605"/>
      <c r="AH52" s="605"/>
      <c r="AI52" s="605"/>
      <c r="AJ52" s="605"/>
      <c r="AK52" s="605"/>
    </row>
    <row r="53" s="449" customFormat="1" ht="24" spans="1:37">
      <c r="A53" s="620" t="s">
        <v>1586</v>
      </c>
      <c r="B53" s="634" t="s">
        <v>1587</v>
      </c>
      <c r="C53" s="512" t="s">
        <v>1251</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5"/>
        <v>-0.0038</v>
      </c>
      <c r="AA53" s="605"/>
      <c r="AB53" s="605"/>
      <c r="AC53" s="605"/>
      <c r="AD53" s="605"/>
      <c r="AE53" s="605"/>
      <c r="AF53" s="605"/>
      <c r="AG53" s="605"/>
      <c r="AH53" s="605"/>
      <c r="AI53" s="605"/>
      <c r="AJ53" s="605"/>
      <c r="AK53" s="605"/>
    </row>
    <row r="54" s="449" customFormat="1" ht="24" spans="1:37">
      <c r="A54" s="635" t="s">
        <v>1588</v>
      </c>
      <c r="B54" s="636" t="str">
        <f>估价对象房地状况!C21</f>
        <v>估价对象所在区域公共配套设施齐备情况</v>
      </c>
      <c r="C54" s="512" t="s">
        <v>1250</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5"/>
        <v>-0.0064</v>
      </c>
      <c r="AA54" s="605"/>
      <c r="AB54" s="605"/>
      <c r="AC54" s="605"/>
      <c r="AD54" s="605"/>
      <c r="AE54" s="605"/>
      <c r="AF54" s="605"/>
      <c r="AG54" s="605"/>
      <c r="AH54" s="605"/>
      <c r="AI54" s="605"/>
      <c r="AJ54" s="605"/>
      <c r="AK54" s="605"/>
    </row>
    <row r="55" s="449" customFormat="1" ht="24" spans="1:37">
      <c r="A55" s="635" t="s">
        <v>1589</v>
      </c>
      <c r="B55" s="631" t="str">
        <f>估价对象房地状况!C22</f>
        <v>估价对象所在区域基础设施水平</v>
      </c>
      <c r="C55" s="512" t="s">
        <v>1274</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5"/>
        <v>-0.013</v>
      </c>
      <c r="AA55" s="605"/>
      <c r="AB55" s="605"/>
      <c r="AC55" s="605"/>
      <c r="AD55" s="605"/>
      <c r="AE55" s="605"/>
      <c r="AF55" s="605"/>
      <c r="AG55" s="605"/>
      <c r="AH55" s="605"/>
      <c r="AI55" s="605"/>
      <c r="AJ55" s="605"/>
      <c r="AK55" s="605"/>
    </row>
    <row r="56" s="449" customFormat="1" ht="36.75" spans="1:37">
      <c r="A56" s="637" t="s">
        <v>1590</v>
      </c>
      <c r="B56" s="638" t="str">
        <f>估价对象房地状况!C20</f>
        <v>区域自然环境：；人文环境；综合评价环境状况一般</v>
      </c>
      <c r="C56" s="512" t="s">
        <v>1250</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5"/>
        <v>-0.0078</v>
      </c>
      <c r="AA56" s="605"/>
      <c r="AB56" s="605"/>
      <c r="AC56" s="605"/>
      <c r="AD56" s="605"/>
      <c r="AE56" s="605"/>
      <c r="AF56" s="605"/>
      <c r="AG56" s="605"/>
      <c r="AH56" s="605"/>
      <c r="AI56" s="605"/>
      <c r="AJ56" s="605"/>
      <c r="AK56" s="605"/>
    </row>
    <row r="57" s="449" customFormat="1" ht="15" spans="1:37">
      <c r="A57" s="614" t="s">
        <v>1591</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1571</v>
      </c>
      <c r="B58" s="621"/>
      <c r="C58" s="621" t="s">
        <v>1573</v>
      </c>
      <c r="D58" s="621" t="s">
        <v>1574</v>
      </c>
      <c r="E58" s="622" t="s">
        <v>1575</v>
      </c>
      <c r="F58" s="623" t="s">
        <v>1592</v>
      </c>
      <c r="G58" s="621" t="s">
        <v>1283</v>
      </c>
      <c r="H58" s="624" t="s">
        <v>1577</v>
      </c>
      <c r="I58" s="621" t="s">
        <v>1578</v>
      </c>
      <c r="J58" s="719" t="s">
        <v>1212</v>
      </c>
      <c r="K58" s="719" t="s">
        <v>1213</v>
      </c>
      <c r="L58" s="719" t="s">
        <v>1214</v>
      </c>
      <c r="M58" s="719" t="s">
        <v>1215</v>
      </c>
      <c r="N58" s="719" t="s">
        <v>1216</v>
      </c>
      <c r="AA58" s="605"/>
      <c r="AB58" s="605"/>
      <c r="AC58" s="605"/>
      <c r="AD58" s="605"/>
      <c r="AE58" s="605"/>
      <c r="AF58" s="605"/>
      <c r="AG58" s="605"/>
      <c r="AH58" s="605"/>
      <c r="AI58" s="605"/>
      <c r="AJ58" s="605"/>
      <c r="AK58" s="605"/>
    </row>
    <row r="59" s="449" customFormat="1" ht="36.75" spans="1:37">
      <c r="A59" s="620" t="s">
        <v>1593</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1580</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1581</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1582</v>
      </c>
      <c r="B62" s="633" t="s">
        <v>1583</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1584</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1586</v>
      </c>
      <c r="B64" s="634" t="s">
        <v>1587</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1588</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1589</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1590</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1594</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1571</v>
      </c>
      <c r="B69" s="621"/>
      <c r="C69" s="621" t="s">
        <v>1573</v>
      </c>
      <c r="D69" s="621" t="s">
        <v>1574</v>
      </c>
      <c r="E69" s="622" t="s">
        <v>1575</v>
      </c>
      <c r="F69" s="623" t="s">
        <v>1592</v>
      </c>
      <c r="G69" s="621" t="s">
        <v>1283</v>
      </c>
      <c r="H69" s="624" t="s">
        <v>1577</v>
      </c>
      <c r="I69" s="621" t="s">
        <v>1578</v>
      </c>
      <c r="J69" s="719" t="s">
        <v>1212</v>
      </c>
      <c r="K69" s="719" t="s">
        <v>1213</v>
      </c>
      <c r="L69" s="719" t="s">
        <v>1214</v>
      </c>
      <c r="M69" s="719" t="s">
        <v>1215</v>
      </c>
      <c r="N69" s="719" t="s">
        <v>1216</v>
      </c>
      <c r="AA69" s="605"/>
      <c r="AB69" s="605"/>
      <c r="AC69" s="605"/>
      <c r="AD69" s="605"/>
      <c r="AE69" s="605"/>
      <c r="AF69" s="605"/>
      <c r="AG69" s="605"/>
      <c r="AH69" s="605"/>
      <c r="AI69" s="605"/>
      <c r="AJ69" s="605"/>
      <c r="AK69" s="605"/>
    </row>
    <row r="70" s="449" customFormat="1" ht="48" spans="1:37">
      <c r="A70" s="620" t="s">
        <v>1595</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1580</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1581</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1596</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1588</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1589</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1586</v>
      </c>
      <c r="B76" s="634" t="s">
        <v>1587</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1590</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1597</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1598</v>
      </c>
      <c r="B79" s="615">
        <f>1+E81</f>
        <v>1</v>
      </c>
      <c r="C79" s="617"/>
      <c r="D79" s="617"/>
      <c r="E79" s="618"/>
      <c r="F79" s="619"/>
      <c r="G79" s="613"/>
      <c r="H79" s="613"/>
      <c r="I79" s="613"/>
      <c r="J79" s="612"/>
      <c r="K79" s="612"/>
      <c r="L79" s="612"/>
      <c r="M79" s="612"/>
      <c r="N79" s="612"/>
      <c r="Z79" s="453"/>
      <c r="AA79" s="451"/>
      <c r="AG79" s="455"/>
      <c r="AK79" s="451"/>
    </row>
    <row r="80" ht="24.75" spans="1:37">
      <c r="A80" s="620" t="s">
        <v>1571</v>
      </c>
      <c r="B80" s="621"/>
      <c r="C80" s="621" t="s">
        <v>1573</v>
      </c>
      <c r="D80" s="621" t="s">
        <v>1574</v>
      </c>
      <c r="E80" s="622" t="s">
        <v>1575</v>
      </c>
      <c r="F80" s="623" t="s">
        <v>1592</v>
      </c>
      <c r="G80" s="621" t="s">
        <v>1283</v>
      </c>
      <c r="H80" s="624" t="s">
        <v>1577</v>
      </c>
      <c r="I80" s="621" t="s">
        <v>1578</v>
      </c>
      <c r="J80" s="719" t="s">
        <v>1212</v>
      </c>
      <c r="K80" s="719" t="s">
        <v>1213</v>
      </c>
      <c r="L80" s="719" t="s">
        <v>1214</v>
      </c>
      <c r="M80" s="719" t="s">
        <v>1215</v>
      </c>
      <c r="N80" s="719" t="s">
        <v>1216</v>
      </c>
      <c r="Z80" s="453"/>
      <c r="AA80" s="451"/>
      <c r="AG80" s="455"/>
      <c r="AK80" s="451"/>
    </row>
    <row r="81" ht="38.25" spans="1:37">
      <c r="A81" s="620" t="s">
        <v>1599</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1580</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1581</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1596</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1588</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1589</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1586</v>
      </c>
      <c r="B87" s="634" t="s">
        <v>1600</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1601</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1602</v>
      </c>
      <c r="B90" s="757"/>
      <c r="C90" s="757"/>
      <c r="D90" s="757"/>
      <c r="E90" s="757"/>
      <c r="F90" s="757"/>
      <c r="G90" s="757"/>
      <c r="H90" s="757"/>
      <c r="I90" s="757"/>
      <c r="J90" s="757"/>
      <c r="K90" s="757"/>
      <c r="L90" s="757"/>
      <c r="M90" s="757"/>
      <c r="N90" s="757"/>
    </row>
    <row r="91" spans="1:14">
      <c r="A91" s="583" t="s">
        <v>1603</v>
      </c>
      <c r="B91" s="583" t="s">
        <v>1604</v>
      </c>
      <c r="C91" s="584" t="s">
        <v>1605</v>
      </c>
      <c r="D91" s="585"/>
      <c r="E91" s="585"/>
      <c r="F91" s="585"/>
      <c r="G91" s="585"/>
      <c r="H91" s="585"/>
      <c r="I91" s="585"/>
      <c r="J91" s="782"/>
      <c r="K91" s="783"/>
      <c r="L91" s="783"/>
      <c r="M91" s="783"/>
      <c r="N91" s="783"/>
    </row>
    <row r="92" spans="1:14">
      <c r="A92" s="583"/>
      <c r="B92" s="583"/>
      <c r="C92" s="583" t="s">
        <v>1457</v>
      </c>
      <c r="D92" s="583" t="s">
        <v>1458</v>
      </c>
      <c r="E92" s="583" t="s">
        <v>1459</v>
      </c>
      <c r="F92" s="583" t="s">
        <v>1460</v>
      </c>
      <c r="G92" s="583" t="s">
        <v>1461</v>
      </c>
      <c r="H92" s="583" t="s">
        <v>1462</v>
      </c>
      <c r="I92" s="583" t="s">
        <v>1463</v>
      </c>
      <c r="J92" s="583" t="s">
        <v>1464</v>
      </c>
      <c r="K92" s="583" t="s">
        <v>1465</v>
      </c>
      <c r="L92" s="583" t="s">
        <v>1466</v>
      </c>
      <c r="M92" s="583" t="s">
        <v>1467</v>
      </c>
      <c r="N92" s="583" t="s">
        <v>1468</v>
      </c>
    </row>
    <row r="93" spans="1:14">
      <c r="A93" s="758" t="s">
        <v>1606</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1474</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1607</v>
      </c>
      <c r="B101" s="765" t="s">
        <v>1608</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1488</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1609</v>
      </c>
      <c r="B110" s="768"/>
      <c r="C110" s="768"/>
      <c r="D110" s="768"/>
      <c r="E110" s="768"/>
      <c r="F110" s="768"/>
      <c r="G110" s="768"/>
      <c r="H110" s="768"/>
      <c r="I110" s="768"/>
      <c r="J110" s="768"/>
      <c r="K110" s="768"/>
      <c r="L110" s="768"/>
      <c r="M110" s="768"/>
      <c r="N110" s="768"/>
    </row>
    <row r="112" ht="13.5"/>
    <row r="113" ht="25.5" spans="1:13">
      <c r="A113" s="769" t="s">
        <v>1610</v>
      </c>
      <c r="B113" s="770">
        <f>G3</f>
        <v>2.5</v>
      </c>
      <c r="C113" s="771" t="s">
        <v>1611</v>
      </c>
      <c r="D113" s="772">
        <f>SUMPRODUCT((A115:A118=F113)*(B114:M114=H113)*B115:M118)</f>
        <v>0.8059</v>
      </c>
      <c r="E113" s="461" t="s">
        <v>1430</v>
      </c>
      <c r="F113" s="773" t="str">
        <f>E2</f>
        <v>商业</v>
      </c>
      <c r="G113" s="461" t="s">
        <v>1431</v>
      </c>
      <c r="H113" s="773" t="str">
        <f>G2</f>
        <v>七级</v>
      </c>
      <c r="I113" s="461"/>
      <c r="J113" s="784"/>
      <c r="K113" s="784"/>
      <c r="L113" s="784"/>
      <c r="M113" s="784"/>
    </row>
    <row r="114" spans="1:13">
      <c r="A114" s="774"/>
      <c r="B114" s="775" t="s">
        <v>1612</v>
      </c>
      <c r="C114" s="775" t="s">
        <v>1613</v>
      </c>
      <c r="D114" s="775" t="s">
        <v>1614</v>
      </c>
      <c r="E114" s="776" t="s">
        <v>1615</v>
      </c>
      <c r="F114" s="776" t="s">
        <v>1616</v>
      </c>
      <c r="G114" s="776" t="s">
        <v>1617</v>
      </c>
      <c r="H114" s="777" t="s">
        <v>1618</v>
      </c>
      <c r="I114" s="777" t="s">
        <v>1619</v>
      </c>
      <c r="J114" s="785" t="s">
        <v>1620</v>
      </c>
      <c r="K114" s="785" t="s">
        <v>1621</v>
      </c>
      <c r="L114" s="785" t="s">
        <v>1622</v>
      </c>
      <c r="M114" s="786" t="s">
        <v>1623</v>
      </c>
    </row>
    <row r="115" spans="1:13">
      <c r="A115" s="778" t="s">
        <v>1542</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1543</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1544</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1545</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C1" workbookViewId="0">
      <selection activeCell="K100" sqref="K100"/>
    </sheetView>
  </sheetViews>
  <sheetFormatPr defaultColWidth="9" defaultRowHeight="13.5" outlineLevelCol="5"/>
  <cols>
    <col min="4" max="4" width="12.625"/>
    <col min="6" max="6" width="12.625"/>
  </cols>
  <sheetData>
    <row r="99" spans="4:6">
      <c r="D99" t="s">
        <v>2071</v>
      </c>
      <c r="E99" t="s">
        <v>2072</v>
      </c>
      <c r="F99" t="s">
        <v>2136</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6" customWidth="1"/>
    <col min="2" max="9" width="8.21666666666667" style="405" customWidth="1"/>
    <col min="10" max="13" width="8.21666666666667" style="406"/>
    <col min="14" max="14" width="10" style="406" customWidth="1"/>
    <col min="15" max="16" width="8.21666666666667" style="406"/>
    <col min="17" max="17" width="34.1083333333333" style="406" customWidth="1"/>
    <col min="18" max="18" width="8.21666666666667" style="406" customWidth="1"/>
    <col min="19" max="19" width="8.21666666666667" style="406"/>
    <col min="20" max="20" width="11.6666666666667" style="406" customWidth="1"/>
    <col min="21" max="16384" width="8.21666666666667"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459</v>
      </c>
      <c r="B2" s="409">
        <v>3.5</v>
      </c>
      <c r="C2" s="409">
        <v>3.5</v>
      </c>
      <c r="D2" s="410">
        <v>2.5</v>
      </c>
      <c r="E2" s="410">
        <v>2.5</v>
      </c>
      <c r="F2" s="410">
        <v>2.5</v>
      </c>
      <c r="G2" s="410">
        <v>2.5</v>
      </c>
      <c r="H2" s="410">
        <v>2.5</v>
      </c>
      <c r="I2" s="409">
        <v>2</v>
      </c>
      <c r="J2" s="409">
        <v>2</v>
      </c>
      <c r="K2" s="409">
        <v>2</v>
      </c>
      <c r="L2" s="409">
        <v>2</v>
      </c>
      <c r="M2" s="442">
        <v>2</v>
      </c>
    </row>
    <row r="3" customHeight="1" spans="1:13">
      <c r="A3" s="411" t="s">
        <v>2137</v>
      </c>
      <c r="B3" s="412">
        <v>3.5</v>
      </c>
      <c r="C3" s="412">
        <v>3.5</v>
      </c>
      <c r="D3" s="413">
        <v>2.5</v>
      </c>
      <c r="E3" s="413">
        <v>2.5</v>
      </c>
      <c r="F3" s="413">
        <v>2.5</v>
      </c>
      <c r="G3" s="413">
        <v>2.5</v>
      </c>
      <c r="H3" s="413">
        <v>2.5</v>
      </c>
      <c r="I3" s="412">
        <v>2</v>
      </c>
      <c r="J3" s="412">
        <v>2</v>
      </c>
      <c r="K3" s="412">
        <v>2</v>
      </c>
      <c r="L3" s="412">
        <v>2</v>
      </c>
      <c r="M3" s="443">
        <v>2</v>
      </c>
    </row>
    <row r="4" customHeight="1" spans="1:13">
      <c r="A4" s="411" t="s">
        <v>2138</v>
      </c>
      <c r="B4" s="413">
        <v>2.5</v>
      </c>
      <c r="C4" s="413">
        <v>2.5</v>
      </c>
      <c r="D4" s="413">
        <v>2.5</v>
      </c>
      <c r="E4" s="413">
        <v>2.5</v>
      </c>
      <c r="F4" s="413">
        <v>2.5</v>
      </c>
      <c r="G4" s="413">
        <v>2.5</v>
      </c>
      <c r="H4" s="413">
        <v>2.5</v>
      </c>
      <c r="I4" s="412">
        <v>1.5</v>
      </c>
      <c r="J4" s="412">
        <v>1.5</v>
      </c>
      <c r="K4" s="412">
        <v>1.5</v>
      </c>
      <c r="L4" s="412">
        <v>1.5</v>
      </c>
      <c r="M4" s="443">
        <v>1.5</v>
      </c>
    </row>
    <row r="5" customHeight="1" spans="1:13">
      <c r="A5" s="414" t="s">
        <v>2139</v>
      </c>
      <c r="B5" s="415">
        <v>1.5</v>
      </c>
      <c r="C5" s="415">
        <v>1.5</v>
      </c>
      <c r="D5" s="415">
        <v>1.5</v>
      </c>
      <c r="E5" s="415">
        <v>1.5</v>
      </c>
      <c r="F5" s="415">
        <v>1.5</v>
      </c>
      <c r="G5" s="416">
        <v>1.2</v>
      </c>
      <c r="H5" s="416">
        <v>1.2</v>
      </c>
      <c r="I5" s="416">
        <v>1</v>
      </c>
      <c r="J5" s="416">
        <v>1</v>
      </c>
      <c r="K5" s="416">
        <v>1</v>
      </c>
      <c r="L5" s="416">
        <v>1</v>
      </c>
      <c r="M5" s="444">
        <v>1</v>
      </c>
    </row>
    <row r="6" customHeight="1" spans="1:13">
      <c r="A6" s="417" t="s">
        <v>1500</v>
      </c>
      <c r="B6" s="418">
        <v>80</v>
      </c>
      <c r="C6" s="418">
        <v>80</v>
      </c>
      <c r="D6" s="418">
        <v>65</v>
      </c>
      <c r="E6" s="418">
        <v>65</v>
      </c>
      <c r="F6" s="418">
        <v>65</v>
      </c>
      <c r="G6" s="418">
        <v>65</v>
      </c>
      <c r="H6" s="418">
        <v>65</v>
      </c>
      <c r="I6" s="418">
        <v>50</v>
      </c>
      <c r="J6" s="418">
        <v>50</v>
      </c>
      <c r="K6" s="418">
        <v>50</v>
      </c>
      <c r="L6" s="418">
        <v>50</v>
      </c>
      <c r="M6" s="445">
        <v>50</v>
      </c>
    </row>
    <row r="7" customHeight="1" spans="1:13">
      <c r="A7" s="419" t="s">
        <v>1501</v>
      </c>
      <c r="B7" s="420">
        <v>70</v>
      </c>
      <c r="C7" s="420">
        <v>70</v>
      </c>
      <c r="D7" s="420">
        <v>55</v>
      </c>
      <c r="E7" s="420">
        <v>55</v>
      </c>
      <c r="F7" s="420">
        <v>55</v>
      </c>
      <c r="G7" s="420">
        <v>55</v>
      </c>
      <c r="H7" s="420">
        <v>55</v>
      </c>
      <c r="I7" s="420">
        <v>40</v>
      </c>
      <c r="J7" s="420">
        <v>40</v>
      </c>
      <c r="K7" s="420">
        <v>40</v>
      </c>
      <c r="L7" s="420">
        <v>40</v>
      </c>
      <c r="M7" s="446">
        <v>40</v>
      </c>
    </row>
    <row r="8" customHeight="1" spans="1:13">
      <c r="A8" s="419" t="s">
        <v>1502</v>
      </c>
      <c r="B8" s="420">
        <v>20</v>
      </c>
      <c r="C8" s="420">
        <v>20</v>
      </c>
      <c r="D8" s="420">
        <v>15</v>
      </c>
      <c r="E8" s="420">
        <v>15</v>
      </c>
      <c r="F8" s="420">
        <v>15</v>
      </c>
      <c r="G8" s="420">
        <v>15</v>
      </c>
      <c r="H8" s="420">
        <v>15</v>
      </c>
      <c r="I8" s="420">
        <v>10</v>
      </c>
      <c r="J8" s="420">
        <v>10</v>
      </c>
      <c r="K8" s="420">
        <v>10</v>
      </c>
      <c r="L8" s="420">
        <v>10</v>
      </c>
      <c r="M8" s="446">
        <v>10</v>
      </c>
    </row>
    <row r="9" customHeight="1" spans="1:13">
      <c r="A9" s="419" t="s">
        <v>1503</v>
      </c>
      <c r="B9" s="420">
        <v>30</v>
      </c>
      <c r="C9" s="420">
        <v>30</v>
      </c>
      <c r="D9" s="420">
        <v>25</v>
      </c>
      <c r="E9" s="420">
        <v>25</v>
      </c>
      <c r="F9" s="420">
        <v>25</v>
      </c>
      <c r="G9" s="420">
        <v>25</v>
      </c>
      <c r="H9" s="420">
        <v>25</v>
      </c>
      <c r="I9" s="420">
        <v>20</v>
      </c>
      <c r="J9" s="420">
        <v>20</v>
      </c>
      <c r="K9" s="420">
        <v>20</v>
      </c>
      <c r="L9" s="420">
        <v>20</v>
      </c>
      <c r="M9" s="446">
        <v>20</v>
      </c>
    </row>
    <row r="10" customHeight="1" spans="1:13">
      <c r="A10" s="419" t="s">
        <v>1504</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1505</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1506</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1507</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2140</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2141</v>
      </c>
      <c r="B16" s="424"/>
      <c r="C16" s="425"/>
      <c r="D16" s="425"/>
      <c r="E16" s="424"/>
      <c r="F16" s="425"/>
      <c r="G16" s="425"/>
    </row>
    <row r="17" customHeight="1" spans="1:7">
      <c r="A17" s="420" t="s">
        <v>2142</v>
      </c>
      <c r="B17" s="426" t="s">
        <v>2143</v>
      </c>
      <c r="C17" s="426" t="s">
        <v>2144</v>
      </c>
      <c r="D17" s="427"/>
      <c r="E17" s="420" t="s">
        <v>2145</v>
      </c>
      <c r="F17" s="428"/>
      <c r="G17" s="428"/>
    </row>
    <row r="18" s="404" customFormat="1" customHeight="1" spans="1:9">
      <c r="A18" s="429" t="s">
        <v>459</v>
      </c>
      <c r="B18" s="429" t="s">
        <v>2146</v>
      </c>
      <c r="C18" s="430" t="s">
        <v>1435</v>
      </c>
      <c r="D18" s="431"/>
      <c r="E18" s="429">
        <v>1</v>
      </c>
      <c r="F18" s="432" t="s">
        <v>2147</v>
      </c>
      <c r="G18" s="433"/>
      <c r="H18" s="405"/>
      <c r="I18" s="405"/>
    </row>
    <row r="19" s="404" customFormat="1" customHeight="1" spans="1:9">
      <c r="A19" s="429"/>
      <c r="B19" s="429" t="s">
        <v>2148</v>
      </c>
      <c r="C19" s="430" t="s">
        <v>2149</v>
      </c>
      <c r="D19" s="431"/>
      <c r="E19" s="429">
        <v>0.9</v>
      </c>
      <c r="F19" s="432" t="s">
        <v>2150</v>
      </c>
      <c r="G19" s="433"/>
      <c r="H19" s="405"/>
      <c r="I19" s="405"/>
    </row>
    <row r="20" s="404" customFormat="1" customHeight="1" spans="1:9">
      <c r="A20" s="429"/>
      <c r="B20" s="429"/>
      <c r="C20" s="430" t="s">
        <v>2151</v>
      </c>
      <c r="D20" s="431"/>
      <c r="E20" s="429">
        <v>1.1</v>
      </c>
      <c r="F20" s="432" t="s">
        <v>2152</v>
      </c>
      <c r="G20" s="433"/>
      <c r="H20" s="405"/>
      <c r="I20" s="405"/>
    </row>
    <row r="21" s="404" customFormat="1" customHeight="1" spans="1:9">
      <c r="A21" s="429"/>
      <c r="B21" s="429"/>
      <c r="C21" s="430" t="s">
        <v>2153</v>
      </c>
      <c r="D21" s="431"/>
      <c r="E21" s="429">
        <v>0.8</v>
      </c>
      <c r="F21" s="432" t="s">
        <v>2154</v>
      </c>
      <c r="G21" s="433"/>
      <c r="H21" s="405"/>
      <c r="I21" s="405"/>
    </row>
    <row r="22" s="404" customFormat="1" customHeight="1" spans="1:9">
      <c r="A22" s="429"/>
      <c r="B22" s="429"/>
      <c r="C22" s="430" t="s">
        <v>2155</v>
      </c>
      <c r="D22" s="431"/>
      <c r="E22" s="429">
        <v>0.5</v>
      </c>
      <c r="F22" s="432"/>
      <c r="G22" s="433"/>
      <c r="H22" s="405"/>
      <c r="I22" s="405"/>
    </row>
    <row r="23" s="404" customFormat="1" customHeight="1" spans="1:9">
      <c r="A23" s="429" t="s">
        <v>2137</v>
      </c>
      <c r="B23" s="429" t="s">
        <v>2146</v>
      </c>
      <c r="C23" s="430" t="s">
        <v>2156</v>
      </c>
      <c r="D23" s="431"/>
      <c r="E23" s="429">
        <v>1</v>
      </c>
      <c r="F23" s="432" t="s">
        <v>2157</v>
      </c>
      <c r="G23" s="433"/>
      <c r="H23" s="405"/>
      <c r="I23" s="405"/>
    </row>
    <row r="24" s="404" customFormat="1" customHeight="1" spans="1:9">
      <c r="A24" s="429"/>
      <c r="B24" s="429" t="s">
        <v>2148</v>
      </c>
      <c r="C24" s="430" t="s">
        <v>2158</v>
      </c>
      <c r="D24" s="431"/>
      <c r="E24" s="429">
        <v>0.5</v>
      </c>
      <c r="F24" s="432"/>
      <c r="G24" s="433"/>
      <c r="H24" s="405"/>
      <c r="I24" s="405"/>
    </row>
    <row r="25" s="404" customFormat="1" customHeight="1" spans="1:9">
      <c r="A25" s="429"/>
      <c r="B25" s="429"/>
      <c r="C25" s="430" t="s">
        <v>2159</v>
      </c>
      <c r="D25" s="431"/>
      <c r="E25" s="429">
        <v>1.1</v>
      </c>
      <c r="F25" s="432"/>
      <c r="G25" s="433"/>
      <c r="H25" s="405"/>
      <c r="I25" s="405"/>
    </row>
    <row r="26" s="404" customFormat="1" customHeight="1" spans="1:9">
      <c r="A26" s="429"/>
      <c r="B26" s="429"/>
      <c r="C26" s="430" t="s">
        <v>2160</v>
      </c>
      <c r="D26" s="431"/>
      <c r="E26" s="429">
        <v>1.1</v>
      </c>
      <c r="F26" s="432"/>
      <c r="G26" s="433"/>
      <c r="H26" s="405"/>
      <c r="I26" s="405"/>
    </row>
    <row r="27" s="404" customFormat="1" customHeight="1" spans="1:9">
      <c r="A27" s="429"/>
      <c r="B27" s="429"/>
      <c r="C27" s="430" t="s">
        <v>2161</v>
      </c>
      <c r="D27" s="431"/>
      <c r="E27" s="429">
        <v>0.9</v>
      </c>
      <c r="F27" s="432" t="s">
        <v>2162</v>
      </c>
      <c r="G27" s="433"/>
      <c r="H27" s="405"/>
      <c r="I27" s="405"/>
    </row>
    <row r="28" s="404" customFormat="1" customHeight="1" spans="1:9">
      <c r="A28" s="429"/>
      <c r="B28" s="429"/>
      <c r="C28" s="430" t="s">
        <v>2163</v>
      </c>
      <c r="D28" s="431"/>
      <c r="E28" s="429">
        <v>0.9</v>
      </c>
      <c r="F28" s="432" t="s">
        <v>2164</v>
      </c>
      <c r="G28" s="433"/>
      <c r="H28" s="405"/>
      <c r="I28" s="405"/>
    </row>
    <row r="29" s="404" customFormat="1" customHeight="1" spans="1:9">
      <c r="A29" s="429"/>
      <c r="B29" s="429"/>
      <c r="C29" s="430" t="s">
        <v>2165</v>
      </c>
      <c r="D29" s="431"/>
      <c r="E29" s="429">
        <v>0.9</v>
      </c>
      <c r="F29" s="432" t="s">
        <v>2166</v>
      </c>
      <c r="G29" s="433"/>
      <c r="H29" s="405"/>
      <c r="I29" s="405"/>
    </row>
    <row r="30" s="404" customFormat="1" customHeight="1" spans="1:9">
      <c r="A30" s="429"/>
      <c r="B30" s="429"/>
      <c r="C30" s="430" t="s">
        <v>2167</v>
      </c>
      <c r="D30" s="431"/>
      <c r="E30" s="429">
        <v>0.9</v>
      </c>
      <c r="F30" s="432" t="s">
        <v>2168</v>
      </c>
      <c r="G30" s="433"/>
      <c r="H30" s="405"/>
      <c r="I30" s="405"/>
    </row>
    <row r="31" s="404" customFormat="1" customHeight="1" spans="1:9">
      <c r="A31" s="429"/>
      <c r="B31" s="429"/>
      <c r="C31" s="430" t="s">
        <v>2169</v>
      </c>
      <c r="D31" s="431"/>
      <c r="E31" s="429">
        <v>0.8</v>
      </c>
      <c r="F31" s="432" t="s">
        <v>2170</v>
      </c>
      <c r="G31" s="433"/>
      <c r="H31" s="405"/>
      <c r="I31" s="405"/>
    </row>
    <row r="32" s="404" customFormat="1" customHeight="1" spans="1:9">
      <c r="A32" s="429"/>
      <c r="B32" s="429"/>
      <c r="C32" s="430" t="s">
        <v>2171</v>
      </c>
      <c r="D32" s="431"/>
      <c r="E32" s="429">
        <v>0.8</v>
      </c>
      <c r="F32" s="432" t="s">
        <v>2172</v>
      </c>
      <c r="G32" s="433"/>
      <c r="H32" s="405"/>
      <c r="I32" s="405"/>
    </row>
    <row r="33" s="404" customFormat="1" customHeight="1" spans="1:9">
      <c r="A33" s="429" t="s">
        <v>2173</v>
      </c>
      <c r="B33" s="429" t="s">
        <v>2146</v>
      </c>
      <c r="C33" s="430" t="s">
        <v>2174</v>
      </c>
      <c r="D33" s="431"/>
      <c r="E33" s="429">
        <v>1</v>
      </c>
      <c r="F33" s="432" t="s">
        <v>2175</v>
      </c>
      <c r="G33" s="433"/>
      <c r="H33" s="405"/>
      <c r="I33" s="405"/>
    </row>
    <row r="34" s="404" customFormat="1" customHeight="1" spans="1:9">
      <c r="A34" s="429"/>
      <c r="B34" s="429" t="s">
        <v>2148</v>
      </c>
      <c r="C34" s="430" t="s">
        <v>2176</v>
      </c>
      <c r="D34" s="431"/>
      <c r="E34" s="429">
        <v>1.5</v>
      </c>
      <c r="F34" s="432" t="s">
        <v>2177</v>
      </c>
      <c r="G34" s="433"/>
      <c r="H34" s="405"/>
      <c r="I34" s="405"/>
    </row>
    <row r="35" s="404" customFormat="1" customHeight="1" spans="1:9">
      <c r="A35" s="429" t="s">
        <v>2139</v>
      </c>
      <c r="B35" s="429" t="s">
        <v>2146</v>
      </c>
      <c r="C35" s="430" t="s">
        <v>2178</v>
      </c>
      <c r="D35" s="431"/>
      <c r="E35" s="429">
        <v>1</v>
      </c>
      <c r="F35" s="432" t="s">
        <v>2179</v>
      </c>
      <c r="G35" s="433"/>
      <c r="H35" s="405"/>
      <c r="I35" s="405"/>
    </row>
    <row r="36" s="404" customFormat="1" customHeight="1" spans="1:9">
      <c r="A36" s="429"/>
      <c r="B36" s="429" t="s">
        <v>2148</v>
      </c>
      <c r="C36" s="430" t="s">
        <v>2180</v>
      </c>
      <c r="D36" s="431"/>
      <c r="E36" s="429">
        <v>1</v>
      </c>
      <c r="F36" s="432" t="s">
        <v>2181</v>
      </c>
      <c r="G36" s="433"/>
      <c r="H36" s="405"/>
      <c r="I36" s="405"/>
    </row>
    <row r="37" s="404" customFormat="1" customHeight="1" spans="1:9">
      <c r="A37" s="429"/>
      <c r="B37" s="429"/>
      <c r="C37" s="430" t="s">
        <v>2182</v>
      </c>
      <c r="D37" s="431"/>
      <c r="E37" s="429">
        <v>1.5</v>
      </c>
      <c r="F37" s="432" t="s">
        <v>2183</v>
      </c>
      <c r="G37" s="433"/>
      <c r="H37" s="405"/>
      <c r="I37" s="405"/>
    </row>
    <row r="38" s="404" customFormat="1" customHeight="1" spans="1:9">
      <c r="A38" s="429"/>
      <c r="B38" s="429"/>
      <c r="C38" s="430" t="s">
        <v>2184</v>
      </c>
      <c r="D38" s="431"/>
      <c r="E38" s="429">
        <v>1</v>
      </c>
      <c r="F38" s="432" t="s">
        <v>2185</v>
      </c>
      <c r="G38" s="433"/>
      <c r="H38" s="405"/>
      <c r="I38" s="405"/>
    </row>
    <row r="39" s="404" customFormat="1" customHeight="1" spans="1:9">
      <c r="A39" s="429"/>
      <c r="B39" s="429"/>
      <c r="C39" s="430" t="s">
        <v>2186</v>
      </c>
      <c r="D39" s="431"/>
      <c r="E39" s="429">
        <v>1</v>
      </c>
      <c r="F39" s="432" t="s">
        <v>2187</v>
      </c>
      <c r="G39" s="433"/>
      <c r="H39" s="405"/>
      <c r="I39" s="405"/>
    </row>
    <row r="40" s="404" customFormat="1" customHeight="1" spans="1:9">
      <c r="A40" s="434" t="s">
        <v>2188</v>
      </c>
      <c r="B40" s="434"/>
      <c r="C40" s="434"/>
      <c r="D40" s="434"/>
      <c r="E40" s="434"/>
      <c r="F40" s="435"/>
      <c r="G40" s="435"/>
      <c r="H40" s="405"/>
      <c r="I40" s="405"/>
    </row>
    <row r="42" customHeight="1" spans="1:8">
      <c r="A42" s="436"/>
      <c r="B42" s="420" t="s">
        <v>453</v>
      </c>
      <c r="C42" s="420" t="s">
        <v>453</v>
      </c>
      <c r="D42" s="420" t="s">
        <v>453</v>
      </c>
      <c r="E42" s="422" t="s">
        <v>453</v>
      </c>
      <c r="F42" s="422" t="s">
        <v>453</v>
      </c>
      <c r="G42" s="422" t="s">
        <v>2189</v>
      </c>
      <c r="H42" s="422" t="s">
        <v>453</v>
      </c>
    </row>
    <row r="43" customHeight="1" spans="1:8">
      <c r="A43" s="437"/>
      <c r="B43" s="422" t="s">
        <v>459</v>
      </c>
      <c r="C43" s="422" t="s">
        <v>459</v>
      </c>
      <c r="D43" s="422" t="s">
        <v>459</v>
      </c>
      <c r="E43" s="422" t="s">
        <v>459</v>
      </c>
      <c r="F43" s="420" t="s">
        <v>2137</v>
      </c>
      <c r="G43" s="420" t="s">
        <v>2139</v>
      </c>
      <c r="H43" s="420" t="s">
        <v>2190</v>
      </c>
    </row>
    <row r="44" customHeight="1" spans="1:8">
      <c r="A44" s="438"/>
      <c r="B44" s="420">
        <v>1</v>
      </c>
      <c r="C44" s="420">
        <v>2</v>
      </c>
      <c r="D44" s="420">
        <v>3</v>
      </c>
      <c r="E44" s="422">
        <v>4</v>
      </c>
      <c r="F44" s="427" t="s">
        <v>2191</v>
      </c>
      <c r="G44" s="427" t="s">
        <v>2191</v>
      </c>
      <c r="H44" s="427" t="s">
        <v>2191</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2192</v>
      </c>
      <c r="E58" s="424"/>
      <c r="F58" s="424"/>
    </row>
    <row r="59" s="405" customFormat="1" customHeight="1" spans="1:6">
      <c r="A59" s="429" t="s">
        <v>700</v>
      </c>
      <c r="B59" s="429" t="s">
        <v>2193</v>
      </c>
      <c r="C59" s="429" t="s">
        <v>2194</v>
      </c>
      <c r="D59" s="429" t="s">
        <v>2195</v>
      </c>
      <c r="E59" s="429" t="s">
        <v>2196</v>
      </c>
      <c r="F59" s="429" t="s">
        <v>2197</v>
      </c>
    </row>
    <row r="60" ht="13.5" spans="1:6">
      <c r="A60" s="429"/>
      <c r="B60" s="429"/>
      <c r="C60" s="429" t="s">
        <v>1452</v>
      </c>
      <c r="D60" s="429"/>
      <c r="E60" s="441" t="s">
        <v>124</v>
      </c>
      <c r="F60" s="429" t="s">
        <v>124</v>
      </c>
    </row>
    <row r="61" s="405" customFormat="1" ht="24" spans="1:6">
      <c r="A61" s="429">
        <v>1</v>
      </c>
      <c r="B61" s="429" t="s">
        <v>2198</v>
      </c>
      <c r="C61" s="420" t="s">
        <v>2199</v>
      </c>
      <c r="D61" s="420" t="s">
        <v>2200</v>
      </c>
      <c r="E61" s="441">
        <v>0.5</v>
      </c>
      <c r="F61" s="429">
        <v>80</v>
      </c>
    </row>
    <row r="62" s="405" customFormat="1" ht="24" spans="1:6">
      <c r="A62" s="429">
        <v>2</v>
      </c>
      <c r="B62" s="429"/>
      <c r="C62" s="420" t="s">
        <v>2201</v>
      </c>
      <c r="D62" s="420" t="s">
        <v>2202</v>
      </c>
      <c r="E62" s="441">
        <v>0.5</v>
      </c>
      <c r="F62" s="429">
        <v>80</v>
      </c>
    </row>
    <row r="63" s="405" customFormat="1" ht="36" spans="1:6">
      <c r="A63" s="429">
        <v>3</v>
      </c>
      <c r="B63" s="429"/>
      <c r="C63" s="420" t="s">
        <v>2203</v>
      </c>
      <c r="D63" s="420" t="s">
        <v>2204</v>
      </c>
      <c r="E63" s="441">
        <v>0.5</v>
      </c>
      <c r="F63" s="429">
        <v>80</v>
      </c>
    </row>
    <row r="64" s="405" customFormat="1" ht="36" spans="1:6">
      <c r="A64" s="429">
        <v>4</v>
      </c>
      <c r="B64" s="429"/>
      <c r="C64" s="420" t="s">
        <v>2205</v>
      </c>
      <c r="D64" s="420" t="s">
        <v>2206</v>
      </c>
      <c r="E64" s="441">
        <v>0.4</v>
      </c>
      <c r="F64" s="429">
        <v>60</v>
      </c>
    </row>
    <row r="65" s="405" customFormat="1" ht="36" spans="1:6">
      <c r="A65" s="429">
        <v>5</v>
      </c>
      <c r="B65" s="429"/>
      <c r="C65" s="420" t="s">
        <v>2207</v>
      </c>
      <c r="D65" s="420" t="s">
        <v>2208</v>
      </c>
      <c r="E65" s="441">
        <v>0.2</v>
      </c>
      <c r="F65" s="429">
        <v>30</v>
      </c>
    </row>
    <row r="66" s="405" customFormat="1" ht="36" spans="1:6">
      <c r="A66" s="429">
        <v>6</v>
      </c>
      <c r="B66" s="429"/>
      <c r="C66" s="420" t="s">
        <v>2209</v>
      </c>
      <c r="D66" s="420" t="s">
        <v>2210</v>
      </c>
      <c r="E66" s="441">
        <v>0.3</v>
      </c>
      <c r="F66" s="429">
        <v>50</v>
      </c>
    </row>
    <row r="67" s="405" customFormat="1" ht="36" spans="1:6">
      <c r="A67" s="429">
        <v>7</v>
      </c>
      <c r="B67" s="429"/>
      <c r="C67" s="420" t="s">
        <v>2211</v>
      </c>
      <c r="D67" s="420" t="s">
        <v>2212</v>
      </c>
      <c r="E67" s="441">
        <v>0.2</v>
      </c>
      <c r="F67" s="429">
        <v>30</v>
      </c>
    </row>
    <row r="68" s="405" customFormat="1" ht="36" spans="1:6">
      <c r="A68" s="429">
        <v>8</v>
      </c>
      <c r="B68" s="429"/>
      <c r="C68" s="420" t="s">
        <v>2213</v>
      </c>
      <c r="D68" s="420" t="s">
        <v>2214</v>
      </c>
      <c r="E68" s="441">
        <v>0.2</v>
      </c>
      <c r="F68" s="429">
        <v>30</v>
      </c>
    </row>
    <row r="69" s="405" customFormat="1" ht="36" spans="1:6">
      <c r="A69" s="429">
        <v>9</v>
      </c>
      <c r="B69" s="429"/>
      <c r="C69" s="420" t="s">
        <v>2215</v>
      </c>
      <c r="D69" s="420" t="s">
        <v>2216</v>
      </c>
      <c r="E69" s="441">
        <v>0.2</v>
      </c>
      <c r="F69" s="429">
        <v>30</v>
      </c>
    </row>
    <row r="70" s="405" customFormat="1" ht="48" spans="1:6">
      <c r="A70" s="429">
        <v>10</v>
      </c>
      <c r="B70" s="429"/>
      <c r="C70" s="420" t="s">
        <v>2217</v>
      </c>
      <c r="D70" s="420" t="s">
        <v>2218</v>
      </c>
      <c r="E70" s="441">
        <v>0.2</v>
      </c>
      <c r="F70" s="429">
        <v>30</v>
      </c>
    </row>
    <row r="71" s="405" customFormat="1" ht="48" spans="1:6">
      <c r="A71" s="429">
        <v>11</v>
      </c>
      <c r="B71" s="429"/>
      <c r="C71" s="420" t="s">
        <v>2219</v>
      </c>
      <c r="D71" s="420" t="s">
        <v>2220</v>
      </c>
      <c r="E71" s="441">
        <v>0.2</v>
      </c>
      <c r="F71" s="429">
        <v>30</v>
      </c>
    </row>
    <row r="72" s="405" customFormat="1" ht="36" spans="1:6">
      <c r="A72" s="429">
        <v>12</v>
      </c>
      <c r="B72" s="429"/>
      <c r="C72" s="420" t="s">
        <v>2221</v>
      </c>
      <c r="D72" s="420" t="s">
        <v>2222</v>
      </c>
      <c r="E72" s="441">
        <v>0.5</v>
      </c>
      <c r="F72" s="429">
        <v>80</v>
      </c>
    </row>
    <row r="73" s="405" customFormat="1" ht="36" spans="1:6">
      <c r="A73" s="429">
        <v>13</v>
      </c>
      <c r="B73" s="429"/>
      <c r="C73" s="420" t="s">
        <v>2223</v>
      </c>
      <c r="D73" s="420" t="s">
        <v>2224</v>
      </c>
      <c r="E73" s="441">
        <v>0.4</v>
      </c>
      <c r="F73" s="429">
        <v>60</v>
      </c>
    </row>
    <row r="74" s="405" customFormat="1" ht="36" spans="1:6">
      <c r="A74" s="429">
        <v>14</v>
      </c>
      <c r="B74" s="429"/>
      <c r="C74" s="420" t="s">
        <v>2225</v>
      </c>
      <c r="D74" s="420" t="s">
        <v>2226</v>
      </c>
      <c r="E74" s="441">
        <v>0.2</v>
      </c>
      <c r="F74" s="429">
        <v>30</v>
      </c>
    </row>
    <row r="75" s="405" customFormat="1" ht="36" spans="1:6">
      <c r="A75" s="429">
        <v>15</v>
      </c>
      <c r="B75" s="429"/>
      <c r="C75" s="420" t="s">
        <v>2227</v>
      </c>
      <c r="D75" s="420" t="s">
        <v>2228</v>
      </c>
      <c r="E75" s="441">
        <v>0.2</v>
      </c>
      <c r="F75" s="429">
        <v>30</v>
      </c>
    </row>
    <row r="76" s="405" customFormat="1" ht="24" spans="1:6">
      <c r="A76" s="429">
        <v>16</v>
      </c>
      <c r="B76" s="429" t="s">
        <v>2229</v>
      </c>
      <c r="C76" s="420" t="s">
        <v>2230</v>
      </c>
      <c r="D76" s="420" t="s">
        <v>2231</v>
      </c>
      <c r="E76" s="441">
        <v>0.5</v>
      </c>
      <c r="F76" s="429">
        <v>80</v>
      </c>
    </row>
    <row r="77" s="405" customFormat="1" ht="24" spans="1:6">
      <c r="A77" s="429">
        <v>17</v>
      </c>
      <c r="B77" s="429"/>
      <c r="C77" s="420" t="s">
        <v>2232</v>
      </c>
      <c r="D77" s="420" t="s">
        <v>2233</v>
      </c>
      <c r="E77" s="441">
        <v>0.5</v>
      </c>
      <c r="F77" s="429">
        <v>80</v>
      </c>
    </row>
    <row r="78" s="405" customFormat="1" ht="36" spans="1:6">
      <c r="A78" s="429">
        <v>18</v>
      </c>
      <c r="B78" s="429"/>
      <c r="C78" s="420" t="s">
        <v>2234</v>
      </c>
      <c r="D78" s="420" t="s">
        <v>2235</v>
      </c>
      <c r="E78" s="441">
        <v>0.2</v>
      </c>
      <c r="F78" s="429">
        <v>30</v>
      </c>
    </row>
    <row r="79" s="405" customFormat="1" ht="24" spans="1:6">
      <c r="A79" s="429">
        <v>19</v>
      </c>
      <c r="B79" s="429"/>
      <c r="C79" s="420" t="s">
        <v>2236</v>
      </c>
      <c r="D79" s="420" t="s">
        <v>2237</v>
      </c>
      <c r="E79" s="441">
        <v>0.5</v>
      </c>
      <c r="F79" s="429">
        <v>80</v>
      </c>
    </row>
    <row r="80" s="405" customFormat="1" ht="36" spans="1:6">
      <c r="A80" s="429">
        <v>20</v>
      </c>
      <c r="B80" s="429"/>
      <c r="C80" s="420" t="s">
        <v>2238</v>
      </c>
      <c r="D80" s="420" t="s">
        <v>2239</v>
      </c>
      <c r="E80" s="441">
        <v>0.2</v>
      </c>
      <c r="F80" s="429">
        <v>30</v>
      </c>
    </row>
    <row r="81" s="405" customFormat="1" ht="36" spans="1:6">
      <c r="A81" s="429">
        <v>21</v>
      </c>
      <c r="B81" s="429"/>
      <c r="C81" s="420" t="s">
        <v>2240</v>
      </c>
      <c r="D81" s="420" t="s">
        <v>2241</v>
      </c>
      <c r="E81" s="441">
        <v>0.2</v>
      </c>
      <c r="F81" s="429">
        <v>30</v>
      </c>
    </row>
    <row r="82" s="405" customFormat="1" ht="48" spans="1:6">
      <c r="A82" s="429">
        <v>22</v>
      </c>
      <c r="B82" s="429"/>
      <c r="C82" s="420" t="s">
        <v>2242</v>
      </c>
      <c r="D82" s="420" t="s">
        <v>2243</v>
      </c>
      <c r="E82" s="441">
        <v>0.2</v>
      </c>
      <c r="F82" s="429">
        <v>30</v>
      </c>
    </row>
    <row r="83" s="405" customFormat="1" ht="48" spans="1:6">
      <c r="A83" s="429">
        <v>23</v>
      </c>
      <c r="B83" s="429"/>
      <c r="C83" s="420" t="s">
        <v>2244</v>
      </c>
      <c r="D83" s="420" t="s">
        <v>2245</v>
      </c>
      <c r="E83" s="441">
        <v>0.2</v>
      </c>
      <c r="F83" s="429">
        <v>30</v>
      </c>
    </row>
    <row r="84" s="405" customFormat="1" ht="36" spans="1:6">
      <c r="A84" s="429">
        <v>24</v>
      </c>
      <c r="B84" s="429"/>
      <c r="C84" s="420" t="s">
        <v>2246</v>
      </c>
      <c r="D84" s="420" t="s">
        <v>2247</v>
      </c>
      <c r="E84" s="441">
        <v>0.2</v>
      </c>
      <c r="F84" s="429">
        <v>30</v>
      </c>
    </row>
    <row r="85" s="405" customFormat="1" ht="36" spans="1:6">
      <c r="A85" s="429">
        <v>25</v>
      </c>
      <c r="B85" s="429"/>
      <c r="C85" s="420" t="s">
        <v>2248</v>
      </c>
      <c r="D85" s="420" t="s">
        <v>2249</v>
      </c>
      <c r="E85" s="441">
        <v>0.5</v>
      </c>
      <c r="F85" s="429">
        <v>80</v>
      </c>
    </row>
    <row r="86" s="405" customFormat="1" ht="36" spans="1:6">
      <c r="A86" s="429">
        <v>26</v>
      </c>
      <c r="B86" s="429"/>
      <c r="C86" s="420" t="s">
        <v>2250</v>
      </c>
      <c r="D86" s="420" t="s">
        <v>2251</v>
      </c>
      <c r="E86" s="441">
        <v>0.2</v>
      </c>
      <c r="F86" s="429">
        <v>30</v>
      </c>
    </row>
    <row r="87" s="405" customFormat="1" ht="36" spans="1:6">
      <c r="A87" s="429">
        <v>27</v>
      </c>
      <c r="B87" s="429"/>
      <c r="C87" s="420" t="s">
        <v>2252</v>
      </c>
      <c r="D87" s="420" t="s">
        <v>2253</v>
      </c>
      <c r="E87" s="441">
        <v>0.2</v>
      </c>
      <c r="F87" s="429">
        <v>30</v>
      </c>
    </row>
    <row r="88" s="405" customFormat="1" ht="36" spans="1:6">
      <c r="A88" s="429">
        <v>28</v>
      </c>
      <c r="B88" s="429"/>
      <c r="C88" s="420" t="s">
        <v>2254</v>
      </c>
      <c r="D88" s="420" t="s">
        <v>2255</v>
      </c>
      <c r="E88" s="441">
        <v>0.2</v>
      </c>
      <c r="F88" s="429">
        <v>30</v>
      </c>
    </row>
    <row r="89" s="405" customFormat="1" ht="36" spans="1:6">
      <c r="A89" s="429">
        <v>29</v>
      </c>
      <c r="B89" s="429"/>
      <c r="C89" s="420" t="s">
        <v>2256</v>
      </c>
      <c r="D89" s="420" t="s">
        <v>2257</v>
      </c>
      <c r="E89" s="441">
        <v>0.2</v>
      </c>
      <c r="F89" s="429">
        <v>30</v>
      </c>
    </row>
    <row r="90" s="405" customFormat="1" ht="36" spans="1:6">
      <c r="A90" s="429">
        <v>30</v>
      </c>
      <c r="B90" s="429"/>
      <c r="C90" s="420" t="s">
        <v>2258</v>
      </c>
      <c r="D90" s="420" t="s">
        <v>2259</v>
      </c>
      <c r="E90" s="441">
        <v>0.2</v>
      </c>
      <c r="F90" s="429">
        <v>30</v>
      </c>
    </row>
    <row r="91" s="405" customFormat="1" ht="36" spans="1:6">
      <c r="A91" s="429">
        <v>31</v>
      </c>
      <c r="B91" s="429"/>
      <c r="C91" s="420" t="s">
        <v>2260</v>
      </c>
      <c r="D91" s="420" t="s">
        <v>2261</v>
      </c>
      <c r="E91" s="441">
        <v>0.2</v>
      </c>
      <c r="F91" s="429">
        <v>30</v>
      </c>
    </row>
    <row r="92" s="405" customFormat="1" ht="36" spans="1:6">
      <c r="A92" s="429">
        <v>32</v>
      </c>
      <c r="B92" s="429" t="s">
        <v>2262</v>
      </c>
      <c r="C92" s="429" t="s">
        <v>2263</v>
      </c>
      <c r="D92" s="420" t="s">
        <v>2264</v>
      </c>
      <c r="E92" s="441">
        <v>0.2</v>
      </c>
      <c r="F92" s="429">
        <v>30</v>
      </c>
    </row>
    <row r="93" s="405" customFormat="1" ht="36" spans="1:6">
      <c r="A93" s="429">
        <v>33</v>
      </c>
      <c r="B93" s="429"/>
      <c r="C93" s="429" t="s">
        <v>2265</v>
      </c>
      <c r="D93" s="420" t="s">
        <v>2266</v>
      </c>
      <c r="E93" s="441">
        <v>0.2</v>
      </c>
      <c r="F93" s="429">
        <v>30</v>
      </c>
    </row>
    <row r="94" s="405" customFormat="1" ht="48" spans="1:6">
      <c r="A94" s="429">
        <v>34</v>
      </c>
      <c r="B94" s="429"/>
      <c r="C94" s="429" t="s">
        <v>2267</v>
      </c>
      <c r="D94" s="420" t="s">
        <v>2268</v>
      </c>
      <c r="E94" s="441">
        <v>0.2</v>
      </c>
      <c r="F94" s="429">
        <v>30</v>
      </c>
    </row>
    <row r="95" s="405" customFormat="1" ht="36" spans="1:6">
      <c r="A95" s="429">
        <v>35</v>
      </c>
      <c r="B95" s="429"/>
      <c r="C95" s="429" t="s">
        <v>2269</v>
      </c>
      <c r="D95" s="420" t="s">
        <v>2270</v>
      </c>
      <c r="E95" s="441">
        <v>0.2</v>
      </c>
      <c r="F95" s="429">
        <v>30</v>
      </c>
    </row>
    <row r="96" s="405" customFormat="1" ht="48" spans="1:6">
      <c r="A96" s="429">
        <v>36</v>
      </c>
      <c r="B96" s="429"/>
      <c r="C96" s="420" t="s">
        <v>2271</v>
      </c>
      <c r="D96" s="420" t="s">
        <v>2272</v>
      </c>
      <c r="E96" s="441">
        <v>0.2</v>
      </c>
      <c r="F96" s="429">
        <v>30</v>
      </c>
    </row>
    <row r="97" s="405" customFormat="1" ht="36" spans="1:6">
      <c r="A97" s="429">
        <v>37</v>
      </c>
      <c r="B97" s="429"/>
      <c r="C97" s="429" t="s">
        <v>2273</v>
      </c>
      <c r="D97" s="420" t="s">
        <v>2274</v>
      </c>
      <c r="E97" s="441">
        <v>0.2</v>
      </c>
      <c r="F97" s="429">
        <v>30</v>
      </c>
    </row>
    <row r="98" s="405" customFormat="1" ht="36" spans="1:6">
      <c r="A98" s="429">
        <v>38</v>
      </c>
      <c r="B98" s="429"/>
      <c r="C98" s="429" t="s">
        <v>2275</v>
      </c>
      <c r="D98" s="420" t="s">
        <v>2276</v>
      </c>
      <c r="E98" s="441">
        <v>0.2</v>
      </c>
      <c r="F98" s="429">
        <v>30</v>
      </c>
    </row>
    <row r="99" s="405" customFormat="1" ht="36" spans="1:6">
      <c r="A99" s="429">
        <v>39</v>
      </c>
      <c r="B99" s="429" t="s">
        <v>2277</v>
      </c>
      <c r="C99" s="429" t="s">
        <v>2278</v>
      </c>
      <c r="D99" s="420" t="s">
        <v>2279</v>
      </c>
      <c r="E99" s="441">
        <v>0.3</v>
      </c>
      <c r="F99" s="429">
        <v>50</v>
      </c>
    </row>
    <row r="100" s="405" customFormat="1" ht="36" spans="1:6">
      <c r="A100" s="429">
        <v>40</v>
      </c>
      <c r="B100" s="429"/>
      <c r="C100" s="429" t="s">
        <v>2280</v>
      </c>
      <c r="D100" s="420" t="s">
        <v>2281</v>
      </c>
      <c r="E100" s="441">
        <v>0.2</v>
      </c>
      <c r="F100" s="429">
        <v>30</v>
      </c>
    </row>
    <row r="101" s="405" customFormat="1" ht="36" spans="1:6">
      <c r="A101" s="429">
        <v>41</v>
      </c>
      <c r="B101" s="429"/>
      <c r="C101" s="429" t="s">
        <v>2282</v>
      </c>
      <c r="D101" s="420" t="s">
        <v>2279</v>
      </c>
      <c r="E101" s="441">
        <v>0.2</v>
      </c>
      <c r="F101" s="429">
        <v>30</v>
      </c>
    </row>
    <row r="102" s="405" customFormat="1" ht="48" spans="1:6">
      <c r="A102" s="429">
        <v>42</v>
      </c>
      <c r="B102" s="429" t="s">
        <v>2283</v>
      </c>
      <c r="C102" s="420" t="s">
        <v>2284</v>
      </c>
      <c r="D102" s="420" t="s">
        <v>2285</v>
      </c>
      <c r="E102" s="441">
        <v>0.2</v>
      </c>
      <c r="F102" s="429">
        <v>30</v>
      </c>
    </row>
    <row r="103" s="405" customFormat="1" ht="36" spans="1:6">
      <c r="A103" s="429">
        <v>43</v>
      </c>
      <c r="B103" s="429" t="s">
        <v>2286</v>
      </c>
      <c r="C103" s="429" t="s">
        <v>2287</v>
      </c>
      <c r="D103" s="420" t="s">
        <v>2288</v>
      </c>
      <c r="E103" s="441">
        <v>0.2</v>
      </c>
      <c r="F103" s="429">
        <v>30</v>
      </c>
    </row>
    <row r="104" s="405" customFormat="1" ht="36" spans="1:6">
      <c r="A104" s="429">
        <v>44</v>
      </c>
      <c r="B104" s="429" t="s">
        <v>2289</v>
      </c>
      <c r="C104" s="429" t="s">
        <v>2290</v>
      </c>
      <c r="D104" s="420" t="s">
        <v>2291</v>
      </c>
      <c r="E104" s="441">
        <v>0.2</v>
      </c>
      <c r="F104" s="429">
        <v>30</v>
      </c>
    </row>
    <row r="105" s="405" customFormat="1" ht="36" spans="1:6">
      <c r="A105" s="429">
        <v>45</v>
      </c>
      <c r="B105" s="429" t="s">
        <v>2292</v>
      </c>
      <c r="C105" s="429" t="s">
        <v>2293</v>
      </c>
      <c r="D105" s="420" t="s">
        <v>2294</v>
      </c>
      <c r="E105" s="441">
        <v>0.2</v>
      </c>
      <c r="F105" s="429">
        <v>30</v>
      </c>
    </row>
    <row r="106" s="405" customFormat="1" ht="36" spans="1:6">
      <c r="A106" s="429">
        <v>46</v>
      </c>
      <c r="B106" s="429"/>
      <c r="C106" s="429" t="s">
        <v>2295</v>
      </c>
      <c r="D106" s="420" t="s">
        <v>2296</v>
      </c>
      <c r="E106" s="441">
        <v>0.2</v>
      </c>
      <c r="F106" s="429">
        <v>30</v>
      </c>
    </row>
    <row r="107" s="405" customFormat="1" ht="36" spans="1:6">
      <c r="A107" s="429">
        <v>47</v>
      </c>
      <c r="B107" s="429" t="s">
        <v>2297</v>
      </c>
      <c r="C107" s="429" t="s">
        <v>2298</v>
      </c>
      <c r="D107" s="420" t="s">
        <v>2299</v>
      </c>
      <c r="E107" s="441">
        <v>0.3</v>
      </c>
      <c r="F107" s="429">
        <v>50</v>
      </c>
    </row>
    <row r="108" s="405" customFormat="1" ht="36" spans="1:6">
      <c r="A108" s="429">
        <v>48</v>
      </c>
      <c r="B108" s="429"/>
      <c r="C108" s="429" t="s">
        <v>2300</v>
      </c>
      <c r="D108" s="420" t="s">
        <v>2301</v>
      </c>
      <c r="E108" s="441">
        <v>0.2</v>
      </c>
      <c r="F108" s="429">
        <v>30</v>
      </c>
    </row>
    <row r="109" s="405" customFormat="1" ht="36" spans="1:6">
      <c r="A109" s="429">
        <v>49</v>
      </c>
      <c r="B109" s="429" t="s">
        <v>2302</v>
      </c>
      <c r="C109" s="429" t="s">
        <v>2303</v>
      </c>
      <c r="D109" s="420" t="s">
        <v>2304</v>
      </c>
      <c r="E109" s="441">
        <v>0.2</v>
      </c>
      <c r="F109" s="429">
        <v>30</v>
      </c>
    </row>
    <row r="110" s="405" customFormat="1" ht="36" spans="1:6">
      <c r="A110" s="429">
        <v>50</v>
      </c>
      <c r="B110" s="429" t="s">
        <v>2305</v>
      </c>
      <c r="C110" s="429" t="s">
        <v>2306</v>
      </c>
      <c r="D110" s="420" t="s">
        <v>2307</v>
      </c>
      <c r="E110" s="441">
        <v>0.2</v>
      </c>
      <c r="F110" s="429">
        <v>30</v>
      </c>
    </row>
    <row r="111" s="405" customFormat="1" ht="36" spans="1:6">
      <c r="A111" s="429">
        <v>51</v>
      </c>
      <c r="B111" s="429" t="s">
        <v>2308</v>
      </c>
      <c r="C111" s="429" t="s">
        <v>2309</v>
      </c>
      <c r="D111" s="420" t="s">
        <v>2310</v>
      </c>
      <c r="E111" s="441">
        <v>0.2</v>
      </c>
      <c r="F111" s="429">
        <v>30</v>
      </c>
    </row>
    <row r="112" s="405" customFormat="1" ht="36" spans="1:6">
      <c r="A112" s="429">
        <v>52</v>
      </c>
      <c r="B112" s="429"/>
      <c r="C112" s="429" t="s">
        <v>2311</v>
      </c>
      <c r="D112" s="420" t="s">
        <v>2312</v>
      </c>
      <c r="E112" s="441">
        <v>0.2</v>
      </c>
      <c r="F112" s="429">
        <v>30</v>
      </c>
    </row>
    <row r="113" s="405" customFormat="1" ht="36" spans="1:6">
      <c r="A113" s="429">
        <v>53</v>
      </c>
      <c r="B113" s="429"/>
      <c r="C113" s="429" t="s">
        <v>2313</v>
      </c>
      <c r="D113" s="420" t="s">
        <v>2314</v>
      </c>
      <c r="E113" s="441">
        <v>0.2</v>
      </c>
      <c r="F113" s="429">
        <v>30</v>
      </c>
    </row>
    <row r="114" ht="36" spans="1:6">
      <c r="A114" s="429">
        <v>54</v>
      </c>
      <c r="B114" s="429" t="s">
        <v>2315</v>
      </c>
      <c r="C114" s="429" t="s">
        <v>2316</v>
      </c>
      <c r="D114" s="420" t="s">
        <v>2317</v>
      </c>
      <c r="E114" s="441">
        <v>0.2</v>
      </c>
      <c r="F114" s="429">
        <v>30</v>
      </c>
    </row>
    <row r="115" ht="36" spans="1:6">
      <c r="A115" s="429">
        <v>55</v>
      </c>
      <c r="B115" s="429" t="s">
        <v>2318</v>
      </c>
      <c r="C115" s="429" t="s">
        <v>2319</v>
      </c>
      <c r="D115" s="420" t="s">
        <v>2320</v>
      </c>
      <c r="E115" s="441">
        <v>0.2</v>
      </c>
      <c r="F115" s="429">
        <v>30</v>
      </c>
    </row>
    <row r="116" ht="36" spans="1:6">
      <c r="A116" s="429">
        <v>56</v>
      </c>
      <c r="B116" s="429" t="s">
        <v>2321</v>
      </c>
      <c r="C116" s="429" t="s">
        <v>2322</v>
      </c>
      <c r="D116" s="420" t="s">
        <v>2323</v>
      </c>
      <c r="E116" s="441">
        <v>0.2</v>
      </c>
      <c r="F116" s="429">
        <v>30</v>
      </c>
    </row>
    <row r="117" ht="36" spans="1:6">
      <c r="A117" s="429">
        <v>57</v>
      </c>
      <c r="B117" s="429"/>
      <c r="C117" s="429" t="s">
        <v>2324</v>
      </c>
      <c r="D117" s="420" t="s">
        <v>2325</v>
      </c>
      <c r="E117" s="441">
        <v>0.2</v>
      </c>
      <c r="F117" s="429">
        <v>30</v>
      </c>
    </row>
    <row r="118" ht="36" spans="1:6">
      <c r="A118" s="429">
        <v>58</v>
      </c>
      <c r="B118" s="429" t="s">
        <v>2326</v>
      </c>
      <c r="C118" s="429" t="s">
        <v>2327</v>
      </c>
      <c r="D118" s="420" t="s">
        <v>2328</v>
      </c>
      <c r="E118" s="441">
        <v>0.2</v>
      </c>
      <c r="F118" s="429">
        <v>30</v>
      </c>
    </row>
    <row r="119" ht="13.5" spans="1:6">
      <c r="A119" s="429"/>
      <c r="B119" s="429"/>
      <c r="C119" s="429" t="s">
        <v>1452</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2329</v>
      </c>
      <c r="B1" s="396"/>
      <c r="C1" s="396"/>
      <c r="D1" s="396"/>
      <c r="E1" s="396"/>
      <c r="F1" s="396"/>
      <c r="G1" s="396"/>
      <c r="H1" s="396"/>
      <c r="I1" s="396"/>
      <c r="J1" s="396"/>
      <c r="K1" s="396"/>
      <c r="L1" s="396"/>
      <c r="M1" s="396"/>
      <c r="N1" s="396"/>
    </row>
    <row r="2" spans="1:13">
      <c r="A2" s="397" t="s">
        <v>2330</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2331</v>
      </c>
      <c r="B103" s="396"/>
      <c r="C103" s="396"/>
      <c r="D103" s="396"/>
      <c r="E103" s="396"/>
      <c r="F103" s="396"/>
      <c r="G103" s="396"/>
      <c r="H103" s="396"/>
      <c r="I103" s="396"/>
      <c r="J103" s="396"/>
      <c r="K103" s="396"/>
      <c r="L103" s="396"/>
      <c r="M103" s="396"/>
      <c r="N103" s="396"/>
    </row>
    <row r="104" ht="14.25" spans="1:14">
      <c r="A104" s="397" t="s">
        <v>2330</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2332</v>
      </c>
      <c r="B205" s="396"/>
      <c r="C205" s="396"/>
      <c r="D205" s="396"/>
      <c r="E205" s="396"/>
      <c r="F205" s="396"/>
      <c r="G205" s="396"/>
      <c r="H205" s="396"/>
      <c r="I205" s="396"/>
      <c r="J205" s="396"/>
      <c r="K205" s="396"/>
      <c r="L205" s="396"/>
      <c r="M205" s="396"/>
    </row>
    <row r="206" spans="1:13">
      <c r="A206" s="397" t="s">
        <v>2330</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2333</v>
      </c>
      <c r="B307" s="396"/>
      <c r="C307" s="396"/>
      <c r="D307" s="396"/>
      <c r="E307" s="396"/>
      <c r="F307" s="396"/>
      <c r="G307" s="396"/>
      <c r="H307" s="396"/>
      <c r="I307" s="396"/>
      <c r="J307" s="396"/>
      <c r="K307" s="396"/>
      <c r="L307" s="396"/>
      <c r="M307" s="396"/>
    </row>
    <row r="308" spans="1:13">
      <c r="A308" s="397" t="s">
        <v>2330</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380" customWidth="1"/>
    <col min="2" max="2" width="12.4416666666667" style="380" customWidth="1"/>
    <col min="3" max="3" width="12.1083333333333" style="380" customWidth="1"/>
    <col min="4" max="4" width="14.1083333333333" style="380" customWidth="1"/>
    <col min="5" max="5" width="12.4416666666667" style="380" customWidth="1"/>
    <col min="6" max="16384" width="9" style="380"/>
  </cols>
  <sheetData>
    <row r="1" ht="20.25" spans="1:16">
      <c r="A1" s="381" t="s">
        <v>2334</v>
      </c>
      <c r="B1" s="382"/>
      <c r="C1" s="382"/>
      <c r="D1" s="382"/>
      <c r="E1" s="382"/>
      <c r="F1" s="383"/>
      <c r="G1" s="383"/>
      <c r="H1" s="383"/>
      <c r="I1" s="383"/>
      <c r="J1" s="383"/>
      <c r="K1" s="383"/>
      <c r="L1" s="383"/>
      <c r="M1" s="383"/>
      <c r="N1" s="383"/>
      <c r="O1" s="383"/>
      <c r="P1" s="383"/>
    </row>
    <row r="2" spans="1:16">
      <c r="A2" s="384" t="s">
        <v>97</v>
      </c>
      <c r="B2" s="385">
        <f ca="1">SUMIF(B6:B13,"&lt;&gt;#ref!",B6:B13)</f>
        <v>0</v>
      </c>
      <c r="C2" s="384" t="s">
        <v>2335</v>
      </c>
      <c r="D2" s="384" t="s">
        <v>2336</v>
      </c>
      <c r="E2" s="386">
        <f ca="1">SUMIF(E6:E13,"&lt;&gt;#ref!",E6:E13)</f>
        <v>0</v>
      </c>
      <c r="F2" s="383"/>
      <c r="G2" s="383"/>
      <c r="H2" s="383"/>
      <c r="I2" s="383"/>
      <c r="J2" s="383"/>
      <c r="K2" s="383"/>
      <c r="L2" s="383"/>
      <c r="M2" s="383"/>
      <c r="N2" s="383"/>
      <c r="O2" s="383"/>
      <c r="P2" s="383"/>
    </row>
    <row r="3" ht="15.75" spans="1:16">
      <c r="A3" s="384" t="s">
        <v>2337</v>
      </c>
      <c r="B3" s="385" t="e">
        <f ca="1">ROUND(B2*10000/E2,0)</f>
        <v>#DIV/0!</v>
      </c>
      <c r="C3" s="384" t="s">
        <v>2338</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2339</v>
      </c>
      <c r="B5" s="389" t="s">
        <v>2340</v>
      </c>
      <c r="C5" s="390"/>
      <c r="D5" s="383"/>
      <c r="E5" s="391" t="s">
        <v>2341</v>
      </c>
      <c r="F5" s="383"/>
      <c r="G5" s="383"/>
      <c r="H5" s="383"/>
      <c r="I5" s="383"/>
      <c r="J5" s="383"/>
      <c r="K5" s="383"/>
      <c r="L5" s="383"/>
      <c r="M5" s="383"/>
      <c r="N5" s="383"/>
      <c r="O5" s="383"/>
      <c r="P5" s="383"/>
    </row>
    <row r="6" spans="1:16">
      <c r="A6" s="392" t="s">
        <v>2342</v>
      </c>
      <c r="B6" s="385" t="e">
        <f ca="1">SUMIF(INDIRECT("'"&amp;A6&amp;"'"&amp;"!A:A"),"总价",INDIRECT("'"&amp;A6&amp;"'"&amp;"!B:B"))</f>
        <v>#REF!</v>
      </c>
      <c r="C6" s="384" t="s">
        <v>2335</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2335</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2335</v>
      </c>
      <c r="D8" s="383"/>
      <c r="E8" s="386" t="e">
        <f ca="1" t="shared" si="0"/>
        <v>#REF!</v>
      </c>
      <c r="F8" s="383"/>
      <c r="G8" s="383"/>
      <c r="H8" s="383"/>
      <c r="I8" s="383"/>
      <c r="J8" s="383"/>
      <c r="K8" s="383"/>
      <c r="L8" s="383"/>
      <c r="M8" s="383"/>
      <c r="N8" s="383"/>
      <c r="O8" s="383"/>
      <c r="P8" s="383"/>
    </row>
    <row r="9" ht="15.75" spans="1:16">
      <c r="A9" s="392"/>
      <c r="B9" s="385" t="e">
        <f ca="1" t="shared" si="1"/>
        <v>#REF!</v>
      </c>
      <c r="C9" s="384" t="s">
        <v>2335</v>
      </c>
      <c r="D9" s="383"/>
      <c r="E9" s="386" t="e">
        <f ca="1" t="shared" si="0"/>
        <v>#REF!</v>
      </c>
      <c r="F9" s="383"/>
      <c r="G9" s="383"/>
      <c r="H9" s="383"/>
      <c r="I9" s="383"/>
      <c r="J9" s="383"/>
      <c r="K9" s="383"/>
      <c r="L9" s="383"/>
      <c r="M9" s="383"/>
      <c r="N9" s="383"/>
      <c r="O9" s="383"/>
      <c r="P9" s="383"/>
    </row>
    <row r="10" ht="15.75" spans="1:16">
      <c r="A10" s="392"/>
      <c r="B10" s="385" t="e">
        <f ca="1" t="shared" si="1"/>
        <v>#REF!</v>
      </c>
      <c r="C10" s="384" t="s">
        <v>2335</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2335</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2335</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2335</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1666666666667" style="246" customWidth="1"/>
    <col min="14" max="14" width="9" style="247" customWidth="1"/>
    <col min="15" max="17" width="9" style="246" customWidth="1"/>
    <col min="18" max="18" width="2.33333333333333" style="246" customWidth="1"/>
    <col min="19" max="19" width="7.10833333333333" style="247" customWidth="1"/>
    <col min="20" max="22" width="7.10833333333333" style="246" customWidth="1"/>
    <col min="23" max="23" width="24.2166666666667"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2343</v>
      </c>
      <c r="C1" s="248"/>
      <c r="D1" s="248"/>
      <c r="E1" s="248"/>
      <c r="F1" s="248"/>
      <c r="G1" s="237" t="s">
        <v>2344</v>
      </c>
      <c r="N1" s="237" t="s">
        <v>2345</v>
      </c>
      <c r="S1" s="237" t="s">
        <v>2346</v>
      </c>
      <c r="X1" s="327" t="s">
        <v>2347</v>
      </c>
      <c r="AD1" s="327" t="s">
        <v>2348</v>
      </c>
    </row>
    <row r="2" s="238" customFormat="1" ht="14.25" spans="2:34">
      <c r="B2" s="249" t="s">
        <v>2349</v>
      </c>
      <c r="C2" s="249" t="s">
        <v>2350</v>
      </c>
      <c r="D2" s="250" t="s">
        <v>2137</v>
      </c>
      <c r="E2" s="250" t="s">
        <v>2138</v>
      </c>
      <c r="F2" s="249" t="s">
        <v>2351</v>
      </c>
      <c r="G2" s="251"/>
      <c r="I2" s="249" t="s">
        <v>2349</v>
      </c>
      <c r="J2" s="250" t="s">
        <v>2352</v>
      </c>
      <c r="K2" s="250" t="s">
        <v>2138</v>
      </c>
      <c r="L2" s="249" t="s">
        <v>2351</v>
      </c>
      <c r="N2" s="249" t="s">
        <v>2349</v>
      </c>
      <c r="O2" s="250" t="s">
        <v>2352</v>
      </c>
      <c r="P2" s="250" t="s">
        <v>2138</v>
      </c>
      <c r="Q2" s="249" t="s">
        <v>2351</v>
      </c>
      <c r="S2" s="249" t="s">
        <v>2349</v>
      </c>
      <c r="T2" s="250" t="s">
        <v>2352</v>
      </c>
      <c r="U2" s="250" t="s">
        <v>2138</v>
      </c>
      <c r="V2" s="249" t="s">
        <v>2351</v>
      </c>
      <c r="X2" s="249" t="s">
        <v>2349</v>
      </c>
      <c r="Y2" s="249" t="s">
        <v>2350</v>
      </c>
      <c r="Z2" s="250" t="s">
        <v>2137</v>
      </c>
      <c r="AA2" s="250" t="s">
        <v>2138</v>
      </c>
      <c r="AB2" s="249" t="s">
        <v>2351</v>
      </c>
      <c r="AD2" s="249" t="s">
        <v>2349</v>
      </c>
      <c r="AE2" s="249" t="s">
        <v>2350</v>
      </c>
      <c r="AF2" s="250" t="s">
        <v>2137</v>
      </c>
      <c r="AG2" s="250" t="s">
        <v>2138</v>
      </c>
      <c r="AH2" s="249" t="s">
        <v>2351</v>
      </c>
    </row>
    <row r="3" s="239" customFormat="1" ht="14.25" spans="1:34">
      <c r="A3" s="252" t="s">
        <v>2353</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2354</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2355</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2356</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2357</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2358</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2359</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2360</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2361</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2362</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2363</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2364</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2365</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2366</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 customHeight="1" spans="1:34">
      <c r="A17" s="265" t="s">
        <v>2367</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 customHeight="1" spans="1:34">
      <c r="A18" s="265" t="s">
        <v>2368</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2369</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2370</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 customHeight="1" spans="1:34">
      <c r="A21" s="265" t="s">
        <v>2371</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 customHeight="1" spans="1:34">
      <c r="A22" s="265" t="s">
        <v>2372</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2373</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2374</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2375</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2376</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2377</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2378</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2379</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2380</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2381</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2382</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2383</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2384</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2385</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2386</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2387</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2388</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2389</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2390</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2391</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2392</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2393</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2394</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2395</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2396</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2397</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2398</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2399</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2400</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2401</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2402</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2403</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2404</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2405</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2406</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2407</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2408</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2409</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2410</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2411</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2412</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2413</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2414</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2415</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2416</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2417</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2418</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2419</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2420</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2421</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2422</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2423</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2424</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2425</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2426</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2427</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2428</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2429</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2430</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2431</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2432</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2433</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2434</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2435</v>
      </c>
      <c r="G86" s="361"/>
      <c r="N86" s="361"/>
      <c r="S86" s="361"/>
    </row>
    <row r="87" s="245" customFormat="1" spans="1:19">
      <c r="A87" s="245" t="s">
        <v>2436</v>
      </c>
      <c r="G87" s="361"/>
      <c r="N87" s="361"/>
      <c r="S87" s="361"/>
    </row>
    <row r="88" s="245" customFormat="1" spans="1:22">
      <c r="A88" s="245" t="s">
        <v>2437</v>
      </c>
      <c r="G88" s="361"/>
      <c r="I88" s="368"/>
      <c r="J88" s="368"/>
      <c r="K88" s="368"/>
      <c r="L88" s="368"/>
      <c r="N88" s="369"/>
      <c r="O88" s="368"/>
      <c r="P88" s="368"/>
      <c r="Q88" s="368"/>
      <c r="S88" s="369"/>
      <c r="T88" s="368"/>
      <c r="U88" s="368"/>
      <c r="V88" s="368"/>
    </row>
    <row r="89" s="245" customFormat="1" spans="1:19">
      <c r="A89" s="245" t="s">
        <v>2438</v>
      </c>
      <c r="G89" s="361"/>
      <c r="N89" s="361"/>
      <c r="S89" s="361"/>
    </row>
    <row r="96" ht="13.5"/>
    <row r="97" spans="7:22">
      <c r="G97" s="246"/>
      <c r="S97" s="372" t="s">
        <v>2439</v>
      </c>
      <c r="T97" s="373" t="s">
        <v>2440</v>
      </c>
      <c r="U97" s="373" t="s">
        <v>2441</v>
      </c>
      <c r="V97" s="373" t="s">
        <v>2442</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2443</v>
      </c>
      <c r="B1" s="150"/>
      <c r="C1" s="151"/>
      <c r="D1" s="151"/>
      <c r="E1" s="151"/>
      <c r="F1" s="151"/>
      <c r="G1" s="152"/>
    </row>
    <row r="2" s="141" customFormat="1" ht="18" customHeight="1" spans="1:7">
      <c r="A2" s="153" t="s">
        <v>2444</v>
      </c>
      <c r="B2" s="154">
        <f ca="1">C52</f>
        <v>42327</v>
      </c>
      <c r="C2" s="155" t="s">
        <v>1737</v>
      </c>
      <c r="D2" s="152"/>
      <c r="E2" s="152"/>
      <c r="F2" s="152"/>
      <c r="G2" s="152"/>
    </row>
    <row r="3" s="141" customFormat="1" ht="18" customHeight="1" spans="1:7">
      <c r="A3" s="156" t="s">
        <v>2445</v>
      </c>
      <c r="B3" s="157">
        <f ca="1">ROUND(B2*10000/'数据-汇总表'!E3,0)</f>
        <v>12547</v>
      </c>
      <c r="C3" s="155" t="s">
        <v>833</v>
      </c>
      <c r="D3" s="152"/>
      <c r="E3" s="152"/>
      <c r="F3" s="152"/>
      <c r="G3" s="152"/>
    </row>
    <row r="4" s="142" customFormat="1" ht="15.75" spans="1:7">
      <c r="A4" s="158" t="s">
        <v>2446</v>
      </c>
      <c r="B4" s="159"/>
      <c r="C4" s="159"/>
      <c r="D4" s="159"/>
      <c r="E4" s="159"/>
      <c r="F4" s="159"/>
      <c r="G4" s="160"/>
    </row>
    <row r="5" s="143" customFormat="1" ht="13.5" customHeight="1" spans="1:7">
      <c r="A5" s="161" t="s">
        <v>1329</v>
      </c>
      <c r="B5" s="162" t="s">
        <v>2447</v>
      </c>
      <c r="C5" s="163">
        <f>C6+C7+C8</f>
        <v>20610</v>
      </c>
      <c r="D5" s="163" t="s">
        <v>2448</v>
      </c>
      <c r="E5" s="164" t="s">
        <v>2449</v>
      </c>
      <c r="F5" s="164" t="s">
        <v>2450</v>
      </c>
      <c r="G5" s="165"/>
    </row>
    <row r="6" s="143" customFormat="1" ht="13.5" customHeight="1" spans="1:7">
      <c r="A6" s="166" t="s">
        <v>1333</v>
      </c>
      <c r="B6" s="167" t="s">
        <v>2451</v>
      </c>
      <c r="C6" s="168">
        <v>20000</v>
      </c>
      <c r="D6" s="169"/>
      <c r="E6" s="170"/>
      <c r="F6" s="170"/>
      <c r="G6" s="171"/>
    </row>
    <row r="7" s="143" customFormat="1" ht="13.5" customHeight="1" spans="1:7">
      <c r="A7" s="166" t="s">
        <v>1335</v>
      </c>
      <c r="B7" s="167" t="s">
        <v>2452</v>
      </c>
      <c r="C7" s="172">
        <f>ROUND(C6*F7,0)</f>
        <v>610</v>
      </c>
      <c r="D7" s="172"/>
      <c r="E7" s="170"/>
      <c r="F7" s="173">
        <f>'数据-取费表'!B48+'数据-取费表'!B49</f>
        <v>0.0305</v>
      </c>
      <c r="G7" s="171"/>
    </row>
    <row r="8" s="144" customFormat="1" spans="1:7">
      <c r="A8" s="166" t="s">
        <v>1337</v>
      </c>
      <c r="B8" s="167" t="s">
        <v>2453</v>
      </c>
      <c r="C8" s="172" t="str">
        <f>IF(G8="已包含在土地购买价格中","0",'数据-取费表'!B29)</f>
        <v>0</v>
      </c>
      <c r="D8" s="174"/>
      <c r="E8" s="172"/>
      <c r="F8" s="173"/>
      <c r="G8" s="175" t="s">
        <v>2454</v>
      </c>
    </row>
    <row r="9" s="143" customFormat="1" ht="13.5" customHeight="1" spans="1:7">
      <c r="A9" s="176" t="s">
        <v>1340</v>
      </c>
      <c r="B9" s="177" t="s">
        <v>2455</v>
      </c>
      <c r="C9" s="178">
        <f>ROUND(D9*E9/10000,0)</f>
        <v>0</v>
      </c>
      <c r="D9" s="179">
        <f>'数据-汇总表'!E5</f>
        <v>0</v>
      </c>
      <c r="E9" s="178">
        <f>'数据-取费表'!B27</f>
        <v>160</v>
      </c>
      <c r="F9" s="173"/>
      <c r="G9" s="180"/>
    </row>
    <row r="10" s="143" customFormat="1" ht="13.5" customHeight="1" spans="1:7">
      <c r="A10" s="176" t="s">
        <v>1344</v>
      </c>
      <c r="B10" s="177" t="s">
        <v>2456</v>
      </c>
      <c r="C10" s="178">
        <f>ROUND(D10*E10/10000,0)</f>
        <v>675</v>
      </c>
      <c r="D10" s="179">
        <f>'数据-汇总表'!E6</f>
        <v>33735.37</v>
      </c>
      <c r="E10" s="178">
        <f>'数据-取费表'!B28</f>
        <v>200</v>
      </c>
      <c r="F10" s="173"/>
      <c r="G10" s="180"/>
    </row>
    <row r="11" s="143" customFormat="1" ht="13.5" hidden="1" customHeight="1" spans="1:7">
      <c r="A11" s="181" t="s">
        <v>1346</v>
      </c>
      <c r="B11" s="167" t="s">
        <v>2457</v>
      </c>
      <c r="C11" s="163"/>
      <c r="D11" s="182"/>
      <c r="E11" s="170"/>
      <c r="F11" s="170"/>
      <c r="G11" s="171"/>
    </row>
    <row r="12" s="143" customFormat="1" ht="13.5" hidden="1" customHeight="1" spans="1:7">
      <c r="A12" s="181" t="s">
        <v>1348</v>
      </c>
      <c r="B12" s="167" t="s">
        <v>2458</v>
      </c>
      <c r="C12" s="163">
        <v>0</v>
      </c>
      <c r="D12" s="182"/>
      <c r="E12" s="183"/>
      <c r="F12" s="173">
        <v>0.0305</v>
      </c>
      <c r="G12" s="171"/>
    </row>
    <row r="13" s="143" customFormat="1" ht="13.5" hidden="1" customHeight="1" spans="1:7">
      <c r="A13" s="181" t="s">
        <v>1349</v>
      </c>
      <c r="B13" s="167" t="s">
        <v>2459</v>
      </c>
      <c r="C13" s="163"/>
      <c r="D13" s="182"/>
      <c r="E13" s="170"/>
      <c r="F13" s="170"/>
      <c r="G13" s="171"/>
    </row>
    <row r="14" s="143" customFormat="1" ht="13.5" hidden="1" customHeight="1" spans="1:7">
      <c r="A14" s="181" t="s">
        <v>1351</v>
      </c>
      <c r="B14" s="167" t="s">
        <v>2453</v>
      </c>
      <c r="C14" s="163"/>
      <c r="D14" s="182"/>
      <c r="E14" s="170"/>
      <c r="F14" s="170"/>
      <c r="G14" s="171" t="s">
        <v>2460</v>
      </c>
    </row>
    <row r="15" s="143" customFormat="1" ht="13.5" hidden="1" customHeight="1" spans="1:7">
      <c r="A15" s="181" t="s">
        <v>1353</v>
      </c>
      <c r="B15" s="167" t="s">
        <v>2461</v>
      </c>
      <c r="C15" s="172"/>
      <c r="D15" s="182"/>
      <c r="E15" s="170"/>
      <c r="F15" s="170"/>
      <c r="G15" s="171" t="s">
        <v>2462</v>
      </c>
    </row>
    <row r="16" s="143" customFormat="1" ht="13.5" hidden="1" customHeight="1" spans="1:7">
      <c r="A16" s="181" t="s">
        <v>1356</v>
      </c>
      <c r="B16" s="167" t="s">
        <v>2453</v>
      </c>
      <c r="C16" s="172"/>
      <c r="D16" s="182"/>
      <c r="E16" s="170"/>
      <c r="F16" s="170"/>
      <c r="G16" s="171"/>
    </row>
    <row r="17" s="143" customFormat="1" ht="13.5" hidden="1" customHeight="1" spans="1:7">
      <c r="A17" s="181" t="s">
        <v>1357</v>
      </c>
      <c r="B17" s="167" t="s">
        <v>2463</v>
      </c>
      <c r="C17" s="184"/>
      <c r="D17" s="185"/>
      <c r="E17" s="184"/>
      <c r="F17" s="184"/>
      <c r="G17" s="171" t="s">
        <v>2462</v>
      </c>
    </row>
    <row r="18" s="143" customFormat="1" ht="13.5" hidden="1" customHeight="1" spans="1:7">
      <c r="A18" s="181" t="s">
        <v>1359</v>
      </c>
      <c r="B18" s="167" t="s">
        <v>2464</v>
      </c>
      <c r="C18" s="172">
        <v>0</v>
      </c>
      <c r="D18" s="182"/>
      <c r="E18" s="170"/>
      <c r="F18" s="173">
        <v>0.0305</v>
      </c>
      <c r="G18" s="171" t="s">
        <v>2465</v>
      </c>
    </row>
    <row r="19" s="144" customFormat="1" ht="13.5" customHeight="1" spans="1:7">
      <c r="A19" s="186" t="s">
        <v>2035</v>
      </c>
      <c r="B19" s="162" t="s">
        <v>2466</v>
      </c>
      <c r="C19" s="163">
        <f>IF(G19="已包含在土地取得成本中","0",ROUND(D19*E19/10000,0))</f>
        <v>675</v>
      </c>
      <c r="D19" s="187">
        <f>'数据-汇总表'!E3</f>
        <v>33735.37</v>
      </c>
      <c r="E19" s="163">
        <f>'数据-取费表'!B31</f>
        <v>200</v>
      </c>
      <c r="F19" s="188"/>
      <c r="G19" s="175" t="s">
        <v>2467</v>
      </c>
    </row>
    <row r="20" s="143" customFormat="1" ht="13.5" customHeight="1" spans="1:7">
      <c r="A20" s="186" t="s">
        <v>2468</v>
      </c>
      <c r="B20" s="162" t="s">
        <v>2469</v>
      </c>
      <c r="C20" s="189">
        <f>ROUND((C5+C19)*F20,0)</f>
        <v>213</v>
      </c>
      <c r="D20" s="189"/>
      <c r="E20" s="189"/>
      <c r="F20" s="190">
        <f>'数据-取费表'!B37</f>
        <v>0.01</v>
      </c>
      <c r="G20" s="191" t="s">
        <v>2470</v>
      </c>
    </row>
    <row r="21" s="143" customFormat="1" ht="13.5" customHeight="1" spans="1:7">
      <c r="A21" s="186" t="s">
        <v>2471</v>
      </c>
      <c r="B21" s="162" t="s">
        <v>2472</v>
      </c>
      <c r="C21" s="192">
        <f>F21</f>
        <v>0.01</v>
      </c>
      <c r="D21" s="193" t="s">
        <v>2473</v>
      </c>
      <c r="E21" s="189"/>
      <c r="F21" s="190">
        <f>'数据-取费表'!B38</f>
        <v>0.01</v>
      </c>
      <c r="G21" s="194" t="s">
        <v>2474</v>
      </c>
    </row>
    <row r="22" s="143" customFormat="1" ht="13.5" customHeight="1" spans="1:7">
      <c r="A22" s="186" t="s">
        <v>2475</v>
      </c>
      <c r="B22" s="162" t="s">
        <v>2476</v>
      </c>
      <c r="C22" s="195">
        <f ca="1">ROUND(SUM(C23:C25),0)</f>
        <v>1901</v>
      </c>
      <c r="D22" s="192">
        <f ca="1">C26</f>
        <v>0.0004</v>
      </c>
      <c r="E22" s="193" t="s">
        <v>2473</v>
      </c>
      <c r="F22" s="196">
        <f ca="1">'数据-取费表'!B40</f>
        <v>0.0435</v>
      </c>
      <c r="G22" s="191" t="str">
        <f>IF('数据-取费表'!B22&lt;=1,"单利计息","复利计息")</f>
        <v>复利计息</v>
      </c>
    </row>
    <row r="23" s="143" customFormat="1" ht="13.5" customHeight="1" spans="1:7">
      <c r="A23" s="197" t="s">
        <v>1333</v>
      </c>
      <c r="B23" s="167" t="s">
        <v>2477</v>
      </c>
      <c r="C23" s="198">
        <f ca="1">ROUND(IF('数据-取费表'!B22&lt;=1,C5*F22*'数据-取费表'!B23,C5*(POWER((1+F22),'数据-取费表'!B23)-1)),0)</f>
        <v>1832</v>
      </c>
      <c r="D23" s="199"/>
      <c r="E23" s="199"/>
      <c r="F23" s="200"/>
      <c r="G23" s="201" t="s">
        <v>2478</v>
      </c>
    </row>
    <row r="24" s="143" customFormat="1" ht="13.5" customHeight="1" spans="1:7">
      <c r="A24" s="197" t="s">
        <v>1335</v>
      </c>
      <c r="B24" s="167" t="s">
        <v>2479</v>
      </c>
      <c r="C24" s="198">
        <f ca="1">ROUND(IF('数据-取费表'!B22&lt;=1,C19*F22*('数据-取费表'!B19/2+'数据-取费表'!B21),C19*(POWER((1+F22),('数据-取费表'!B19/2+'数据-取费表'!B21))-1)),0)</f>
        <v>60</v>
      </c>
      <c r="D24" s="199"/>
      <c r="E24" s="199"/>
      <c r="F24" s="200"/>
      <c r="G24" s="201" t="s">
        <v>2480</v>
      </c>
    </row>
    <row r="25" s="143" customFormat="1" ht="24" spans="1:7">
      <c r="A25" s="197" t="s">
        <v>1337</v>
      </c>
      <c r="B25" s="167" t="s">
        <v>2481</v>
      </c>
      <c r="C25" s="198">
        <f ca="1">ROUND(IF('数据-取费表'!B22&lt;=1,C20*F22*'数据-取费表'!B23/2,C20*(POWER((1+F22),'数据-取费表'!B23/2)-1)),0)</f>
        <v>9</v>
      </c>
      <c r="D25" s="199"/>
      <c r="E25" s="202"/>
      <c r="F25" s="200"/>
      <c r="G25" s="203" t="s">
        <v>2482</v>
      </c>
    </row>
    <row r="26" s="143" customFormat="1" spans="1:7">
      <c r="A26" s="197" t="s">
        <v>1380</v>
      </c>
      <c r="B26" s="167" t="s">
        <v>2483</v>
      </c>
      <c r="C26" s="199">
        <f ca="1">ROUND(IF('数据-取费表'!B22&lt;=1,F21*F22*'数据-取费表'!B23/2,F21*(POWER((1+F22),'数据-取费表'!B23/2)-1)),4)</f>
        <v>0.0004</v>
      </c>
      <c r="D26" s="199"/>
      <c r="E26" s="202"/>
      <c r="F26" s="200"/>
      <c r="G26" s="204"/>
    </row>
    <row r="27" s="143" customFormat="1" ht="24.75" spans="1:7">
      <c r="A27" s="186" t="s">
        <v>2484</v>
      </c>
      <c r="B27" s="205" t="s">
        <v>2485</v>
      </c>
      <c r="C27" s="206">
        <f>C28</f>
        <v>3010</v>
      </c>
      <c r="D27" s="192">
        <f>C29</f>
        <v>0.0014</v>
      </c>
      <c r="E27" s="193" t="s">
        <v>2473</v>
      </c>
      <c r="F27" s="207">
        <f>'数据-取费表'!Q16</f>
        <v>0.14</v>
      </c>
      <c r="G27" s="208" t="s">
        <v>2486</v>
      </c>
    </row>
    <row r="28" s="143" customFormat="1" ht="13.5" customHeight="1" spans="1:7">
      <c r="A28" s="197" t="s">
        <v>1333</v>
      </c>
      <c r="B28" s="209" t="s">
        <v>2487</v>
      </c>
      <c r="C28" s="210">
        <f>ROUND((C5+C19+C20)*F27*'数据-取费表'!B21/'数据-取费表'!B20,0)</f>
        <v>3010</v>
      </c>
      <c r="D28" s="192"/>
      <c r="E28" s="193"/>
      <c r="F28" s="207"/>
      <c r="G28" s="208"/>
    </row>
    <row r="29" s="143" customFormat="1" ht="13.5" customHeight="1" spans="1:7">
      <c r="A29" s="197" t="s">
        <v>1335</v>
      </c>
      <c r="B29" s="209" t="s">
        <v>2488</v>
      </c>
      <c r="C29" s="199">
        <f>ROUND(C21*F27*'数据-取费表'!B21/'数据-取费表'!B20,4)</f>
        <v>0.0014</v>
      </c>
      <c r="D29" s="192"/>
      <c r="E29" s="193"/>
      <c r="F29" s="207"/>
      <c r="G29" s="208"/>
    </row>
    <row r="30" s="143" customFormat="1" ht="13.5" customHeight="1" spans="1:7">
      <c r="A30" s="186" t="s">
        <v>2489</v>
      </c>
      <c r="B30" s="162" t="s">
        <v>2490</v>
      </c>
      <c r="C30" s="192">
        <f>F30</f>
        <v>0.056</v>
      </c>
      <c r="D30" s="193" t="s">
        <v>2491</v>
      </c>
      <c r="E30" s="202"/>
      <c r="F30" s="196">
        <f>'数据-取费表'!B41</f>
        <v>0.056</v>
      </c>
      <c r="G30" s="194" t="s">
        <v>2492</v>
      </c>
    </row>
    <row r="31" ht="16.5" customHeight="1" spans="1:7">
      <c r="A31" s="211">
        <v>1</v>
      </c>
      <c r="B31" s="162" t="s">
        <v>2493</v>
      </c>
      <c r="C31" s="163">
        <f ca="1">ROUND((C5+C19+C20+C22+C27)/(1-C21-D22-D27-C30/(1+'数据-取费表'!B42)),0)</f>
        <v>28249</v>
      </c>
      <c r="D31" s="212"/>
      <c r="E31" s="163"/>
      <c r="F31" s="213"/>
      <c r="G31" s="194" t="s">
        <v>2494</v>
      </c>
    </row>
    <row r="32" s="142" customFormat="1" ht="15.75" spans="1:7">
      <c r="A32" s="214" t="s">
        <v>2495</v>
      </c>
      <c r="B32" s="215"/>
      <c r="C32" s="215"/>
      <c r="D32" s="215"/>
      <c r="E32" s="215"/>
      <c r="F32" s="215"/>
      <c r="G32" s="216"/>
    </row>
    <row r="33" s="143" customFormat="1" ht="13.5" customHeight="1" spans="1:7">
      <c r="A33" s="161" t="s">
        <v>1329</v>
      </c>
      <c r="B33" s="162" t="s">
        <v>2496</v>
      </c>
      <c r="C33" s="217">
        <f>SUM(C34:C38)</f>
        <v>11590</v>
      </c>
      <c r="D33" s="189"/>
      <c r="E33" s="164"/>
      <c r="F33" s="202"/>
      <c r="G33" s="194"/>
    </row>
    <row r="34" s="145" customFormat="1" ht="13.5" customHeight="1" spans="1:7">
      <c r="A34" s="197" t="s">
        <v>1333</v>
      </c>
      <c r="B34" s="167" t="s">
        <v>2497</v>
      </c>
      <c r="C34" s="172">
        <f>IF(F34=100%,'数据-取费表'!M16-SUMIF('数据-取费表'!C:C,"公共配套",'数据-取费表'!M:M),'数据-取费表'!O16-SUMIF('数据-取费表'!C:C,"公共配套",'数据-取费表'!O:O))</f>
        <v>10445</v>
      </c>
      <c r="D34" s="169"/>
      <c r="E34" s="172"/>
      <c r="F34" s="218">
        <f>IF('数据-取费表'!B24=0,1,'数据-取费表'!N16)</f>
        <v>1</v>
      </c>
      <c r="G34" s="171" t="s">
        <v>2498</v>
      </c>
    </row>
    <row r="35" ht="13.5" customHeight="1" spans="1:7">
      <c r="A35" s="197" t="s">
        <v>1335</v>
      </c>
      <c r="B35" s="167" t="s">
        <v>2499</v>
      </c>
      <c r="C35" s="172">
        <f>ROUND(C34*F35,0)</f>
        <v>313</v>
      </c>
      <c r="D35" s="172"/>
      <c r="E35" s="172"/>
      <c r="F35" s="219">
        <f>'数据-取费表'!B33</f>
        <v>0.03</v>
      </c>
      <c r="G35" s="171" t="s">
        <v>2500</v>
      </c>
    </row>
    <row r="36" ht="24" spans="1:7">
      <c r="A36" s="197" t="s">
        <v>1337</v>
      </c>
      <c r="B36" s="167" t="s">
        <v>2501</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2502</v>
      </c>
    </row>
    <row r="37" s="145" customFormat="1" ht="13.5" customHeight="1" spans="1:7">
      <c r="A37" s="197" t="s">
        <v>1380</v>
      </c>
      <c r="B37" s="167" t="s">
        <v>2503</v>
      </c>
      <c r="C37" s="210">
        <f>ROUND(E37*D37*F34/10000,0)</f>
        <v>675</v>
      </c>
      <c r="D37" s="169">
        <f>'数据-汇总表'!E3</f>
        <v>33735.37</v>
      </c>
      <c r="E37" s="210">
        <f>'数据-取费表'!B35</f>
        <v>200</v>
      </c>
      <c r="F37" s="219"/>
      <c r="G37" s="221" t="s">
        <v>2504</v>
      </c>
    </row>
    <row r="38" ht="13.5" customHeight="1" spans="1:7">
      <c r="A38" s="197" t="s">
        <v>1402</v>
      </c>
      <c r="B38" s="167" t="s">
        <v>2458</v>
      </c>
      <c r="C38" s="172">
        <f>ROUND(C34*F38,0)</f>
        <v>157</v>
      </c>
      <c r="D38" s="172"/>
      <c r="E38" s="172"/>
      <c r="F38" s="219">
        <f>'数据-取费表'!B36</f>
        <v>0.015</v>
      </c>
      <c r="G38" s="171" t="s">
        <v>2500</v>
      </c>
    </row>
    <row r="39" s="143" customFormat="1" ht="13.5" customHeight="1" spans="1:7">
      <c r="A39" s="186" t="s">
        <v>2035</v>
      </c>
      <c r="B39" s="162" t="s">
        <v>2469</v>
      </c>
      <c r="C39" s="189">
        <f>ROUND(C33*F20,0)</f>
        <v>116</v>
      </c>
      <c r="D39" s="189"/>
      <c r="E39" s="189"/>
      <c r="F39" s="190"/>
      <c r="G39" s="191" t="s">
        <v>2505</v>
      </c>
    </row>
    <row r="40" s="143" customFormat="1" ht="13.5" customHeight="1" spans="1:7">
      <c r="A40" s="186" t="s">
        <v>2468</v>
      </c>
      <c r="B40" s="162" t="s">
        <v>2472</v>
      </c>
      <c r="C40" s="222">
        <f>F21</f>
        <v>0.01</v>
      </c>
      <c r="D40" s="193" t="s">
        <v>2506</v>
      </c>
      <c r="E40" s="189"/>
      <c r="F40" s="190"/>
      <c r="G40" s="194" t="s">
        <v>2507</v>
      </c>
    </row>
    <row r="41" s="143" customFormat="1" ht="13.5" customHeight="1" spans="1:7">
      <c r="A41" s="186" t="s">
        <v>2471</v>
      </c>
      <c r="B41" s="162" t="s">
        <v>2476</v>
      </c>
      <c r="C41" s="189">
        <f ca="1">ROUND(SUM(C42:C43),0)</f>
        <v>509</v>
      </c>
      <c r="D41" s="192">
        <f ca="1">C44</f>
        <v>0.0004</v>
      </c>
      <c r="E41" s="193" t="s">
        <v>2506</v>
      </c>
      <c r="F41" s="196"/>
      <c r="G41" s="191" t="str">
        <f>IF('数据-取费表'!B22&lt;=1,"单利计息","复利计息")</f>
        <v>复利计息</v>
      </c>
    </row>
    <row r="42" ht="13.5" customHeight="1" spans="1:7">
      <c r="A42" s="197" t="s">
        <v>1333</v>
      </c>
      <c r="B42" s="167" t="s">
        <v>2477</v>
      </c>
      <c r="C42" s="199">
        <f ca="1">ROUND(IF('数据-取费表'!B22&lt;=1,C33*F22*'数据-取费表'!B21/2,C33*(POWER((1+F22),'数据-取费表'!B21/2)-1)),0)</f>
        <v>504</v>
      </c>
      <c r="D42" s="199"/>
      <c r="E42" s="199"/>
      <c r="F42" s="200"/>
      <c r="G42" s="223" t="s">
        <v>2508</v>
      </c>
    </row>
    <row r="43" ht="13.5" customHeight="1" spans="1:7">
      <c r="A43" s="197" t="s">
        <v>1335</v>
      </c>
      <c r="B43" s="167" t="s">
        <v>2479</v>
      </c>
      <c r="C43" s="199">
        <f ca="1">ROUND(IF('数据-取费表'!B22&lt;=1,C39*F22*'数据-取费表'!B21/2,C39*(POWER((1+F22),'数据-取费表'!B21/2)-1)),0)</f>
        <v>5</v>
      </c>
      <c r="D43" s="199"/>
      <c r="E43" s="199"/>
      <c r="F43" s="200"/>
      <c r="G43" s="224"/>
    </row>
    <row r="44" ht="13.5" customHeight="1" spans="1:7">
      <c r="A44" s="197" t="s">
        <v>1337</v>
      </c>
      <c r="B44" s="167" t="s">
        <v>2481</v>
      </c>
      <c r="C44" s="199">
        <f ca="1">ROUND(IF('数据-取费表'!B22&lt;=1,C40*F22*'数据-取费表'!B21/2,C40*(POWER((1+F22),'数据-取费表'!B21/2)-1)),4)</f>
        <v>0.0004</v>
      </c>
      <c r="D44" s="199"/>
      <c r="E44" s="199"/>
      <c r="F44" s="200"/>
      <c r="G44" s="225"/>
    </row>
    <row r="45" s="143" customFormat="1" ht="13.5" customHeight="1" spans="1:7">
      <c r="A45" s="186" t="s">
        <v>2475</v>
      </c>
      <c r="B45" s="205" t="s">
        <v>2485</v>
      </c>
      <c r="C45" s="206">
        <f>C46</f>
        <v>1639</v>
      </c>
      <c r="D45" s="192">
        <f>C47</f>
        <v>0.0014</v>
      </c>
      <c r="E45" s="193" t="s">
        <v>2506</v>
      </c>
      <c r="F45" s="207"/>
      <c r="G45" s="208" t="s">
        <v>2509</v>
      </c>
    </row>
    <row r="46" s="143" customFormat="1" ht="13.5" customHeight="1" spans="1:7">
      <c r="A46" s="197" t="s">
        <v>1333</v>
      </c>
      <c r="B46" s="209" t="s">
        <v>2510</v>
      </c>
      <c r="C46" s="210">
        <f>ROUND((C33+C39)*F27,0)</f>
        <v>1639</v>
      </c>
      <c r="D46" s="226"/>
      <c r="E46" s="193"/>
      <c r="F46" s="207"/>
      <c r="G46" s="208"/>
    </row>
    <row r="47" s="143" customFormat="1" ht="13.5" customHeight="1" spans="1:7">
      <c r="A47" s="197" t="s">
        <v>1335</v>
      </c>
      <c r="B47" s="209" t="s">
        <v>2511</v>
      </c>
      <c r="C47" s="199">
        <f>ROUND(C40*F27,4)</f>
        <v>0.0014</v>
      </c>
      <c r="D47" s="226"/>
      <c r="E47" s="193"/>
      <c r="F47" s="207"/>
      <c r="G47" s="208"/>
    </row>
    <row r="48" s="143" customFormat="1" ht="13.5" customHeight="1" spans="1:7">
      <c r="A48" s="186" t="s">
        <v>2484</v>
      </c>
      <c r="B48" s="162" t="s">
        <v>2490</v>
      </c>
      <c r="C48" s="222">
        <f>F30</f>
        <v>0.056</v>
      </c>
      <c r="D48" s="193" t="s">
        <v>2512</v>
      </c>
      <c r="E48" s="189"/>
      <c r="F48" s="196"/>
      <c r="G48" s="194" t="s">
        <v>2513</v>
      </c>
    </row>
    <row r="49" ht="16.5" customHeight="1" spans="1:7">
      <c r="A49" s="186" t="s">
        <v>2489</v>
      </c>
      <c r="B49" s="162" t="s">
        <v>2514</v>
      </c>
      <c r="C49" s="189">
        <f ca="1">ROUND((C33+C39+C41+C45)/(1-C40-D41-D45-C48/(1+'数据-取费表'!B42)),0)</f>
        <v>14819</v>
      </c>
      <c r="D49" s="189"/>
      <c r="E49" s="189"/>
      <c r="F49" s="227"/>
      <c r="G49" s="194" t="s">
        <v>2515</v>
      </c>
    </row>
    <row r="50" s="145" customFormat="1" ht="24" spans="1:7">
      <c r="A50" s="186" t="s">
        <v>2516</v>
      </c>
      <c r="B50" s="162" t="s">
        <v>2517</v>
      </c>
      <c r="C50" s="189"/>
      <c r="D50" s="189"/>
      <c r="E50" s="189"/>
      <c r="F50" s="227">
        <f>IF('数据-取费表'!B24=0,'数据-取费表'!N16,1)</f>
        <v>0.95</v>
      </c>
      <c r="G50" s="208" t="s">
        <v>2518</v>
      </c>
    </row>
    <row r="51" ht="16.5" customHeight="1" spans="1:7">
      <c r="A51" s="186" t="s">
        <v>2519</v>
      </c>
      <c r="B51" s="162" t="s">
        <v>2520</v>
      </c>
      <c r="C51" s="189">
        <f ca="1">ROUND(C49*F50,0)</f>
        <v>14078</v>
      </c>
      <c r="D51" s="189"/>
      <c r="E51" s="189"/>
      <c r="F51" s="227"/>
      <c r="G51" s="194" t="s">
        <v>2521</v>
      </c>
    </row>
    <row r="52" s="142" customFormat="1" ht="16.5" spans="1:7">
      <c r="A52" s="228" t="s">
        <v>2522</v>
      </c>
      <c r="B52" s="229"/>
      <c r="C52" s="230">
        <f ca="1">C31+C51</f>
        <v>42327</v>
      </c>
      <c r="D52" s="229"/>
      <c r="E52" s="229"/>
      <c r="F52" s="229"/>
      <c r="G52" s="231"/>
    </row>
    <row r="55" ht="15" spans="2:3">
      <c r="B55" s="232" t="s">
        <v>2523</v>
      </c>
      <c r="C55" s="233"/>
    </row>
    <row r="56" spans="2:3">
      <c r="B56" s="234" t="s">
        <v>2524</v>
      </c>
      <c r="C56" s="235">
        <f ca="1">ROUND(C51/C52,3)</f>
        <v>0.333</v>
      </c>
    </row>
    <row r="57" spans="2:3">
      <c r="B57" s="234" t="s">
        <v>2525</v>
      </c>
      <c r="C57" s="236">
        <f ca="1">1-C56</f>
        <v>0.667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2526</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2527</v>
      </c>
      <c r="B2" s="121"/>
      <c r="C2" s="121"/>
      <c r="D2" s="121"/>
      <c r="E2" s="121"/>
      <c r="F2" s="121"/>
      <c r="H2" s="122" t="s">
        <v>2528</v>
      </c>
      <c r="I2" s="97" t="s">
        <v>2529</v>
      </c>
      <c r="J2" s="97" t="s">
        <v>2530</v>
      </c>
      <c r="K2" s="97" t="s">
        <v>2531</v>
      </c>
      <c r="L2" s="97" t="s">
        <v>2532</v>
      </c>
      <c r="M2" s="97" t="s">
        <v>2533</v>
      </c>
      <c r="N2" s="97" t="s">
        <v>2534</v>
      </c>
      <c r="O2" s="97" t="s">
        <v>2535</v>
      </c>
      <c r="P2" s="97" t="s">
        <v>2536</v>
      </c>
      <c r="Q2" s="97" t="s">
        <v>2537</v>
      </c>
      <c r="R2" s="97" t="s">
        <v>2538</v>
      </c>
      <c r="S2" s="97" t="s">
        <v>2539</v>
      </c>
    </row>
    <row r="3" s="118" customFormat="1" ht="19.5" customHeight="1" spans="1:19">
      <c r="A3" s="123" t="s">
        <v>2540</v>
      </c>
      <c r="B3" s="124"/>
      <c r="C3" s="125" t="s">
        <v>459</v>
      </c>
      <c r="D3" s="125" t="s">
        <v>2137</v>
      </c>
      <c r="E3" s="125" t="s">
        <v>2138</v>
      </c>
      <c r="F3" s="125" t="s">
        <v>2139</v>
      </c>
      <c r="G3" s="126"/>
      <c r="H3" s="122" t="s">
        <v>2541</v>
      </c>
      <c r="I3" s="97" t="s">
        <v>2542</v>
      </c>
      <c r="J3" s="97" t="s">
        <v>2543</v>
      </c>
      <c r="K3" s="97" t="s">
        <v>2544</v>
      </c>
      <c r="L3" s="97" t="s">
        <v>2545</v>
      </c>
      <c r="M3" s="97" t="s">
        <v>2546</v>
      </c>
      <c r="N3" s="97" t="s">
        <v>2547</v>
      </c>
      <c r="O3" s="97" t="s">
        <v>2548</v>
      </c>
      <c r="P3" s="97" t="s">
        <v>2549</v>
      </c>
      <c r="Q3" s="97" t="s">
        <v>2550</v>
      </c>
      <c r="R3" s="97" t="s">
        <v>2551</v>
      </c>
      <c r="S3" s="97" t="s">
        <v>2552</v>
      </c>
    </row>
    <row r="4" s="118" customFormat="1" ht="19.5" customHeight="1" spans="1:19">
      <c r="A4" s="127"/>
      <c r="B4" s="128" t="s">
        <v>2553</v>
      </c>
      <c r="C4" s="128" t="s">
        <v>2554</v>
      </c>
      <c r="D4" s="128" t="s">
        <v>2554</v>
      </c>
      <c r="E4" s="128" t="s">
        <v>2554</v>
      </c>
      <c r="F4" s="129" t="s">
        <v>2554</v>
      </c>
      <c r="G4" s="126"/>
      <c r="H4" s="122" t="s">
        <v>2555</v>
      </c>
      <c r="I4" s="97" t="s">
        <v>2556</v>
      </c>
      <c r="J4" s="97" t="s">
        <v>2557</v>
      </c>
      <c r="K4" s="97" t="s">
        <v>2558</v>
      </c>
      <c r="L4" s="97" t="s">
        <v>2559</v>
      </c>
      <c r="M4" s="97" t="s">
        <v>2560</v>
      </c>
      <c r="N4" s="97" t="s">
        <v>2561</v>
      </c>
      <c r="O4" s="97" t="s">
        <v>2562</v>
      </c>
      <c r="P4" s="97" t="s">
        <v>2563</v>
      </c>
      <c r="Q4" s="97" t="s">
        <v>2564</v>
      </c>
      <c r="R4" s="97" t="s">
        <v>2565</v>
      </c>
      <c r="S4" s="97" t="s">
        <v>2566</v>
      </c>
    </row>
    <row r="5" ht="14.25" customHeight="1" spans="1:19">
      <c r="A5" s="93" t="s">
        <v>232</v>
      </c>
      <c r="B5" s="94" t="s">
        <v>2528</v>
      </c>
      <c r="C5" s="94">
        <v>29530</v>
      </c>
      <c r="D5" s="94">
        <v>28130</v>
      </c>
      <c r="E5" s="94">
        <v>27930</v>
      </c>
      <c r="F5" s="130">
        <v>11300</v>
      </c>
      <c r="G5" s="126"/>
      <c r="H5" s="122" t="s">
        <v>2567</v>
      </c>
      <c r="I5" s="97" t="s">
        <v>2568</v>
      </c>
      <c r="J5" s="97" t="s">
        <v>2569</v>
      </c>
      <c r="K5" s="97" t="s">
        <v>2570</v>
      </c>
      <c r="L5" s="97" t="s">
        <v>2571</v>
      </c>
      <c r="M5" s="97" t="s">
        <v>2572</v>
      </c>
      <c r="N5" s="97" t="s">
        <v>2573</v>
      </c>
      <c r="O5" s="97" t="s">
        <v>2574</v>
      </c>
      <c r="P5" s="97" t="s">
        <v>2575</v>
      </c>
      <c r="Q5" s="97" t="s">
        <v>2576</v>
      </c>
      <c r="R5" s="97" t="s">
        <v>2577</v>
      </c>
      <c r="S5" s="97" t="s">
        <v>2578</v>
      </c>
    </row>
    <row r="6" ht="14.25" customHeight="1" spans="1:19">
      <c r="A6" s="93" t="s">
        <v>232</v>
      </c>
      <c r="B6" s="97" t="s">
        <v>2541</v>
      </c>
      <c r="C6" s="97">
        <v>30290</v>
      </c>
      <c r="D6" s="97">
        <v>29210</v>
      </c>
      <c r="E6" s="97">
        <v>28860</v>
      </c>
      <c r="F6" s="131">
        <v>12600</v>
      </c>
      <c r="G6" s="126"/>
      <c r="H6" s="122" t="s">
        <v>2579</v>
      </c>
      <c r="I6" s="97" t="s">
        <v>2580</v>
      </c>
      <c r="J6" s="97" t="s">
        <v>2581</v>
      </c>
      <c r="K6" s="97" t="s">
        <v>2582</v>
      </c>
      <c r="L6" s="97" t="s">
        <v>2583</v>
      </c>
      <c r="M6" s="97" t="s">
        <v>2584</v>
      </c>
      <c r="N6" s="97" t="s">
        <v>2585</v>
      </c>
      <c r="O6" s="97" t="s">
        <v>2586</v>
      </c>
      <c r="P6" s="97" t="s">
        <v>2587</v>
      </c>
      <c r="Q6" s="97" t="s">
        <v>2588</v>
      </c>
      <c r="R6" s="97" t="s">
        <v>2589</v>
      </c>
      <c r="S6" s="97" t="s">
        <v>2590</v>
      </c>
    </row>
    <row r="7" ht="14.25" customHeight="1" spans="1:19">
      <c r="A7" s="93" t="s">
        <v>232</v>
      </c>
      <c r="B7" s="100" t="s">
        <v>2555</v>
      </c>
      <c r="C7" s="97">
        <v>29350</v>
      </c>
      <c r="D7" s="97">
        <v>28410</v>
      </c>
      <c r="E7" s="97">
        <v>27990</v>
      </c>
      <c r="F7" s="131">
        <v>12300</v>
      </c>
      <c r="G7" s="126"/>
      <c r="I7" s="97" t="s">
        <v>2591</v>
      </c>
      <c r="J7" s="97" t="s">
        <v>2592</v>
      </c>
      <c r="K7" s="97" t="s">
        <v>2593</v>
      </c>
      <c r="L7" s="97" t="s">
        <v>2594</v>
      </c>
      <c r="M7" s="97" t="s">
        <v>2595</v>
      </c>
      <c r="N7" s="97" t="s">
        <v>2596</v>
      </c>
      <c r="O7" s="97" t="s">
        <v>2597</v>
      </c>
      <c r="P7" s="97" t="s">
        <v>2598</v>
      </c>
      <c r="Q7" s="97" t="s">
        <v>2599</v>
      </c>
      <c r="R7" s="97" t="s">
        <v>2600</v>
      </c>
      <c r="S7" s="100" t="s">
        <v>2601</v>
      </c>
    </row>
    <row r="8" ht="14.25" customHeight="1" spans="1:19">
      <c r="A8" s="93" t="s">
        <v>232</v>
      </c>
      <c r="B8" s="97" t="s">
        <v>2567</v>
      </c>
      <c r="C8" s="97">
        <v>30890</v>
      </c>
      <c r="D8" s="97">
        <v>29780</v>
      </c>
      <c r="E8" s="97">
        <v>29270</v>
      </c>
      <c r="F8" s="131">
        <v>11600</v>
      </c>
      <c r="G8" s="126"/>
      <c r="I8" s="97" t="s">
        <v>2602</v>
      </c>
      <c r="J8" s="97" t="s">
        <v>2603</v>
      </c>
      <c r="K8" s="97" t="s">
        <v>2604</v>
      </c>
      <c r="L8" s="97" t="s">
        <v>2605</v>
      </c>
      <c r="M8" s="97" t="s">
        <v>2606</v>
      </c>
      <c r="N8" s="97" t="s">
        <v>2607</v>
      </c>
      <c r="O8" s="97" t="s">
        <v>2608</v>
      </c>
      <c r="P8" s="97" t="s">
        <v>2609</v>
      </c>
      <c r="Q8" s="97" t="s">
        <v>2610</v>
      </c>
      <c r="R8" s="97" t="s">
        <v>2611</v>
      </c>
      <c r="S8" s="97" t="s">
        <v>2612</v>
      </c>
    </row>
    <row r="9" ht="14.25" customHeight="1" spans="1:18">
      <c r="A9" s="93" t="s">
        <v>232</v>
      </c>
      <c r="B9" s="102" t="s">
        <v>2579</v>
      </c>
      <c r="C9" s="108">
        <v>28140</v>
      </c>
      <c r="D9" s="108"/>
      <c r="E9" s="108"/>
      <c r="F9" s="132"/>
      <c r="G9" s="126"/>
      <c r="I9" s="97" t="s">
        <v>2613</v>
      </c>
      <c r="J9" s="97" t="s">
        <v>2614</v>
      </c>
      <c r="K9" s="97" t="s">
        <v>2615</v>
      </c>
      <c r="L9" s="97" t="s">
        <v>2616</v>
      </c>
      <c r="M9" s="97" t="s">
        <v>2617</v>
      </c>
      <c r="N9" s="97" t="s">
        <v>2618</v>
      </c>
      <c r="O9" s="97" t="s">
        <v>2619</v>
      </c>
      <c r="P9" s="97" t="s">
        <v>2620</v>
      </c>
      <c r="Q9" s="97" t="s">
        <v>2621</v>
      </c>
      <c r="R9" s="97" t="s">
        <v>2622</v>
      </c>
    </row>
    <row r="10" ht="14.25" customHeight="1" spans="1:18">
      <c r="A10" s="93" t="s">
        <v>243</v>
      </c>
      <c r="B10" s="94" t="s">
        <v>2529</v>
      </c>
      <c r="C10" s="94">
        <v>27450</v>
      </c>
      <c r="D10" s="94">
        <v>26180</v>
      </c>
      <c r="E10" s="94">
        <v>25980</v>
      </c>
      <c r="F10" s="130">
        <v>8910</v>
      </c>
      <c r="G10" s="126"/>
      <c r="I10" s="97" t="s">
        <v>2623</v>
      </c>
      <c r="J10" s="97" t="s">
        <v>2624</v>
      </c>
      <c r="K10" s="97" t="s">
        <v>2625</v>
      </c>
      <c r="L10" s="97" t="s">
        <v>2626</v>
      </c>
      <c r="M10" s="97" t="s">
        <v>2627</v>
      </c>
      <c r="N10" s="97" t="s">
        <v>2628</v>
      </c>
      <c r="O10" s="97" t="s">
        <v>2629</v>
      </c>
      <c r="P10" s="97" t="s">
        <v>2630</v>
      </c>
      <c r="Q10" s="97" t="s">
        <v>2631</v>
      </c>
      <c r="R10" s="97" t="s">
        <v>2632</v>
      </c>
    </row>
    <row r="11" ht="14.25" customHeight="1" spans="1:18">
      <c r="A11" s="93" t="s">
        <v>243</v>
      </c>
      <c r="B11" s="100" t="s">
        <v>2542</v>
      </c>
      <c r="C11" s="97">
        <v>22950</v>
      </c>
      <c r="D11" s="97">
        <v>22630</v>
      </c>
      <c r="E11" s="97">
        <v>22030</v>
      </c>
      <c r="F11" s="133">
        <v>8330</v>
      </c>
      <c r="G11" s="126"/>
      <c r="I11" s="97" t="s">
        <v>2633</v>
      </c>
      <c r="J11" s="97" t="s">
        <v>2634</v>
      </c>
      <c r="K11" s="97" t="s">
        <v>2635</v>
      </c>
      <c r="L11" s="97" t="s">
        <v>2636</v>
      </c>
      <c r="M11" s="97" t="s">
        <v>2637</v>
      </c>
      <c r="N11" s="97" t="s">
        <v>2638</v>
      </c>
      <c r="O11" s="97" t="s">
        <v>2639</v>
      </c>
      <c r="P11" s="97" t="s">
        <v>2640</v>
      </c>
      <c r="Q11" s="97" t="s">
        <v>2641</v>
      </c>
      <c r="R11" s="97" t="s">
        <v>2642</v>
      </c>
    </row>
    <row r="12" ht="14.25" customHeight="1" spans="1:18">
      <c r="A12" s="93" t="s">
        <v>243</v>
      </c>
      <c r="B12" s="100" t="s">
        <v>2556</v>
      </c>
      <c r="C12" s="97">
        <v>24940</v>
      </c>
      <c r="D12" s="97">
        <v>23180</v>
      </c>
      <c r="E12" s="97">
        <v>22910</v>
      </c>
      <c r="F12" s="133">
        <v>7180</v>
      </c>
      <c r="G12" s="126"/>
      <c r="I12" s="97" t="s">
        <v>2643</v>
      </c>
      <c r="J12" s="97" t="s">
        <v>2644</v>
      </c>
      <c r="K12" s="97" t="s">
        <v>2645</v>
      </c>
      <c r="L12" s="97" t="s">
        <v>2646</v>
      </c>
      <c r="M12" s="97" t="s">
        <v>2647</v>
      </c>
      <c r="N12" s="97" t="s">
        <v>2648</v>
      </c>
      <c r="O12" s="97" t="s">
        <v>2649</v>
      </c>
      <c r="P12" s="97" t="s">
        <v>2650</v>
      </c>
      <c r="Q12" s="97" t="s">
        <v>2651</v>
      </c>
      <c r="R12" s="97" t="s">
        <v>2652</v>
      </c>
    </row>
    <row r="13" ht="14.25" customHeight="1" spans="1:18">
      <c r="A13" s="93" t="s">
        <v>243</v>
      </c>
      <c r="B13" s="100" t="s">
        <v>2568</v>
      </c>
      <c r="C13" s="97">
        <v>24140</v>
      </c>
      <c r="D13" s="97">
        <v>22270</v>
      </c>
      <c r="E13" s="97">
        <v>21950</v>
      </c>
      <c r="F13" s="133">
        <v>7600</v>
      </c>
      <c r="G13" s="126"/>
      <c r="I13" s="97" t="s">
        <v>2653</v>
      </c>
      <c r="J13" s="97" t="s">
        <v>2654</v>
      </c>
      <c r="K13" s="97" t="s">
        <v>2655</v>
      </c>
      <c r="L13" s="97" t="s">
        <v>2656</v>
      </c>
      <c r="M13" s="97" t="s">
        <v>2657</v>
      </c>
      <c r="N13" s="97" t="s">
        <v>2658</v>
      </c>
      <c r="O13" s="97" t="s">
        <v>2659</v>
      </c>
      <c r="P13" s="97" t="s">
        <v>2660</v>
      </c>
      <c r="Q13" s="97" t="s">
        <v>2661</v>
      </c>
      <c r="R13" s="97" t="s">
        <v>2662</v>
      </c>
    </row>
    <row r="14" ht="14.25" customHeight="1" spans="1:18">
      <c r="A14" s="93" t="s">
        <v>243</v>
      </c>
      <c r="B14" s="100" t="s">
        <v>2580</v>
      </c>
      <c r="C14" s="97">
        <v>25600</v>
      </c>
      <c r="D14" s="97">
        <v>22260</v>
      </c>
      <c r="E14" s="97">
        <v>22110</v>
      </c>
      <c r="F14" s="133">
        <v>7630</v>
      </c>
      <c r="G14" s="126"/>
      <c r="I14" s="97" t="s">
        <v>2663</v>
      </c>
      <c r="J14" s="97" t="s">
        <v>2664</v>
      </c>
      <c r="K14" s="97" t="s">
        <v>2665</v>
      </c>
      <c r="L14" s="97" t="s">
        <v>2666</v>
      </c>
      <c r="M14" s="97" t="s">
        <v>2667</v>
      </c>
      <c r="N14" s="97" t="s">
        <v>2668</v>
      </c>
      <c r="O14" s="97" t="s">
        <v>2669</v>
      </c>
      <c r="P14" s="97" t="s">
        <v>2670</v>
      </c>
      <c r="Q14" s="97" t="s">
        <v>2671</v>
      </c>
      <c r="R14" s="97" t="s">
        <v>2672</v>
      </c>
    </row>
    <row r="15" ht="14.25" customHeight="1" spans="1:18">
      <c r="A15" s="93" t="s">
        <v>243</v>
      </c>
      <c r="B15" s="100" t="s">
        <v>2591</v>
      </c>
      <c r="C15" s="97">
        <v>24760</v>
      </c>
      <c r="D15" s="97">
        <v>24440</v>
      </c>
      <c r="E15" s="97">
        <v>24130</v>
      </c>
      <c r="F15" s="133">
        <v>9480</v>
      </c>
      <c r="G15" s="126"/>
      <c r="I15" s="97" t="s">
        <v>2673</v>
      </c>
      <c r="J15" s="97" t="s">
        <v>2674</v>
      </c>
      <c r="K15" s="97" t="s">
        <v>2675</v>
      </c>
      <c r="L15" s="97" t="s">
        <v>2676</v>
      </c>
      <c r="M15" s="97" t="s">
        <v>2677</v>
      </c>
      <c r="N15" s="97" t="s">
        <v>2678</v>
      </c>
      <c r="O15" s="97" t="s">
        <v>2679</v>
      </c>
      <c r="P15" s="97" t="s">
        <v>2680</v>
      </c>
      <c r="Q15" s="97" t="s">
        <v>2681</v>
      </c>
      <c r="R15" s="97" t="s">
        <v>2682</v>
      </c>
    </row>
    <row r="16" ht="14.25" customHeight="1" spans="1:18">
      <c r="A16" s="93" t="s">
        <v>243</v>
      </c>
      <c r="B16" s="100" t="s">
        <v>2602</v>
      </c>
      <c r="C16" s="97">
        <v>22220</v>
      </c>
      <c r="D16" s="97">
        <v>22310</v>
      </c>
      <c r="E16" s="97">
        <v>22000</v>
      </c>
      <c r="F16" s="133">
        <v>8900</v>
      </c>
      <c r="G16" s="126"/>
      <c r="I16" s="97" t="s">
        <v>2683</v>
      </c>
      <c r="J16" s="97" t="s">
        <v>2684</v>
      </c>
      <c r="K16" s="97" t="s">
        <v>2685</v>
      </c>
      <c r="L16" s="97" t="s">
        <v>2686</v>
      </c>
      <c r="M16" s="97" t="s">
        <v>2687</v>
      </c>
      <c r="N16" s="97" t="s">
        <v>409</v>
      </c>
      <c r="O16" s="97" t="s">
        <v>2688</v>
      </c>
      <c r="P16" s="97" t="s">
        <v>2689</v>
      </c>
      <c r="Q16" s="97" t="s">
        <v>2690</v>
      </c>
      <c r="R16" s="97" t="s">
        <v>2691</v>
      </c>
    </row>
    <row r="17" ht="14.25" customHeight="1" spans="1:18">
      <c r="A17" s="93" t="s">
        <v>243</v>
      </c>
      <c r="B17" s="100" t="s">
        <v>2613</v>
      </c>
      <c r="C17" s="97">
        <v>24700</v>
      </c>
      <c r="D17" s="97">
        <v>25150</v>
      </c>
      <c r="E17" s="97">
        <v>24700</v>
      </c>
      <c r="F17" s="134"/>
      <c r="G17" s="126"/>
      <c r="I17" s="97" t="s">
        <v>2692</v>
      </c>
      <c r="J17" s="97" t="s">
        <v>2693</v>
      </c>
      <c r="K17" s="97" t="s">
        <v>2694</v>
      </c>
      <c r="L17" s="97" t="s">
        <v>2695</v>
      </c>
      <c r="M17" s="97" t="s">
        <v>2696</v>
      </c>
      <c r="N17" s="97" t="s">
        <v>2697</v>
      </c>
      <c r="O17" s="97" t="s">
        <v>2698</v>
      </c>
      <c r="P17" s="97" t="s">
        <v>2699</v>
      </c>
      <c r="Q17" s="97" t="s">
        <v>2700</v>
      </c>
      <c r="R17" s="97" t="s">
        <v>2701</v>
      </c>
    </row>
    <row r="18" ht="14.25" customHeight="1" spans="1:18">
      <c r="A18" s="93" t="s">
        <v>243</v>
      </c>
      <c r="B18" s="100" t="s">
        <v>2623</v>
      </c>
      <c r="C18" s="97">
        <v>22350</v>
      </c>
      <c r="D18" s="97">
        <v>24340</v>
      </c>
      <c r="E18" s="97">
        <v>24100</v>
      </c>
      <c r="F18" s="134"/>
      <c r="G18" s="126"/>
      <c r="I18" s="97" t="s">
        <v>2702</v>
      </c>
      <c r="J18" s="97" t="s">
        <v>2703</v>
      </c>
      <c r="K18" s="97" t="s">
        <v>2704</v>
      </c>
      <c r="L18" s="97" t="s">
        <v>2705</v>
      </c>
      <c r="M18" s="97" t="s">
        <v>2706</v>
      </c>
      <c r="N18" s="97" t="s">
        <v>2707</v>
      </c>
      <c r="O18" s="97" t="s">
        <v>2708</v>
      </c>
      <c r="P18" s="97" t="s">
        <v>2709</v>
      </c>
      <c r="Q18" s="97" t="s">
        <v>2710</v>
      </c>
      <c r="R18" s="97" t="s">
        <v>2711</v>
      </c>
    </row>
    <row r="19" ht="14.25" customHeight="1" spans="1:18">
      <c r="A19" s="93" t="s">
        <v>243</v>
      </c>
      <c r="B19" s="100" t="s">
        <v>2633</v>
      </c>
      <c r="C19" s="97">
        <v>23430</v>
      </c>
      <c r="D19" s="97">
        <v>21580</v>
      </c>
      <c r="E19" s="97">
        <v>21350</v>
      </c>
      <c r="F19" s="134"/>
      <c r="G19" s="126"/>
      <c r="I19" s="97" t="s">
        <v>2712</v>
      </c>
      <c r="J19" s="97" t="s">
        <v>2713</v>
      </c>
      <c r="K19" s="97" t="s">
        <v>2714</v>
      </c>
      <c r="L19" s="97" t="s">
        <v>2715</v>
      </c>
      <c r="M19" s="97" t="s">
        <v>2716</v>
      </c>
      <c r="N19" s="97" t="s">
        <v>2717</v>
      </c>
      <c r="O19" s="97" t="s">
        <v>2718</v>
      </c>
      <c r="P19" s="97" t="s">
        <v>2719</v>
      </c>
      <c r="Q19" s="97" t="s">
        <v>2720</v>
      </c>
      <c r="R19" s="97" t="s">
        <v>2721</v>
      </c>
    </row>
    <row r="20" ht="14.25" customHeight="1" spans="1:18">
      <c r="A20" s="93" t="s">
        <v>243</v>
      </c>
      <c r="B20" s="100" t="s">
        <v>2643</v>
      </c>
      <c r="C20" s="97">
        <v>27660</v>
      </c>
      <c r="D20" s="97">
        <v>24240</v>
      </c>
      <c r="E20" s="97">
        <v>24020</v>
      </c>
      <c r="F20" s="134"/>
      <c r="I20" s="97" t="s">
        <v>2722</v>
      </c>
      <c r="J20" s="97" t="s">
        <v>2723</v>
      </c>
      <c r="K20" s="97" t="s">
        <v>2724</v>
      </c>
      <c r="L20" s="97" t="s">
        <v>2725</v>
      </c>
      <c r="M20" s="97" t="s">
        <v>2726</v>
      </c>
      <c r="N20" s="97" t="s">
        <v>2727</v>
      </c>
      <c r="O20" s="97" t="s">
        <v>2728</v>
      </c>
      <c r="P20" s="97" t="s">
        <v>2729</v>
      </c>
      <c r="Q20" s="97" t="s">
        <v>2730</v>
      </c>
      <c r="R20" s="97" t="s">
        <v>2731</v>
      </c>
    </row>
    <row r="21" ht="14.25" customHeight="1" spans="1:18">
      <c r="A21" s="93" t="s">
        <v>243</v>
      </c>
      <c r="B21" s="100" t="s">
        <v>2653</v>
      </c>
      <c r="C21" s="97">
        <v>24720</v>
      </c>
      <c r="D21" s="97">
        <v>21670</v>
      </c>
      <c r="E21" s="97">
        <v>21510</v>
      </c>
      <c r="F21" s="134"/>
      <c r="J21" s="97" t="s">
        <v>2732</v>
      </c>
      <c r="K21" s="97" t="s">
        <v>2733</v>
      </c>
      <c r="L21" s="97" t="s">
        <v>2734</v>
      </c>
      <c r="M21" s="97" t="s">
        <v>2735</v>
      </c>
      <c r="N21" s="97" t="s">
        <v>2736</v>
      </c>
      <c r="O21" s="97" t="s">
        <v>2737</v>
      </c>
      <c r="P21" s="97" t="s">
        <v>2738</v>
      </c>
      <c r="Q21" s="97" t="s">
        <v>2739</v>
      </c>
      <c r="R21" s="97" t="s">
        <v>2740</v>
      </c>
    </row>
    <row r="22" ht="14.25" customHeight="1" spans="1:18">
      <c r="A22" s="93" t="s">
        <v>243</v>
      </c>
      <c r="B22" s="100" t="s">
        <v>2663</v>
      </c>
      <c r="C22" s="97">
        <v>26530</v>
      </c>
      <c r="D22" s="97">
        <v>22980</v>
      </c>
      <c r="E22" s="97">
        <v>22650</v>
      </c>
      <c r="F22" s="134"/>
      <c r="K22" s="97" t="s">
        <v>2741</v>
      </c>
      <c r="L22" s="97" t="s">
        <v>2742</v>
      </c>
      <c r="M22" s="97" t="s">
        <v>2743</v>
      </c>
      <c r="N22" s="97" t="s">
        <v>2744</v>
      </c>
      <c r="O22" s="97" t="s">
        <v>2745</v>
      </c>
      <c r="P22" s="97" t="s">
        <v>2746</v>
      </c>
      <c r="Q22" s="97" t="s">
        <v>2747</v>
      </c>
      <c r="R22" s="100" t="s">
        <v>2748</v>
      </c>
    </row>
    <row r="23" ht="14.25" customHeight="1" spans="1:17">
      <c r="A23" s="93" t="s">
        <v>243</v>
      </c>
      <c r="B23" s="100" t="s">
        <v>2673</v>
      </c>
      <c r="C23" s="97">
        <v>24700</v>
      </c>
      <c r="D23" s="97">
        <v>27290</v>
      </c>
      <c r="E23" s="97">
        <v>26710</v>
      </c>
      <c r="F23" s="134"/>
      <c r="K23" s="97" t="s">
        <v>2749</v>
      </c>
      <c r="L23" s="97" t="s">
        <v>2750</v>
      </c>
      <c r="M23" s="97" t="s">
        <v>2751</v>
      </c>
      <c r="N23" s="97" t="s">
        <v>2752</v>
      </c>
      <c r="O23" s="97" t="s">
        <v>2753</v>
      </c>
      <c r="P23" s="97" t="s">
        <v>2754</v>
      </c>
      <c r="Q23" s="97" t="s">
        <v>2755</v>
      </c>
    </row>
    <row r="24" ht="14.25" customHeight="1" spans="1:17">
      <c r="A24" s="93" t="s">
        <v>243</v>
      </c>
      <c r="B24" s="100" t="s">
        <v>2683</v>
      </c>
      <c r="C24" s="97">
        <v>23070</v>
      </c>
      <c r="D24" s="97">
        <v>24130</v>
      </c>
      <c r="E24" s="97">
        <v>23860</v>
      </c>
      <c r="F24" s="134"/>
      <c r="K24" s="97" t="s">
        <v>2756</v>
      </c>
      <c r="L24" s="97" t="s">
        <v>2757</v>
      </c>
      <c r="M24" s="97" t="s">
        <v>2758</v>
      </c>
      <c r="N24" s="97" t="s">
        <v>2759</v>
      </c>
      <c r="O24" s="97" t="s">
        <v>2760</v>
      </c>
      <c r="P24" s="97" t="s">
        <v>2761</v>
      </c>
      <c r="Q24" s="97" t="s">
        <v>2762</v>
      </c>
    </row>
    <row r="25" ht="14.25" customHeight="1" spans="1:17">
      <c r="A25" s="93" t="s">
        <v>243</v>
      </c>
      <c r="B25" s="100" t="s">
        <v>2692</v>
      </c>
      <c r="C25" s="97">
        <v>27550</v>
      </c>
      <c r="D25" s="97">
        <v>25850</v>
      </c>
      <c r="E25" s="97">
        <v>25340</v>
      </c>
      <c r="F25" s="134"/>
      <c r="K25" s="97" t="s">
        <v>2763</v>
      </c>
      <c r="L25" s="97" t="s">
        <v>2764</v>
      </c>
      <c r="M25" s="97" t="s">
        <v>2765</v>
      </c>
      <c r="N25" s="97" t="s">
        <v>2766</v>
      </c>
      <c r="O25" s="97" t="s">
        <v>2767</v>
      </c>
      <c r="P25" s="97" t="s">
        <v>2768</v>
      </c>
      <c r="Q25" s="97" t="s">
        <v>2769</v>
      </c>
    </row>
    <row r="26" ht="14.25" customHeight="1" spans="1:17">
      <c r="A26" s="93" t="s">
        <v>243</v>
      </c>
      <c r="B26" s="100" t="s">
        <v>2702</v>
      </c>
      <c r="C26" s="97"/>
      <c r="D26" s="97">
        <v>23900</v>
      </c>
      <c r="E26" s="97">
        <v>23590</v>
      </c>
      <c r="F26" s="134"/>
      <c r="K26" s="97" t="s">
        <v>2770</v>
      </c>
      <c r="L26" s="97" t="s">
        <v>2771</v>
      </c>
      <c r="M26" s="97" t="s">
        <v>2772</v>
      </c>
      <c r="N26" s="97" t="s">
        <v>2773</v>
      </c>
      <c r="O26" s="97" t="s">
        <v>2774</v>
      </c>
      <c r="P26" s="97" t="s">
        <v>2775</v>
      </c>
      <c r="Q26" s="97" t="s">
        <v>2776</v>
      </c>
    </row>
    <row r="27" ht="14.25" customHeight="1" spans="1:17">
      <c r="A27" s="93" t="s">
        <v>243</v>
      </c>
      <c r="B27" s="100" t="s">
        <v>2712</v>
      </c>
      <c r="C27" s="97"/>
      <c r="D27" s="97">
        <v>22850</v>
      </c>
      <c r="E27" s="97">
        <v>21920</v>
      </c>
      <c r="F27" s="134"/>
      <c r="K27" s="97" t="s">
        <v>2777</v>
      </c>
      <c r="L27" s="97" t="s">
        <v>2778</v>
      </c>
      <c r="M27" s="97" t="s">
        <v>2779</v>
      </c>
      <c r="N27" s="97" t="s">
        <v>2780</v>
      </c>
      <c r="O27" s="97" t="s">
        <v>2781</v>
      </c>
      <c r="P27" s="97" t="s">
        <v>2782</v>
      </c>
      <c r="Q27" s="97" t="s">
        <v>2783</v>
      </c>
    </row>
    <row r="28" ht="14.25" customHeight="1" spans="1:16">
      <c r="A28" s="101" t="s">
        <v>243</v>
      </c>
      <c r="B28" s="102" t="s">
        <v>2722</v>
      </c>
      <c r="C28" s="108"/>
      <c r="D28" s="108">
        <v>26610</v>
      </c>
      <c r="E28" s="108">
        <v>26370</v>
      </c>
      <c r="F28" s="132"/>
      <c r="K28" s="97" t="s">
        <v>2784</v>
      </c>
      <c r="L28" s="97" t="s">
        <v>2785</v>
      </c>
      <c r="M28" s="97" t="s">
        <v>2786</v>
      </c>
      <c r="N28" s="97" t="s">
        <v>2787</v>
      </c>
      <c r="O28" s="97" t="s">
        <v>2788</v>
      </c>
      <c r="P28" s="97" t="s">
        <v>2789</v>
      </c>
    </row>
    <row r="29" ht="14.25" customHeight="1" spans="1:16">
      <c r="A29" s="93" t="s">
        <v>253</v>
      </c>
      <c r="B29" s="94" t="s">
        <v>2530</v>
      </c>
      <c r="C29" s="94">
        <v>22090</v>
      </c>
      <c r="D29" s="94">
        <v>21860</v>
      </c>
      <c r="E29" s="94">
        <v>19380</v>
      </c>
      <c r="F29" s="130">
        <v>6610</v>
      </c>
      <c r="L29" s="97" t="s">
        <v>2790</v>
      </c>
      <c r="M29" s="97" t="s">
        <v>2791</v>
      </c>
      <c r="N29" s="97" t="s">
        <v>2792</v>
      </c>
      <c r="O29" s="97" t="s">
        <v>2793</v>
      </c>
      <c r="P29" s="97" t="s">
        <v>2794</v>
      </c>
    </row>
    <row r="30" ht="14.25" customHeight="1" spans="1:16">
      <c r="A30" s="93" t="s">
        <v>253</v>
      </c>
      <c r="B30" s="100" t="s">
        <v>2543</v>
      </c>
      <c r="C30" s="97">
        <v>21380</v>
      </c>
      <c r="D30" s="97">
        <v>19930</v>
      </c>
      <c r="E30" s="97">
        <v>19860</v>
      </c>
      <c r="F30" s="133">
        <v>6010</v>
      </c>
      <c r="L30" s="97" t="s">
        <v>2795</v>
      </c>
      <c r="M30" s="97" t="s">
        <v>2796</v>
      </c>
      <c r="N30" s="97" t="s">
        <v>2797</v>
      </c>
      <c r="O30" s="97" t="s">
        <v>2798</v>
      </c>
      <c r="P30" s="97" t="s">
        <v>2799</v>
      </c>
    </row>
    <row r="31" ht="14.25" customHeight="1" spans="1:16">
      <c r="A31" s="93" t="s">
        <v>253</v>
      </c>
      <c r="B31" s="100" t="s">
        <v>2557</v>
      </c>
      <c r="C31" s="97">
        <v>21670</v>
      </c>
      <c r="D31" s="97">
        <v>20660</v>
      </c>
      <c r="E31" s="97">
        <v>20290</v>
      </c>
      <c r="F31" s="133">
        <v>5840</v>
      </c>
      <c r="L31" s="97" t="s">
        <v>2800</v>
      </c>
      <c r="M31" s="97" t="s">
        <v>2801</v>
      </c>
      <c r="N31" s="97" t="s">
        <v>2802</v>
      </c>
      <c r="O31" s="97" t="s">
        <v>2803</v>
      </c>
      <c r="P31" s="97" t="s">
        <v>2804</v>
      </c>
    </row>
    <row r="32" ht="14.25" customHeight="1" spans="1:16">
      <c r="A32" s="93" t="s">
        <v>253</v>
      </c>
      <c r="B32" s="100" t="s">
        <v>2569</v>
      </c>
      <c r="C32" s="97">
        <v>22280</v>
      </c>
      <c r="D32" s="97">
        <v>21800</v>
      </c>
      <c r="E32" s="97">
        <v>17650</v>
      </c>
      <c r="F32" s="133">
        <v>4690</v>
      </c>
      <c r="L32" s="97" t="s">
        <v>2805</v>
      </c>
      <c r="M32" s="97" t="s">
        <v>2806</v>
      </c>
      <c r="N32" s="97" t="s">
        <v>2807</v>
      </c>
      <c r="O32" s="97" t="s">
        <v>2808</v>
      </c>
      <c r="P32" s="97" t="s">
        <v>2809</v>
      </c>
    </row>
    <row r="33" ht="14.25" customHeight="1" spans="1:16">
      <c r="A33" s="93" t="s">
        <v>253</v>
      </c>
      <c r="B33" s="100" t="s">
        <v>2581</v>
      </c>
      <c r="C33" s="97">
        <v>22130</v>
      </c>
      <c r="D33" s="97">
        <v>20460</v>
      </c>
      <c r="E33" s="97">
        <v>18500</v>
      </c>
      <c r="F33" s="133">
        <v>5340</v>
      </c>
      <c r="L33" s="97" t="s">
        <v>2810</v>
      </c>
      <c r="M33" s="97" t="s">
        <v>2811</v>
      </c>
      <c r="N33" s="97" t="s">
        <v>2812</v>
      </c>
      <c r="O33" s="97" t="s">
        <v>2813</v>
      </c>
      <c r="P33" s="97" t="s">
        <v>2814</v>
      </c>
    </row>
    <row r="34" ht="14.25" customHeight="1" spans="1:16">
      <c r="A34" s="93" t="s">
        <v>253</v>
      </c>
      <c r="B34" s="100" t="s">
        <v>2592</v>
      </c>
      <c r="C34" s="97">
        <v>22070</v>
      </c>
      <c r="D34" s="97">
        <v>20110</v>
      </c>
      <c r="E34" s="97">
        <v>18830</v>
      </c>
      <c r="F34" s="133">
        <v>5190</v>
      </c>
      <c r="L34" s="97" t="s">
        <v>2815</v>
      </c>
      <c r="M34" s="97" t="s">
        <v>2816</v>
      </c>
      <c r="N34" s="97" t="s">
        <v>2817</v>
      </c>
      <c r="O34" s="97" t="s">
        <v>2818</v>
      </c>
      <c r="P34" s="97" t="s">
        <v>2819</v>
      </c>
    </row>
    <row r="35" ht="14.25" customHeight="1" spans="1:16">
      <c r="A35" s="93" t="s">
        <v>253</v>
      </c>
      <c r="B35" s="100" t="s">
        <v>2603</v>
      </c>
      <c r="C35" s="97">
        <v>22240</v>
      </c>
      <c r="D35" s="97">
        <v>19550</v>
      </c>
      <c r="E35" s="97">
        <v>19220</v>
      </c>
      <c r="F35" s="133">
        <v>5800</v>
      </c>
      <c r="L35" s="97" t="s">
        <v>2820</v>
      </c>
      <c r="M35" s="97" t="s">
        <v>2821</v>
      </c>
      <c r="N35" s="97" t="s">
        <v>2822</v>
      </c>
      <c r="O35" s="97" t="s">
        <v>2823</v>
      </c>
      <c r="P35" s="97" t="s">
        <v>2824</v>
      </c>
    </row>
    <row r="36" ht="14.25" customHeight="1" spans="1:16">
      <c r="A36" s="93" t="s">
        <v>253</v>
      </c>
      <c r="B36" s="100" t="s">
        <v>2614</v>
      </c>
      <c r="C36" s="97">
        <v>19750</v>
      </c>
      <c r="D36" s="97">
        <v>19790</v>
      </c>
      <c r="E36" s="97">
        <v>18510</v>
      </c>
      <c r="F36" s="133">
        <v>6520</v>
      </c>
      <c r="M36" s="97" t="s">
        <v>2825</v>
      </c>
      <c r="N36" s="97" t="s">
        <v>2826</v>
      </c>
      <c r="O36" s="97" t="s">
        <v>2827</v>
      </c>
      <c r="P36" s="97" t="s">
        <v>2828</v>
      </c>
    </row>
    <row r="37" ht="14.25" customHeight="1" spans="1:16">
      <c r="A37" s="93" t="s">
        <v>253</v>
      </c>
      <c r="B37" s="100" t="s">
        <v>2624</v>
      </c>
      <c r="C37" s="97">
        <v>22380</v>
      </c>
      <c r="D37" s="97">
        <v>18530</v>
      </c>
      <c r="E37" s="97">
        <v>17930</v>
      </c>
      <c r="F37" s="133">
        <v>6270</v>
      </c>
      <c r="M37" s="97" t="s">
        <v>2829</v>
      </c>
      <c r="N37" s="97" t="s">
        <v>2830</v>
      </c>
      <c r="O37" s="97" t="s">
        <v>2831</v>
      </c>
      <c r="P37" s="97" t="s">
        <v>2832</v>
      </c>
    </row>
    <row r="38" ht="14.25" customHeight="1" spans="1:16">
      <c r="A38" s="93" t="s">
        <v>253</v>
      </c>
      <c r="B38" s="100" t="s">
        <v>2634</v>
      </c>
      <c r="C38" s="97">
        <v>20200</v>
      </c>
      <c r="D38" s="97">
        <v>20070</v>
      </c>
      <c r="E38" s="97">
        <v>19950</v>
      </c>
      <c r="F38" s="133"/>
      <c r="M38" s="97" t="s">
        <v>2833</v>
      </c>
      <c r="N38" s="97" t="s">
        <v>2834</v>
      </c>
      <c r="O38" s="97" t="s">
        <v>2835</v>
      </c>
      <c r="P38" s="97" t="s">
        <v>2836</v>
      </c>
    </row>
    <row r="39" ht="14.25" customHeight="1" spans="1:16">
      <c r="A39" s="93" t="s">
        <v>253</v>
      </c>
      <c r="B39" s="100" t="s">
        <v>2644</v>
      </c>
      <c r="C39" s="97">
        <v>19300</v>
      </c>
      <c r="D39" s="97">
        <v>20360</v>
      </c>
      <c r="E39" s="97">
        <v>20230</v>
      </c>
      <c r="F39" s="133"/>
      <c r="M39" s="97" t="s">
        <v>2837</v>
      </c>
      <c r="N39" s="97" t="s">
        <v>2838</v>
      </c>
      <c r="O39" s="97" t="s">
        <v>2839</v>
      </c>
      <c r="P39" s="97" t="s">
        <v>2840</v>
      </c>
    </row>
    <row r="40" ht="14.25" customHeight="1" spans="1:16">
      <c r="A40" s="93" t="s">
        <v>253</v>
      </c>
      <c r="B40" s="100" t="s">
        <v>2654</v>
      </c>
      <c r="C40" s="97">
        <v>20210</v>
      </c>
      <c r="D40" s="97">
        <v>19060</v>
      </c>
      <c r="E40" s="97">
        <v>18890</v>
      </c>
      <c r="F40" s="133"/>
      <c r="M40" s="97" t="s">
        <v>2841</v>
      </c>
      <c r="N40" s="97" t="s">
        <v>2842</v>
      </c>
      <c r="O40" s="97" t="s">
        <v>2843</v>
      </c>
      <c r="P40" s="97" t="s">
        <v>2844</v>
      </c>
    </row>
    <row r="41" ht="14.25" customHeight="1" spans="1:16">
      <c r="A41" s="93" t="s">
        <v>253</v>
      </c>
      <c r="B41" s="100" t="s">
        <v>2664</v>
      </c>
      <c r="C41" s="97">
        <v>20560</v>
      </c>
      <c r="D41" s="97">
        <v>21040</v>
      </c>
      <c r="E41" s="97">
        <v>20740</v>
      </c>
      <c r="F41" s="133"/>
      <c r="M41" s="100" t="s">
        <v>2845</v>
      </c>
      <c r="N41" s="100" t="s">
        <v>2846</v>
      </c>
      <c r="P41" s="100" t="s">
        <v>2847</v>
      </c>
    </row>
    <row r="42" ht="14.25" customHeight="1" spans="1:16">
      <c r="A42" s="93" t="s">
        <v>253</v>
      </c>
      <c r="B42" s="100" t="s">
        <v>2674</v>
      </c>
      <c r="C42" s="97">
        <v>19280</v>
      </c>
      <c r="D42" s="97">
        <v>22940</v>
      </c>
      <c r="E42" s="97">
        <v>22500</v>
      </c>
      <c r="F42" s="133"/>
      <c r="M42" s="97" t="s">
        <v>2848</v>
      </c>
      <c r="N42" s="97" t="s">
        <v>2849</v>
      </c>
      <c r="P42" s="97" t="s">
        <v>2850</v>
      </c>
    </row>
    <row r="43" ht="14.25" customHeight="1" spans="1:16">
      <c r="A43" s="93" t="s">
        <v>253</v>
      </c>
      <c r="B43" s="100" t="s">
        <v>2684</v>
      </c>
      <c r="C43" s="97">
        <v>21520</v>
      </c>
      <c r="D43" s="97">
        <v>19230</v>
      </c>
      <c r="E43" s="97">
        <v>18540</v>
      </c>
      <c r="F43" s="133"/>
      <c r="M43" s="97" t="s">
        <v>2851</v>
      </c>
      <c r="N43" s="97" t="s">
        <v>2852</v>
      </c>
      <c r="P43" s="97" t="s">
        <v>2853</v>
      </c>
    </row>
    <row r="44" ht="14.25" customHeight="1" spans="1:16">
      <c r="A44" s="93" t="s">
        <v>253</v>
      </c>
      <c r="B44" s="100" t="s">
        <v>2693</v>
      </c>
      <c r="C44" s="97">
        <v>23260</v>
      </c>
      <c r="D44" s="97">
        <v>21180</v>
      </c>
      <c r="E44" s="97">
        <v>20730</v>
      </c>
      <c r="F44" s="133"/>
      <c r="M44" s="97" t="s">
        <v>2854</v>
      </c>
      <c r="N44" s="97" t="s">
        <v>2855</v>
      </c>
      <c r="P44" s="97" t="s">
        <v>2856</v>
      </c>
    </row>
    <row r="45" ht="14.25" customHeight="1" spans="1:16">
      <c r="A45" s="93" t="s">
        <v>253</v>
      </c>
      <c r="B45" s="100" t="s">
        <v>2703</v>
      </c>
      <c r="C45" s="97">
        <v>19610</v>
      </c>
      <c r="D45" s="97">
        <v>18090</v>
      </c>
      <c r="E45" s="97">
        <v>17970</v>
      </c>
      <c r="F45" s="133"/>
      <c r="M45" s="97" t="s">
        <v>2857</v>
      </c>
      <c r="N45" s="97" t="s">
        <v>2858</v>
      </c>
      <c r="P45" s="97" t="s">
        <v>2859</v>
      </c>
    </row>
    <row r="46" ht="14.25" customHeight="1" spans="1:16">
      <c r="A46" s="93" t="s">
        <v>253</v>
      </c>
      <c r="B46" s="100" t="s">
        <v>2713</v>
      </c>
      <c r="C46" s="97">
        <v>21660</v>
      </c>
      <c r="D46" s="97">
        <v>19190</v>
      </c>
      <c r="E46" s="97">
        <v>19790</v>
      </c>
      <c r="F46" s="133"/>
      <c r="M46" s="97" t="s">
        <v>2860</v>
      </c>
      <c r="N46" s="97" t="s">
        <v>2861</v>
      </c>
      <c r="P46" s="97" t="s">
        <v>2862</v>
      </c>
    </row>
    <row r="47" ht="14.25" customHeight="1" spans="1:14">
      <c r="A47" s="93" t="s">
        <v>253</v>
      </c>
      <c r="B47" s="100" t="s">
        <v>2723</v>
      </c>
      <c r="C47" s="97">
        <v>18220</v>
      </c>
      <c r="D47" s="97"/>
      <c r="E47" s="97">
        <v>17220</v>
      </c>
      <c r="F47" s="133"/>
      <c r="M47" s="97" t="s">
        <v>2863</v>
      </c>
      <c r="N47" s="97" t="s">
        <v>2864</v>
      </c>
    </row>
    <row r="48" ht="14.25" customHeight="1" spans="1:14">
      <c r="A48" s="93" t="s">
        <v>253</v>
      </c>
      <c r="B48" s="102" t="s">
        <v>2732</v>
      </c>
      <c r="C48" s="108">
        <v>19430</v>
      </c>
      <c r="D48" s="108"/>
      <c r="E48" s="108">
        <v>17830</v>
      </c>
      <c r="F48" s="135"/>
      <c r="M48" s="97" t="s">
        <v>2865</v>
      </c>
      <c r="N48" s="97" t="s">
        <v>2866</v>
      </c>
    </row>
    <row r="49" ht="14.25" customHeight="1" spans="1:14">
      <c r="A49" s="93" t="s">
        <v>261</v>
      </c>
      <c r="B49" s="94" t="s">
        <v>2531</v>
      </c>
      <c r="C49" s="94">
        <v>17090</v>
      </c>
      <c r="D49" s="94">
        <v>16950</v>
      </c>
      <c r="E49" s="94">
        <v>16310</v>
      </c>
      <c r="F49" s="130">
        <v>4540</v>
      </c>
      <c r="M49" s="97" t="s">
        <v>2867</v>
      </c>
      <c r="N49" s="97" t="s">
        <v>2868</v>
      </c>
    </row>
    <row r="50" ht="14.25" customHeight="1" spans="1:6">
      <c r="A50" s="93" t="s">
        <v>261</v>
      </c>
      <c r="B50" s="97" t="s">
        <v>2544</v>
      </c>
      <c r="C50" s="97">
        <v>19040</v>
      </c>
      <c r="D50" s="97">
        <v>16960</v>
      </c>
      <c r="E50" s="97">
        <v>14800</v>
      </c>
      <c r="F50" s="133">
        <v>3940</v>
      </c>
    </row>
    <row r="51" ht="14.25" customHeight="1" spans="1:6">
      <c r="A51" s="93" t="s">
        <v>261</v>
      </c>
      <c r="B51" s="97" t="s">
        <v>2558</v>
      </c>
      <c r="C51" s="97">
        <v>17040</v>
      </c>
      <c r="D51" s="97">
        <v>16930</v>
      </c>
      <c r="E51" s="97">
        <v>15030</v>
      </c>
      <c r="F51" s="133">
        <v>4120</v>
      </c>
    </row>
    <row r="52" ht="14.25" customHeight="1" spans="1:6">
      <c r="A52" s="93" t="s">
        <v>261</v>
      </c>
      <c r="B52" s="97" t="s">
        <v>2570</v>
      </c>
      <c r="C52" s="97">
        <v>17110</v>
      </c>
      <c r="D52" s="97">
        <v>17750</v>
      </c>
      <c r="E52" s="97">
        <v>17310</v>
      </c>
      <c r="F52" s="133">
        <v>3220</v>
      </c>
    </row>
    <row r="53" ht="14.25" customHeight="1" spans="1:6">
      <c r="A53" s="93" t="s">
        <v>261</v>
      </c>
      <c r="B53" s="97" t="s">
        <v>2582</v>
      </c>
      <c r="C53" s="97">
        <v>17810</v>
      </c>
      <c r="D53" s="97">
        <v>17260</v>
      </c>
      <c r="E53" s="97">
        <v>17090</v>
      </c>
      <c r="F53" s="133">
        <v>3520</v>
      </c>
    </row>
    <row r="54" ht="14.25" customHeight="1" spans="1:6">
      <c r="A54" s="93" t="s">
        <v>261</v>
      </c>
      <c r="B54" s="97" t="s">
        <v>2593</v>
      </c>
      <c r="C54" s="97">
        <v>17410</v>
      </c>
      <c r="D54" s="97">
        <v>16780</v>
      </c>
      <c r="E54" s="97">
        <v>16370</v>
      </c>
      <c r="F54" s="133">
        <v>3410</v>
      </c>
    </row>
    <row r="55" ht="14.25" customHeight="1" spans="1:6">
      <c r="A55" s="93" t="s">
        <v>261</v>
      </c>
      <c r="B55" s="97" t="s">
        <v>2604</v>
      </c>
      <c r="C55" s="97">
        <v>16930</v>
      </c>
      <c r="D55" s="97">
        <v>14720</v>
      </c>
      <c r="E55" s="97">
        <v>15000</v>
      </c>
      <c r="F55" s="133">
        <v>3710</v>
      </c>
    </row>
    <row r="56" ht="14.25" customHeight="1" spans="1:6">
      <c r="A56" s="93" t="s">
        <v>261</v>
      </c>
      <c r="B56" s="97" t="s">
        <v>2615</v>
      </c>
      <c r="C56" s="97">
        <v>14930</v>
      </c>
      <c r="D56" s="97">
        <v>15850</v>
      </c>
      <c r="E56" s="97">
        <v>14320</v>
      </c>
      <c r="F56" s="133">
        <v>3960</v>
      </c>
    </row>
    <row r="57" ht="14.25" customHeight="1" spans="1:6">
      <c r="A57" s="93" t="s">
        <v>261</v>
      </c>
      <c r="B57" s="97" t="s">
        <v>2625</v>
      </c>
      <c r="C57" s="97">
        <v>16160</v>
      </c>
      <c r="D57" s="97">
        <v>16190</v>
      </c>
      <c r="E57" s="97">
        <v>15650</v>
      </c>
      <c r="F57" s="133">
        <v>4200</v>
      </c>
    </row>
    <row r="58" ht="14.25" customHeight="1" spans="1:6">
      <c r="A58" s="93" t="s">
        <v>261</v>
      </c>
      <c r="B58" s="97" t="s">
        <v>2635</v>
      </c>
      <c r="C58" s="97">
        <v>16360</v>
      </c>
      <c r="D58" s="97">
        <v>14050</v>
      </c>
      <c r="E58" s="97">
        <v>16070</v>
      </c>
      <c r="F58" s="133">
        <v>3990</v>
      </c>
    </row>
    <row r="59" ht="14.25" customHeight="1" spans="1:6">
      <c r="A59" s="93" t="s">
        <v>261</v>
      </c>
      <c r="B59" s="97" t="s">
        <v>2645</v>
      </c>
      <c r="C59" s="97">
        <v>14160</v>
      </c>
      <c r="D59" s="97">
        <v>16620</v>
      </c>
      <c r="E59" s="97">
        <v>13940</v>
      </c>
      <c r="F59" s="133">
        <v>4260</v>
      </c>
    </row>
    <row r="60" ht="14.25" customHeight="1" spans="1:6">
      <c r="A60" s="93" t="s">
        <v>261</v>
      </c>
      <c r="B60" s="97" t="s">
        <v>2655</v>
      </c>
      <c r="C60" s="97">
        <v>16750</v>
      </c>
      <c r="D60" s="97">
        <v>13910</v>
      </c>
      <c r="E60" s="97">
        <v>16550</v>
      </c>
      <c r="F60" s="133">
        <v>4550</v>
      </c>
    </row>
    <row r="61" ht="14.25" customHeight="1" spans="1:6">
      <c r="A61" s="93" t="s">
        <v>261</v>
      </c>
      <c r="B61" s="97" t="s">
        <v>2665</v>
      </c>
      <c r="C61" s="97">
        <v>14000</v>
      </c>
      <c r="D61" s="97">
        <v>14550</v>
      </c>
      <c r="E61" s="97">
        <v>13860</v>
      </c>
      <c r="F61" s="136"/>
    </row>
    <row r="62" ht="14.25" customHeight="1" spans="1:6">
      <c r="A62" s="93" t="s">
        <v>261</v>
      </c>
      <c r="B62" s="97" t="s">
        <v>2675</v>
      </c>
      <c r="C62" s="97">
        <v>14660</v>
      </c>
      <c r="D62" s="97">
        <v>17450</v>
      </c>
      <c r="E62" s="97">
        <v>14470</v>
      </c>
      <c r="F62" s="136"/>
    </row>
    <row r="63" ht="14.25" customHeight="1" spans="1:6">
      <c r="A63" s="93" t="s">
        <v>261</v>
      </c>
      <c r="B63" s="97" t="s">
        <v>2685</v>
      </c>
      <c r="C63" s="97">
        <v>17610</v>
      </c>
      <c r="D63" s="97">
        <v>16500</v>
      </c>
      <c r="E63" s="97">
        <v>17330</v>
      </c>
      <c r="F63" s="136"/>
    </row>
    <row r="64" ht="14.25" customHeight="1" spans="1:6">
      <c r="A64" s="93" t="s">
        <v>261</v>
      </c>
      <c r="B64" s="97" t="s">
        <v>2694</v>
      </c>
      <c r="C64" s="97">
        <v>16590</v>
      </c>
      <c r="D64" s="97">
        <v>15130</v>
      </c>
      <c r="E64" s="97">
        <v>16420</v>
      </c>
      <c r="F64" s="136"/>
    </row>
    <row r="65" s="119" customFormat="1" ht="14.25" customHeight="1" spans="1:6">
      <c r="A65" s="93" t="s">
        <v>261</v>
      </c>
      <c r="B65" s="97" t="s">
        <v>2704</v>
      </c>
      <c r="C65" s="97">
        <v>15220</v>
      </c>
      <c r="D65" s="97">
        <v>14660</v>
      </c>
      <c r="E65" s="97">
        <v>15060</v>
      </c>
      <c r="F65" s="133"/>
    </row>
    <row r="66" s="119" customFormat="1" ht="14.25" customHeight="1" spans="1:6">
      <c r="A66" s="93" t="s">
        <v>261</v>
      </c>
      <c r="B66" s="97" t="s">
        <v>2714</v>
      </c>
      <c r="C66" s="97">
        <v>14720</v>
      </c>
      <c r="D66" s="97">
        <v>15970</v>
      </c>
      <c r="E66" s="97">
        <v>14610</v>
      </c>
      <c r="F66" s="133"/>
    </row>
    <row r="67" s="119" customFormat="1" ht="14.25" customHeight="1" spans="1:6">
      <c r="A67" s="93" t="s">
        <v>261</v>
      </c>
      <c r="B67" s="97" t="s">
        <v>2724</v>
      </c>
      <c r="C67" s="97">
        <v>16080</v>
      </c>
      <c r="D67" s="97">
        <v>14840</v>
      </c>
      <c r="E67" s="97">
        <v>15630</v>
      </c>
      <c r="F67" s="133"/>
    </row>
    <row r="68" s="119" customFormat="1" ht="14.25" customHeight="1" spans="1:6">
      <c r="A68" s="93" t="s">
        <v>261</v>
      </c>
      <c r="B68" s="97" t="s">
        <v>2733</v>
      </c>
      <c r="C68" s="97">
        <v>14940</v>
      </c>
      <c r="D68" s="97">
        <v>18000</v>
      </c>
      <c r="E68" s="97">
        <v>14040</v>
      </c>
      <c r="F68" s="133"/>
    </row>
    <row r="69" s="119" customFormat="1" ht="14.25" customHeight="1" spans="1:6">
      <c r="A69" s="93" t="s">
        <v>261</v>
      </c>
      <c r="B69" s="97" t="s">
        <v>2741</v>
      </c>
      <c r="C69" s="97">
        <v>18810</v>
      </c>
      <c r="D69" s="97">
        <v>15100</v>
      </c>
      <c r="E69" s="97">
        <v>14710</v>
      </c>
      <c r="F69" s="133"/>
    </row>
    <row r="70" s="119" customFormat="1" ht="14.25" customHeight="1" spans="1:6">
      <c r="A70" s="93" t="s">
        <v>261</v>
      </c>
      <c r="B70" s="97" t="s">
        <v>2749</v>
      </c>
      <c r="C70" s="97">
        <v>18270</v>
      </c>
      <c r="D70" s="97"/>
      <c r="E70" s="97"/>
      <c r="F70" s="133"/>
    </row>
    <row r="71" s="119" customFormat="1" ht="14.25" customHeight="1" spans="1:6">
      <c r="A71" s="93" t="s">
        <v>261</v>
      </c>
      <c r="B71" s="97" t="s">
        <v>2756</v>
      </c>
      <c r="C71" s="97">
        <v>15230</v>
      </c>
      <c r="D71" s="97"/>
      <c r="E71" s="97"/>
      <c r="F71" s="133"/>
    </row>
    <row r="72" s="119" customFormat="1" ht="14.25" customHeight="1" spans="1:6">
      <c r="A72" s="93" t="s">
        <v>261</v>
      </c>
      <c r="B72" s="97" t="s">
        <v>2763</v>
      </c>
      <c r="C72" s="97"/>
      <c r="D72" s="97"/>
      <c r="E72" s="97"/>
      <c r="F72" s="133">
        <v>4120</v>
      </c>
    </row>
    <row r="73" s="119" customFormat="1" ht="14.25" customHeight="1" spans="1:6">
      <c r="A73" s="93" t="s">
        <v>261</v>
      </c>
      <c r="B73" s="97" t="s">
        <v>2770</v>
      </c>
      <c r="C73" s="97"/>
      <c r="D73" s="97"/>
      <c r="E73" s="97"/>
      <c r="F73" s="133">
        <v>3930</v>
      </c>
    </row>
    <row r="74" s="119" customFormat="1" ht="14.25" customHeight="1" spans="1:6">
      <c r="A74" s="93" t="s">
        <v>261</v>
      </c>
      <c r="B74" s="97" t="s">
        <v>2777</v>
      </c>
      <c r="C74" s="97"/>
      <c r="D74" s="97"/>
      <c r="E74" s="97"/>
      <c r="F74" s="133">
        <v>4060</v>
      </c>
    </row>
    <row r="75" s="119" customFormat="1" ht="14.25" customHeight="1" spans="1:6">
      <c r="A75" s="93" t="s">
        <v>261</v>
      </c>
      <c r="B75" s="108" t="s">
        <v>2784</v>
      </c>
      <c r="C75" s="108"/>
      <c r="D75" s="108"/>
      <c r="E75" s="108"/>
      <c r="F75" s="135">
        <v>3750</v>
      </c>
    </row>
    <row r="76" s="119" customFormat="1" ht="14.25" customHeight="1" spans="1:6">
      <c r="A76" s="93" t="s">
        <v>269</v>
      </c>
      <c r="B76" s="94" t="s">
        <v>2532</v>
      </c>
      <c r="C76" s="94">
        <v>14690</v>
      </c>
      <c r="D76" s="94">
        <v>14640</v>
      </c>
      <c r="E76" s="94">
        <v>14590</v>
      </c>
      <c r="F76" s="130">
        <v>3060</v>
      </c>
    </row>
    <row r="77" s="119" customFormat="1" ht="14.25" customHeight="1" spans="1:6">
      <c r="A77" s="93" t="s">
        <v>269</v>
      </c>
      <c r="B77" s="97" t="s">
        <v>2545</v>
      </c>
      <c r="C77" s="97">
        <v>12550</v>
      </c>
      <c r="D77" s="97">
        <v>12480</v>
      </c>
      <c r="E77" s="97">
        <v>12450</v>
      </c>
      <c r="F77" s="133">
        <v>2590</v>
      </c>
    </row>
    <row r="78" s="119" customFormat="1" ht="14.25" customHeight="1" spans="1:6">
      <c r="A78" s="93" t="s">
        <v>269</v>
      </c>
      <c r="B78" s="97" t="s">
        <v>2559</v>
      </c>
      <c r="C78" s="97">
        <v>14360</v>
      </c>
      <c r="D78" s="97">
        <v>14320</v>
      </c>
      <c r="E78" s="97">
        <v>12510</v>
      </c>
      <c r="F78" s="133">
        <v>2700</v>
      </c>
    </row>
    <row r="79" s="119" customFormat="1" ht="14.25" customHeight="1" spans="1:6">
      <c r="A79" s="93" t="s">
        <v>269</v>
      </c>
      <c r="B79" s="97" t="s">
        <v>2571</v>
      </c>
      <c r="C79" s="97">
        <v>12590</v>
      </c>
      <c r="D79" s="97">
        <v>12540</v>
      </c>
      <c r="E79" s="97">
        <v>12350</v>
      </c>
      <c r="F79" s="133">
        <v>2740</v>
      </c>
    </row>
    <row r="80" s="119" customFormat="1" ht="14.25" customHeight="1" spans="1:6">
      <c r="A80" s="93" t="s">
        <v>269</v>
      </c>
      <c r="B80" s="97" t="s">
        <v>2583</v>
      </c>
      <c r="C80" s="97">
        <v>12450</v>
      </c>
      <c r="D80" s="97">
        <v>12370</v>
      </c>
      <c r="E80" s="97">
        <v>10790</v>
      </c>
      <c r="F80" s="133">
        <v>2290</v>
      </c>
    </row>
    <row r="81" s="119" customFormat="1" ht="14.25" customHeight="1" spans="1:6">
      <c r="A81" s="93" t="s">
        <v>269</v>
      </c>
      <c r="B81" s="97" t="s">
        <v>2594</v>
      </c>
      <c r="C81" s="97">
        <v>14210</v>
      </c>
      <c r="D81" s="97">
        <v>14150</v>
      </c>
      <c r="E81" s="97">
        <v>12730</v>
      </c>
      <c r="F81" s="133">
        <v>2240</v>
      </c>
    </row>
    <row r="82" s="119" customFormat="1" ht="14.25" customHeight="1" spans="1:6">
      <c r="A82" s="93" t="s">
        <v>269</v>
      </c>
      <c r="B82" s="97" t="s">
        <v>2605</v>
      </c>
      <c r="C82" s="97">
        <v>10860</v>
      </c>
      <c r="D82" s="97">
        <v>10820</v>
      </c>
      <c r="E82" s="97">
        <v>14720</v>
      </c>
      <c r="F82" s="133">
        <v>2490</v>
      </c>
    </row>
    <row r="83" s="119" customFormat="1" ht="14.25" customHeight="1" spans="1:6">
      <c r="A83" s="93" t="s">
        <v>269</v>
      </c>
      <c r="B83" s="97" t="s">
        <v>2616</v>
      </c>
      <c r="C83" s="97">
        <v>12810</v>
      </c>
      <c r="D83" s="97">
        <v>12760</v>
      </c>
      <c r="E83" s="97">
        <v>14830</v>
      </c>
      <c r="F83" s="133">
        <v>2450</v>
      </c>
    </row>
    <row r="84" s="119" customFormat="1" ht="14.25" customHeight="1" spans="1:6">
      <c r="A84" s="93" t="s">
        <v>269</v>
      </c>
      <c r="B84" s="97" t="s">
        <v>2626</v>
      </c>
      <c r="C84" s="97">
        <v>14950</v>
      </c>
      <c r="D84" s="97">
        <v>14810</v>
      </c>
      <c r="E84" s="97">
        <v>12590</v>
      </c>
      <c r="F84" s="133">
        <v>2540</v>
      </c>
    </row>
    <row r="85" s="119" customFormat="1" ht="14.25" customHeight="1" spans="1:6">
      <c r="A85" s="93" t="s">
        <v>269</v>
      </c>
      <c r="B85" s="97" t="s">
        <v>2636</v>
      </c>
      <c r="C85" s="97">
        <v>14960</v>
      </c>
      <c r="D85" s="97">
        <v>14890</v>
      </c>
      <c r="E85" s="97">
        <v>12840</v>
      </c>
      <c r="F85" s="133">
        <v>2840</v>
      </c>
    </row>
    <row r="86" s="119" customFormat="1" ht="14.25" customHeight="1" spans="1:6">
      <c r="A86" s="93" t="s">
        <v>269</v>
      </c>
      <c r="B86" s="97" t="s">
        <v>2646</v>
      </c>
      <c r="C86" s="97">
        <v>12730</v>
      </c>
      <c r="D86" s="97">
        <v>12660</v>
      </c>
      <c r="E86" s="97">
        <v>13310</v>
      </c>
      <c r="F86" s="133">
        <v>3140</v>
      </c>
    </row>
    <row r="87" s="119" customFormat="1" ht="14.25" customHeight="1" spans="1:6">
      <c r="A87" s="93" t="s">
        <v>269</v>
      </c>
      <c r="B87" s="97" t="s">
        <v>2656</v>
      </c>
      <c r="C87" s="97">
        <v>12940</v>
      </c>
      <c r="D87" s="97">
        <v>12890</v>
      </c>
      <c r="E87" s="97">
        <v>11580</v>
      </c>
      <c r="F87" s="136"/>
    </row>
    <row r="88" s="119" customFormat="1" ht="14.25" customHeight="1" spans="1:6">
      <c r="A88" s="93" t="s">
        <v>269</v>
      </c>
      <c r="B88" s="97" t="s">
        <v>2666</v>
      </c>
      <c r="C88" s="97">
        <v>13430</v>
      </c>
      <c r="D88" s="97">
        <v>13360</v>
      </c>
      <c r="E88" s="97">
        <v>12790</v>
      </c>
      <c r="F88" s="136"/>
    </row>
    <row r="89" s="119" customFormat="1" ht="14.25" customHeight="1" spans="1:6">
      <c r="A89" s="93" t="s">
        <v>269</v>
      </c>
      <c r="B89" s="97" t="s">
        <v>2676</v>
      </c>
      <c r="C89" s="97">
        <v>11680</v>
      </c>
      <c r="D89" s="97">
        <v>11630</v>
      </c>
      <c r="E89" s="97">
        <v>11320</v>
      </c>
      <c r="F89" s="136"/>
    </row>
    <row r="90" s="119" customFormat="1" ht="14.25" customHeight="1" spans="1:6">
      <c r="A90" s="93" t="s">
        <v>269</v>
      </c>
      <c r="B90" s="97" t="s">
        <v>2686</v>
      </c>
      <c r="C90" s="97">
        <v>12890</v>
      </c>
      <c r="D90" s="97">
        <v>12820</v>
      </c>
      <c r="E90" s="97">
        <v>12710</v>
      </c>
      <c r="F90" s="136"/>
    </row>
    <row r="91" s="119" customFormat="1" ht="14.25" customHeight="1" spans="1:6">
      <c r="A91" s="93" t="s">
        <v>269</v>
      </c>
      <c r="B91" s="97" t="s">
        <v>2695</v>
      </c>
      <c r="C91" s="97">
        <v>11410</v>
      </c>
      <c r="D91" s="97">
        <v>11360</v>
      </c>
      <c r="E91" s="97">
        <v>12670</v>
      </c>
      <c r="F91" s="136"/>
    </row>
    <row r="92" s="119" customFormat="1" ht="14.25" customHeight="1" spans="1:6">
      <c r="A92" s="93" t="s">
        <v>269</v>
      </c>
      <c r="B92" s="97" t="s">
        <v>2705</v>
      </c>
      <c r="C92" s="97">
        <v>12770</v>
      </c>
      <c r="D92" s="97">
        <v>12740</v>
      </c>
      <c r="E92" s="97">
        <v>11970</v>
      </c>
      <c r="F92" s="136"/>
    </row>
    <row r="93" s="119" customFormat="1" ht="14.25" customHeight="1" spans="1:6">
      <c r="A93" s="93" t="s">
        <v>269</v>
      </c>
      <c r="B93" s="97" t="s">
        <v>2715</v>
      </c>
      <c r="C93" s="97">
        <v>12740</v>
      </c>
      <c r="D93" s="97">
        <v>12700</v>
      </c>
      <c r="E93" s="97">
        <v>12540</v>
      </c>
      <c r="F93" s="136"/>
    </row>
    <row r="94" s="119" customFormat="1" ht="14.25" customHeight="1" spans="1:6">
      <c r="A94" s="93" t="s">
        <v>269</v>
      </c>
      <c r="B94" s="97" t="s">
        <v>2725</v>
      </c>
      <c r="C94" s="97">
        <v>12020</v>
      </c>
      <c r="D94" s="97">
        <v>11990</v>
      </c>
      <c r="E94" s="97">
        <v>13110</v>
      </c>
      <c r="F94" s="136"/>
    </row>
    <row r="95" s="119" customFormat="1" ht="14.25" customHeight="1" spans="1:6">
      <c r="A95" s="93" t="s">
        <v>269</v>
      </c>
      <c r="B95" s="97" t="s">
        <v>2734</v>
      </c>
      <c r="C95" s="97">
        <v>12620</v>
      </c>
      <c r="D95" s="97">
        <v>12580</v>
      </c>
      <c r="E95" s="97">
        <v>13160</v>
      </c>
      <c r="F95" s="133"/>
    </row>
    <row r="96" s="119" customFormat="1" ht="14.25" customHeight="1" spans="1:6">
      <c r="A96" s="93" t="s">
        <v>269</v>
      </c>
      <c r="B96" s="97" t="s">
        <v>2742</v>
      </c>
      <c r="C96" s="97">
        <v>13200</v>
      </c>
      <c r="D96" s="97">
        <v>13150</v>
      </c>
      <c r="E96" s="97">
        <v>12900</v>
      </c>
      <c r="F96" s="133"/>
    </row>
    <row r="97" s="119" customFormat="1" ht="14.25" customHeight="1" spans="1:6">
      <c r="A97" s="93" t="s">
        <v>269</v>
      </c>
      <c r="B97" s="97" t="s">
        <v>2750</v>
      </c>
      <c r="C97" s="97">
        <v>13270</v>
      </c>
      <c r="D97" s="97">
        <v>13210</v>
      </c>
      <c r="E97" s="97">
        <v>11080</v>
      </c>
      <c r="F97" s="133"/>
    </row>
    <row r="98" s="119" customFormat="1" ht="14.25" customHeight="1" spans="1:6">
      <c r="A98" s="93" t="s">
        <v>269</v>
      </c>
      <c r="B98" s="97" t="s">
        <v>2757</v>
      </c>
      <c r="C98" s="97">
        <v>13010</v>
      </c>
      <c r="D98" s="97">
        <v>12930</v>
      </c>
      <c r="E98" s="97">
        <v>12840</v>
      </c>
      <c r="F98" s="133"/>
    </row>
    <row r="99" s="119" customFormat="1" ht="14.25" customHeight="1" spans="1:6">
      <c r="A99" s="93" t="s">
        <v>269</v>
      </c>
      <c r="B99" s="97" t="s">
        <v>2764</v>
      </c>
      <c r="C99" s="97">
        <v>11190</v>
      </c>
      <c r="D99" s="97">
        <v>11130</v>
      </c>
      <c r="E99" s="97"/>
      <c r="F99" s="133"/>
    </row>
    <row r="100" s="119" customFormat="1" ht="14.25" customHeight="1" spans="1:6">
      <c r="A100" s="93" t="s">
        <v>269</v>
      </c>
      <c r="B100" s="97" t="s">
        <v>2771</v>
      </c>
      <c r="C100" s="97">
        <v>14280</v>
      </c>
      <c r="D100" s="97">
        <v>14180</v>
      </c>
      <c r="E100" s="97"/>
      <c r="F100" s="133"/>
    </row>
    <row r="101" s="119" customFormat="1" ht="14.25" customHeight="1" spans="1:6">
      <c r="A101" s="93" t="s">
        <v>269</v>
      </c>
      <c r="B101" s="97" t="s">
        <v>2778</v>
      </c>
      <c r="C101" s="97">
        <v>12960</v>
      </c>
      <c r="D101" s="97">
        <v>12890</v>
      </c>
      <c r="E101" s="97"/>
      <c r="F101" s="133"/>
    </row>
    <row r="102" s="119" customFormat="1" ht="14.25" customHeight="1" spans="1:6">
      <c r="A102" s="93" t="s">
        <v>269</v>
      </c>
      <c r="B102" s="97" t="s">
        <v>2785</v>
      </c>
      <c r="C102" s="97"/>
      <c r="D102" s="97"/>
      <c r="E102" s="97"/>
      <c r="F102" s="133">
        <v>3100</v>
      </c>
    </row>
    <row r="103" s="119" customFormat="1" ht="14.25" customHeight="1" spans="1:6">
      <c r="A103" s="93" t="s">
        <v>269</v>
      </c>
      <c r="B103" s="97" t="s">
        <v>2790</v>
      </c>
      <c r="C103" s="97"/>
      <c r="D103" s="97"/>
      <c r="E103" s="97"/>
      <c r="F103" s="133">
        <v>2320</v>
      </c>
    </row>
    <row r="104" s="119" customFormat="1" ht="14.25" customHeight="1" spans="1:6">
      <c r="A104" s="93" t="s">
        <v>269</v>
      </c>
      <c r="B104" s="97" t="s">
        <v>2795</v>
      </c>
      <c r="C104" s="97"/>
      <c r="D104" s="97"/>
      <c r="E104" s="97"/>
      <c r="F104" s="133">
        <v>2320</v>
      </c>
    </row>
    <row r="105" s="119" customFormat="1" ht="14.25" customHeight="1" spans="1:6">
      <c r="A105" s="93" t="s">
        <v>269</v>
      </c>
      <c r="B105" s="97" t="s">
        <v>2800</v>
      </c>
      <c r="C105" s="97"/>
      <c r="D105" s="97"/>
      <c r="E105" s="97"/>
      <c r="F105" s="133">
        <v>2320</v>
      </c>
    </row>
    <row r="106" s="119" customFormat="1" ht="14.25" customHeight="1" spans="1:6">
      <c r="A106" s="93" t="s">
        <v>269</v>
      </c>
      <c r="B106" s="97" t="s">
        <v>2805</v>
      </c>
      <c r="C106" s="97"/>
      <c r="D106" s="97"/>
      <c r="E106" s="97"/>
      <c r="F106" s="133">
        <v>2320</v>
      </c>
    </row>
    <row r="107" s="119" customFormat="1" ht="14.25" customHeight="1" spans="1:6">
      <c r="A107" s="93" t="s">
        <v>269</v>
      </c>
      <c r="B107" s="97" t="s">
        <v>2810</v>
      </c>
      <c r="C107" s="97"/>
      <c r="D107" s="97"/>
      <c r="E107" s="97"/>
      <c r="F107" s="133">
        <v>2280</v>
      </c>
    </row>
    <row r="108" s="119" customFormat="1" ht="14.25" customHeight="1" spans="1:6">
      <c r="A108" s="93" t="s">
        <v>269</v>
      </c>
      <c r="B108" s="97" t="s">
        <v>2815</v>
      </c>
      <c r="C108" s="97"/>
      <c r="D108" s="97"/>
      <c r="E108" s="97"/>
      <c r="F108" s="133">
        <v>2280</v>
      </c>
    </row>
    <row r="109" s="119" customFormat="1" ht="14.25" customHeight="1" spans="1:6">
      <c r="A109" s="93" t="s">
        <v>269</v>
      </c>
      <c r="B109" s="108" t="s">
        <v>2820</v>
      </c>
      <c r="C109" s="108"/>
      <c r="D109" s="108"/>
      <c r="E109" s="108"/>
      <c r="F109" s="135">
        <v>2280</v>
      </c>
    </row>
    <row r="110" s="119" customFormat="1" ht="14.25" customHeight="1" spans="1:6">
      <c r="A110" s="93" t="s">
        <v>275</v>
      </c>
      <c r="B110" s="94" t="s">
        <v>2533</v>
      </c>
      <c r="C110" s="94">
        <v>10520</v>
      </c>
      <c r="D110" s="94">
        <v>10490</v>
      </c>
      <c r="E110" s="94">
        <v>10760</v>
      </c>
      <c r="F110" s="130">
        <v>2160</v>
      </c>
    </row>
    <row r="111" s="119" customFormat="1" ht="14.25" customHeight="1" spans="1:6">
      <c r="A111" s="93" t="s">
        <v>275</v>
      </c>
      <c r="B111" s="97" t="s">
        <v>2546</v>
      </c>
      <c r="C111" s="97">
        <v>10090</v>
      </c>
      <c r="D111" s="97">
        <v>10060</v>
      </c>
      <c r="E111" s="97">
        <v>10300</v>
      </c>
      <c r="F111" s="133">
        <v>2010</v>
      </c>
    </row>
    <row r="112" s="119" customFormat="1" ht="14.25" customHeight="1" spans="1:6">
      <c r="A112" s="93" t="s">
        <v>275</v>
      </c>
      <c r="B112" s="97" t="s">
        <v>2560</v>
      </c>
      <c r="C112" s="97">
        <v>9910</v>
      </c>
      <c r="D112" s="97">
        <v>9850</v>
      </c>
      <c r="E112" s="97">
        <v>9960</v>
      </c>
      <c r="F112" s="133">
        <v>2090</v>
      </c>
    </row>
    <row r="113" s="119" customFormat="1" ht="14.25" customHeight="1" spans="1:6">
      <c r="A113" s="93" t="s">
        <v>275</v>
      </c>
      <c r="B113" s="97" t="s">
        <v>2572</v>
      </c>
      <c r="C113" s="97">
        <v>11430</v>
      </c>
      <c r="D113" s="97">
        <v>11400</v>
      </c>
      <c r="E113" s="97">
        <v>11710</v>
      </c>
      <c r="F113" s="133">
        <v>2050</v>
      </c>
    </row>
    <row r="114" s="119" customFormat="1" ht="14.25" customHeight="1" spans="1:6">
      <c r="A114" s="93" t="s">
        <v>275</v>
      </c>
      <c r="B114" s="97" t="s">
        <v>2584</v>
      </c>
      <c r="C114" s="97">
        <v>11390</v>
      </c>
      <c r="D114" s="97">
        <v>11350</v>
      </c>
      <c r="E114" s="97">
        <v>11640</v>
      </c>
      <c r="F114" s="133">
        <v>1620</v>
      </c>
    </row>
    <row r="115" s="119" customFormat="1" ht="14.25" customHeight="1" spans="1:6">
      <c r="A115" s="93" t="s">
        <v>275</v>
      </c>
      <c r="B115" s="97" t="s">
        <v>2595</v>
      </c>
      <c r="C115" s="97">
        <v>9930</v>
      </c>
      <c r="D115" s="97">
        <v>9900</v>
      </c>
      <c r="E115" s="97">
        <v>10160</v>
      </c>
      <c r="F115" s="133">
        <v>1580</v>
      </c>
    </row>
    <row r="116" s="119" customFormat="1" ht="14.25" customHeight="1" spans="1:6">
      <c r="A116" s="93" t="s">
        <v>275</v>
      </c>
      <c r="B116" s="97" t="s">
        <v>2606</v>
      </c>
      <c r="C116" s="97">
        <v>9150</v>
      </c>
      <c r="D116" s="97">
        <v>9120</v>
      </c>
      <c r="E116" s="97">
        <v>9380</v>
      </c>
      <c r="F116" s="133">
        <v>1750</v>
      </c>
    </row>
    <row r="117" s="119" customFormat="1" ht="14.25" customHeight="1" spans="1:6">
      <c r="A117" s="93" t="s">
        <v>275</v>
      </c>
      <c r="B117" s="97" t="s">
        <v>2617</v>
      </c>
      <c r="C117" s="97">
        <v>10680</v>
      </c>
      <c r="D117" s="97">
        <v>10650</v>
      </c>
      <c r="E117" s="97">
        <v>10970</v>
      </c>
      <c r="F117" s="133">
        <v>1730</v>
      </c>
    </row>
    <row r="118" s="119" customFormat="1" ht="14.25" customHeight="1" spans="1:6">
      <c r="A118" s="93" t="s">
        <v>275</v>
      </c>
      <c r="B118" s="97" t="s">
        <v>2627</v>
      </c>
      <c r="C118" s="97">
        <v>10080</v>
      </c>
      <c r="D118" s="97">
        <v>10050</v>
      </c>
      <c r="E118" s="97">
        <v>10350</v>
      </c>
      <c r="F118" s="133">
        <v>1920</v>
      </c>
    </row>
    <row r="119" s="119" customFormat="1" ht="14.25" customHeight="1" spans="1:6">
      <c r="A119" s="93" t="s">
        <v>275</v>
      </c>
      <c r="B119" s="97" t="s">
        <v>2637</v>
      </c>
      <c r="C119" s="97">
        <v>9450</v>
      </c>
      <c r="D119" s="97">
        <v>9410</v>
      </c>
      <c r="E119" s="97">
        <v>9680</v>
      </c>
      <c r="F119" s="133">
        <v>1880</v>
      </c>
    </row>
    <row r="120" s="119" customFormat="1" ht="14.25" customHeight="1" spans="1:6">
      <c r="A120" s="93" t="s">
        <v>275</v>
      </c>
      <c r="B120" s="97" t="s">
        <v>2647</v>
      </c>
      <c r="C120" s="97">
        <v>8730</v>
      </c>
      <c r="D120" s="97">
        <v>8700</v>
      </c>
      <c r="E120" s="97">
        <v>8950</v>
      </c>
      <c r="F120" s="133">
        <v>1830</v>
      </c>
    </row>
    <row r="121" s="119" customFormat="1" ht="14.25" customHeight="1" spans="1:6">
      <c r="A121" s="93" t="s">
        <v>275</v>
      </c>
      <c r="B121" s="97" t="s">
        <v>2657</v>
      </c>
      <c r="C121" s="97">
        <v>10070</v>
      </c>
      <c r="D121" s="97">
        <v>10040</v>
      </c>
      <c r="E121" s="97">
        <v>10270</v>
      </c>
      <c r="F121" s="133">
        <v>1960</v>
      </c>
    </row>
    <row r="122" s="119" customFormat="1" ht="14.25" customHeight="1" spans="1:6">
      <c r="A122" s="93" t="s">
        <v>275</v>
      </c>
      <c r="B122" s="97" t="s">
        <v>2667</v>
      </c>
      <c r="C122" s="97">
        <v>10500</v>
      </c>
      <c r="D122" s="97">
        <v>10470</v>
      </c>
      <c r="E122" s="97">
        <v>10780</v>
      </c>
      <c r="F122" s="133">
        <v>2180</v>
      </c>
    </row>
    <row r="123" s="119" customFormat="1" ht="14.25" customHeight="1" spans="1:6">
      <c r="A123" s="93" t="s">
        <v>275</v>
      </c>
      <c r="B123" s="97" t="s">
        <v>2677</v>
      </c>
      <c r="C123" s="97">
        <v>10390</v>
      </c>
      <c r="D123" s="97">
        <v>10360</v>
      </c>
      <c r="E123" s="97">
        <v>10660</v>
      </c>
      <c r="F123" s="133">
        <v>2040</v>
      </c>
    </row>
    <row r="124" s="119" customFormat="1" ht="14.25" customHeight="1" spans="1:6">
      <c r="A124" s="93" t="s">
        <v>275</v>
      </c>
      <c r="B124" s="97" t="s">
        <v>2687</v>
      </c>
      <c r="C124" s="97">
        <v>10390</v>
      </c>
      <c r="D124" s="97">
        <v>10360</v>
      </c>
      <c r="E124" s="97">
        <v>10680</v>
      </c>
      <c r="F124" s="136"/>
    </row>
    <row r="125" s="119" customFormat="1" ht="14.25" customHeight="1" spans="1:6">
      <c r="A125" s="93" t="s">
        <v>275</v>
      </c>
      <c r="B125" s="97" t="s">
        <v>2696</v>
      </c>
      <c r="C125" s="97">
        <v>10440</v>
      </c>
      <c r="D125" s="97">
        <v>10410</v>
      </c>
      <c r="E125" s="97">
        <v>10710</v>
      </c>
      <c r="F125" s="136"/>
    </row>
    <row r="126" s="119" customFormat="1" ht="14.25" customHeight="1" spans="1:6">
      <c r="A126" s="93" t="s">
        <v>275</v>
      </c>
      <c r="B126" s="97" t="s">
        <v>2706</v>
      </c>
      <c r="C126" s="97">
        <v>10780</v>
      </c>
      <c r="D126" s="97">
        <v>10750</v>
      </c>
      <c r="E126" s="97">
        <v>11080</v>
      </c>
      <c r="F126" s="136"/>
    </row>
    <row r="127" s="119" customFormat="1" ht="14.25" customHeight="1" spans="1:6">
      <c r="A127" s="93" t="s">
        <v>275</v>
      </c>
      <c r="B127" s="97" t="s">
        <v>2716</v>
      </c>
      <c r="C127" s="97">
        <v>10100</v>
      </c>
      <c r="D127" s="97">
        <v>10070</v>
      </c>
      <c r="E127" s="97">
        <v>10350</v>
      </c>
      <c r="F127" s="136"/>
    </row>
    <row r="128" s="119" customFormat="1" ht="14.25" customHeight="1" spans="1:6">
      <c r="A128" s="93" t="s">
        <v>275</v>
      </c>
      <c r="B128" s="97" t="s">
        <v>2726</v>
      </c>
      <c r="C128" s="97">
        <v>9200</v>
      </c>
      <c r="D128" s="97">
        <v>9160</v>
      </c>
      <c r="E128" s="97">
        <v>9660</v>
      </c>
      <c r="F128" s="136"/>
    </row>
    <row r="129" s="119" customFormat="1" ht="14.25" customHeight="1" spans="1:6">
      <c r="A129" s="93" t="s">
        <v>275</v>
      </c>
      <c r="B129" s="97" t="s">
        <v>2735</v>
      </c>
      <c r="C129" s="97">
        <v>10340</v>
      </c>
      <c r="D129" s="97">
        <v>10310</v>
      </c>
      <c r="E129" s="97">
        <v>10580</v>
      </c>
      <c r="F129" s="136"/>
    </row>
    <row r="130" s="119" customFormat="1" ht="14.25" customHeight="1" spans="1:6">
      <c r="A130" s="93" t="s">
        <v>275</v>
      </c>
      <c r="B130" s="97" t="s">
        <v>2743</v>
      </c>
      <c r="C130" s="97">
        <v>9680</v>
      </c>
      <c r="D130" s="97">
        <v>9660</v>
      </c>
      <c r="E130" s="97">
        <v>9950</v>
      </c>
      <c r="F130" s="136"/>
    </row>
    <row r="131" s="119" customFormat="1" ht="14.25" customHeight="1" spans="1:6">
      <c r="A131" s="93" t="s">
        <v>275</v>
      </c>
      <c r="B131" s="97" t="s">
        <v>2751</v>
      </c>
      <c r="C131" s="97">
        <v>9540</v>
      </c>
      <c r="D131" s="97">
        <v>9510</v>
      </c>
      <c r="E131" s="97">
        <v>9790</v>
      </c>
      <c r="F131" s="136"/>
    </row>
    <row r="132" s="119" customFormat="1" ht="14.25" customHeight="1" spans="1:6">
      <c r="A132" s="93" t="s">
        <v>275</v>
      </c>
      <c r="B132" s="97" t="s">
        <v>2758</v>
      </c>
      <c r="C132" s="97">
        <v>9320</v>
      </c>
      <c r="D132" s="97">
        <v>9290</v>
      </c>
      <c r="E132" s="97">
        <v>9570</v>
      </c>
      <c r="F132" s="136"/>
    </row>
    <row r="133" s="119" customFormat="1" ht="14.25" customHeight="1" spans="1:6">
      <c r="A133" s="93" t="s">
        <v>275</v>
      </c>
      <c r="B133" s="97" t="s">
        <v>2765</v>
      </c>
      <c r="C133" s="97">
        <v>10310</v>
      </c>
      <c r="D133" s="97">
        <v>10280</v>
      </c>
      <c r="E133" s="97">
        <v>10530</v>
      </c>
      <c r="F133" s="136"/>
    </row>
    <row r="134" s="119" customFormat="1" ht="14.25" customHeight="1" spans="1:6">
      <c r="A134" s="93" t="s">
        <v>275</v>
      </c>
      <c r="B134" s="97" t="s">
        <v>2772</v>
      </c>
      <c r="C134" s="97">
        <v>10370</v>
      </c>
      <c r="D134" s="97">
        <v>10310</v>
      </c>
      <c r="E134" s="97">
        <v>10240</v>
      </c>
      <c r="F134" s="133">
        <v>2060</v>
      </c>
    </row>
    <row r="135" s="119" customFormat="1" ht="14.25" customHeight="1" spans="1:6">
      <c r="A135" s="93" t="s">
        <v>275</v>
      </c>
      <c r="B135" s="97" t="s">
        <v>2779</v>
      </c>
      <c r="C135" s="97">
        <v>9300</v>
      </c>
      <c r="D135" s="97">
        <v>9270</v>
      </c>
      <c r="E135" s="97">
        <v>9350</v>
      </c>
      <c r="F135" s="136"/>
    </row>
    <row r="136" s="119" customFormat="1" ht="14.25" customHeight="1" spans="1:6">
      <c r="A136" s="93" t="s">
        <v>275</v>
      </c>
      <c r="B136" s="97" t="s">
        <v>2786</v>
      </c>
      <c r="C136" s="97">
        <v>10160</v>
      </c>
      <c r="D136" s="97">
        <v>10110</v>
      </c>
      <c r="E136" s="97">
        <v>10080</v>
      </c>
      <c r="F136" s="136"/>
    </row>
    <row r="137" s="119" customFormat="1" ht="14.25" customHeight="1" spans="1:6">
      <c r="A137" s="93" t="s">
        <v>275</v>
      </c>
      <c r="B137" s="97" t="s">
        <v>2791</v>
      </c>
      <c r="C137" s="97">
        <v>9200</v>
      </c>
      <c r="D137" s="97">
        <v>9170</v>
      </c>
      <c r="E137" s="97">
        <v>9450</v>
      </c>
      <c r="F137" s="136"/>
    </row>
    <row r="138" s="119" customFormat="1" ht="14.25" customHeight="1" spans="1:6">
      <c r="A138" s="93" t="s">
        <v>275</v>
      </c>
      <c r="B138" s="97" t="s">
        <v>2796</v>
      </c>
      <c r="C138" s="97">
        <v>9690</v>
      </c>
      <c r="D138" s="97">
        <v>9660</v>
      </c>
      <c r="E138" s="97">
        <v>9840</v>
      </c>
      <c r="F138" s="136"/>
    </row>
    <row r="139" s="119" customFormat="1" ht="14.25" customHeight="1" spans="1:6">
      <c r="A139" s="93" t="s">
        <v>275</v>
      </c>
      <c r="B139" s="97" t="s">
        <v>2801</v>
      </c>
      <c r="C139" s="97">
        <v>10290</v>
      </c>
      <c r="D139" s="97">
        <v>10260</v>
      </c>
      <c r="E139" s="97">
        <v>10550</v>
      </c>
      <c r="F139" s="133">
        <v>1700</v>
      </c>
    </row>
    <row r="140" s="119" customFormat="1" ht="14.25" customHeight="1" spans="1:6">
      <c r="A140" s="93" t="s">
        <v>275</v>
      </c>
      <c r="B140" s="97" t="s">
        <v>2806</v>
      </c>
      <c r="C140" s="97">
        <v>9740</v>
      </c>
      <c r="D140" s="97">
        <v>9710</v>
      </c>
      <c r="E140" s="97">
        <v>10000</v>
      </c>
      <c r="F140" s="133">
        <v>2000</v>
      </c>
    </row>
    <row r="141" s="119" customFormat="1" ht="14.25" customHeight="1" spans="1:6">
      <c r="A141" s="93" t="s">
        <v>275</v>
      </c>
      <c r="B141" s="97" t="s">
        <v>2811</v>
      </c>
      <c r="C141" s="97">
        <v>9810</v>
      </c>
      <c r="D141" s="97">
        <v>9770</v>
      </c>
      <c r="E141" s="97">
        <v>10060</v>
      </c>
      <c r="F141" s="136"/>
    </row>
    <row r="142" s="119" customFormat="1" ht="14.25" customHeight="1" spans="1:6">
      <c r="A142" s="93" t="s">
        <v>275</v>
      </c>
      <c r="B142" s="97" t="s">
        <v>2816</v>
      </c>
      <c r="C142" s="97">
        <v>9300</v>
      </c>
      <c r="D142" s="97">
        <v>9270</v>
      </c>
      <c r="E142" s="97">
        <v>9530</v>
      </c>
      <c r="F142" s="136"/>
    </row>
    <row r="143" s="119" customFormat="1" ht="14.25" customHeight="1" spans="1:6">
      <c r="A143" s="93" t="s">
        <v>275</v>
      </c>
      <c r="B143" s="97" t="s">
        <v>2821</v>
      </c>
      <c r="C143" s="97">
        <v>10080</v>
      </c>
      <c r="D143" s="97">
        <v>10050</v>
      </c>
      <c r="E143" s="97">
        <v>10340</v>
      </c>
      <c r="F143" s="136"/>
    </row>
    <row r="144" s="119" customFormat="1" ht="14.25" customHeight="1" spans="1:6">
      <c r="A144" s="93" t="s">
        <v>275</v>
      </c>
      <c r="B144" s="97" t="s">
        <v>2825</v>
      </c>
      <c r="C144" s="97">
        <v>9820</v>
      </c>
      <c r="D144" s="97">
        <v>9750</v>
      </c>
      <c r="E144" s="97">
        <v>9900</v>
      </c>
      <c r="F144" s="136"/>
    </row>
    <row r="145" s="119" customFormat="1" ht="14.25" customHeight="1" spans="1:6">
      <c r="A145" s="93" t="s">
        <v>275</v>
      </c>
      <c r="B145" s="97" t="s">
        <v>2829</v>
      </c>
      <c r="C145" s="97"/>
      <c r="D145" s="97"/>
      <c r="E145" s="97"/>
      <c r="F145" s="133">
        <v>1740</v>
      </c>
    </row>
    <row r="146" s="119" customFormat="1" ht="14.25" customHeight="1" spans="1:6">
      <c r="A146" s="93" t="s">
        <v>275</v>
      </c>
      <c r="B146" s="97" t="s">
        <v>2833</v>
      </c>
      <c r="C146" s="97"/>
      <c r="D146" s="97"/>
      <c r="E146" s="97"/>
      <c r="F146" s="133">
        <v>1740</v>
      </c>
    </row>
    <row r="147" s="119" customFormat="1" ht="14.25" customHeight="1" spans="1:6">
      <c r="A147" s="93" t="s">
        <v>275</v>
      </c>
      <c r="B147" s="97" t="s">
        <v>2837</v>
      </c>
      <c r="C147" s="97"/>
      <c r="D147" s="97"/>
      <c r="E147" s="97"/>
      <c r="F147" s="133">
        <v>1740</v>
      </c>
    </row>
    <row r="148" s="119" customFormat="1" ht="14.25" customHeight="1" spans="1:6">
      <c r="A148" s="93" t="s">
        <v>275</v>
      </c>
      <c r="B148" s="97" t="s">
        <v>2841</v>
      </c>
      <c r="C148" s="97"/>
      <c r="D148" s="97"/>
      <c r="E148" s="97"/>
      <c r="F148" s="133">
        <v>1740</v>
      </c>
    </row>
    <row r="149" s="119" customFormat="1" ht="14.25" customHeight="1" spans="1:6">
      <c r="A149" s="93" t="s">
        <v>275</v>
      </c>
      <c r="B149" s="97" t="s">
        <v>2845</v>
      </c>
      <c r="C149" s="97"/>
      <c r="D149" s="97"/>
      <c r="E149" s="97"/>
      <c r="F149" s="133">
        <v>1740</v>
      </c>
    </row>
    <row r="150" s="119" customFormat="1" ht="14.25" customHeight="1" spans="1:6">
      <c r="A150" s="93" t="s">
        <v>275</v>
      </c>
      <c r="B150" s="97" t="s">
        <v>2848</v>
      </c>
      <c r="C150" s="97"/>
      <c r="D150" s="97"/>
      <c r="E150" s="97"/>
      <c r="F150" s="133">
        <v>1610</v>
      </c>
    </row>
    <row r="151" s="119" customFormat="1" ht="14.25" customHeight="1" spans="1:6">
      <c r="A151" s="93" t="s">
        <v>275</v>
      </c>
      <c r="B151" s="97" t="s">
        <v>2851</v>
      </c>
      <c r="C151" s="97"/>
      <c r="D151" s="97"/>
      <c r="E151" s="97"/>
      <c r="F151" s="133">
        <v>1610</v>
      </c>
    </row>
    <row r="152" s="119" customFormat="1" ht="14.25" customHeight="1" spans="1:6">
      <c r="A152" s="93" t="s">
        <v>275</v>
      </c>
      <c r="B152" s="97" t="s">
        <v>2854</v>
      </c>
      <c r="C152" s="97"/>
      <c r="D152" s="97"/>
      <c r="E152" s="97"/>
      <c r="F152" s="133">
        <v>1610</v>
      </c>
    </row>
    <row r="153" s="119" customFormat="1" ht="14.25" customHeight="1" spans="1:6">
      <c r="A153" s="93" t="s">
        <v>275</v>
      </c>
      <c r="B153" s="97" t="s">
        <v>2857</v>
      </c>
      <c r="C153" s="97"/>
      <c r="D153" s="97"/>
      <c r="E153" s="97"/>
      <c r="F153" s="133">
        <v>1610</v>
      </c>
    </row>
    <row r="154" s="119" customFormat="1" ht="14.25" customHeight="1" spans="1:6">
      <c r="A154" s="93" t="s">
        <v>275</v>
      </c>
      <c r="B154" s="97" t="s">
        <v>2860</v>
      </c>
      <c r="C154" s="97"/>
      <c r="D154" s="97"/>
      <c r="E154" s="97"/>
      <c r="F154" s="133">
        <v>1610</v>
      </c>
    </row>
    <row r="155" s="119" customFormat="1" ht="14.25" customHeight="1" spans="1:6">
      <c r="A155" s="93" t="s">
        <v>275</v>
      </c>
      <c r="B155" s="97" t="s">
        <v>2863</v>
      </c>
      <c r="C155" s="97"/>
      <c r="D155" s="97"/>
      <c r="E155" s="97"/>
      <c r="F155" s="133">
        <v>1800</v>
      </c>
    </row>
    <row r="156" s="119" customFormat="1" ht="14.25" customHeight="1" spans="1:6">
      <c r="A156" s="93" t="s">
        <v>275</v>
      </c>
      <c r="B156" s="97" t="s">
        <v>2865</v>
      </c>
      <c r="C156" s="97"/>
      <c r="D156" s="97"/>
      <c r="E156" s="97"/>
      <c r="F156" s="133">
        <v>1910</v>
      </c>
    </row>
    <row r="157" s="119" customFormat="1" ht="14.25" customHeight="1" spans="1:6">
      <c r="A157" s="93" t="s">
        <v>275</v>
      </c>
      <c r="B157" s="108" t="s">
        <v>2867</v>
      </c>
      <c r="C157" s="108"/>
      <c r="D157" s="108"/>
      <c r="E157" s="108"/>
      <c r="F157" s="135">
        <v>1500</v>
      </c>
    </row>
    <row r="158" s="119" customFormat="1" ht="14.25" customHeight="1" spans="1:6">
      <c r="A158" s="93" t="s">
        <v>280</v>
      </c>
      <c r="B158" s="94" t="s">
        <v>2534</v>
      </c>
      <c r="C158" s="94">
        <v>8170</v>
      </c>
      <c r="D158" s="94">
        <v>8140</v>
      </c>
      <c r="E158" s="94">
        <v>8590</v>
      </c>
      <c r="F158" s="130">
        <v>1450</v>
      </c>
    </row>
    <row r="159" s="119" customFormat="1" ht="14.25" customHeight="1" spans="1:6">
      <c r="A159" s="93" t="s">
        <v>280</v>
      </c>
      <c r="B159" s="97" t="s">
        <v>2547</v>
      </c>
      <c r="C159" s="97">
        <v>7410</v>
      </c>
      <c r="D159" s="97">
        <v>7370</v>
      </c>
      <c r="E159" s="97">
        <v>8030</v>
      </c>
      <c r="F159" s="133">
        <v>1510</v>
      </c>
    </row>
    <row r="160" s="119" customFormat="1" ht="14.25" customHeight="1" spans="1:6">
      <c r="A160" s="93" t="s">
        <v>280</v>
      </c>
      <c r="B160" s="97" t="s">
        <v>2561</v>
      </c>
      <c r="C160" s="97">
        <v>7240</v>
      </c>
      <c r="D160" s="97">
        <v>7210</v>
      </c>
      <c r="E160" s="97">
        <v>7860</v>
      </c>
      <c r="F160" s="133">
        <v>1370</v>
      </c>
    </row>
    <row r="161" s="119" customFormat="1" ht="14.25" customHeight="1" spans="1:6">
      <c r="A161" s="93" t="s">
        <v>280</v>
      </c>
      <c r="B161" s="97" t="s">
        <v>2573</v>
      </c>
      <c r="C161" s="97">
        <v>7720</v>
      </c>
      <c r="D161" s="97">
        <v>7690</v>
      </c>
      <c r="E161" s="97">
        <v>8200</v>
      </c>
      <c r="F161" s="133">
        <v>1190</v>
      </c>
    </row>
    <row r="162" s="119" customFormat="1" ht="14.25" customHeight="1" spans="1:6">
      <c r="A162" s="93" t="s">
        <v>280</v>
      </c>
      <c r="B162" s="97" t="s">
        <v>2585</v>
      </c>
      <c r="C162" s="97">
        <v>6900</v>
      </c>
      <c r="D162" s="97">
        <v>6870</v>
      </c>
      <c r="E162" s="97">
        <v>7500</v>
      </c>
      <c r="F162" s="133">
        <v>1390</v>
      </c>
    </row>
    <row r="163" s="119" customFormat="1" ht="14.25" customHeight="1" spans="1:6">
      <c r="A163" s="93" t="s">
        <v>280</v>
      </c>
      <c r="B163" s="97" t="s">
        <v>2596</v>
      </c>
      <c r="C163" s="97">
        <v>7120</v>
      </c>
      <c r="D163" s="97">
        <v>7090</v>
      </c>
      <c r="E163" s="97">
        <v>7690</v>
      </c>
      <c r="F163" s="133">
        <v>1230</v>
      </c>
    </row>
    <row r="164" s="119" customFormat="1" ht="14.25" customHeight="1" spans="1:6">
      <c r="A164" s="93" t="s">
        <v>280</v>
      </c>
      <c r="B164" s="97" t="s">
        <v>2607</v>
      </c>
      <c r="C164" s="97">
        <v>6560</v>
      </c>
      <c r="D164" s="97">
        <v>6530</v>
      </c>
      <c r="E164" s="97">
        <v>7110</v>
      </c>
      <c r="F164" s="133">
        <v>1340</v>
      </c>
    </row>
    <row r="165" s="119" customFormat="1" ht="14.25" customHeight="1" spans="1:6">
      <c r="A165" s="93" t="s">
        <v>280</v>
      </c>
      <c r="B165" s="97" t="s">
        <v>2618</v>
      </c>
      <c r="C165" s="97">
        <v>7450</v>
      </c>
      <c r="D165" s="97">
        <v>7430</v>
      </c>
      <c r="E165" s="97">
        <v>8110</v>
      </c>
      <c r="F165" s="133">
        <v>1290</v>
      </c>
    </row>
    <row r="166" s="119" customFormat="1" ht="14.25" customHeight="1" spans="1:6">
      <c r="A166" s="93" t="s">
        <v>280</v>
      </c>
      <c r="B166" s="97" t="s">
        <v>2628</v>
      </c>
      <c r="C166" s="97">
        <v>7490</v>
      </c>
      <c r="D166" s="97">
        <v>7460</v>
      </c>
      <c r="E166" s="97">
        <v>8150</v>
      </c>
      <c r="F166" s="133">
        <v>1350</v>
      </c>
    </row>
    <row r="167" s="119" customFormat="1" ht="14.25" customHeight="1" spans="1:6">
      <c r="A167" s="93" t="s">
        <v>280</v>
      </c>
      <c r="B167" s="97" t="s">
        <v>2638</v>
      </c>
      <c r="C167" s="97">
        <v>7540</v>
      </c>
      <c r="D167" s="97">
        <v>7510</v>
      </c>
      <c r="E167" s="97">
        <v>8030</v>
      </c>
      <c r="F167" s="136"/>
    </row>
    <row r="168" s="119" customFormat="1" ht="14.25" customHeight="1" spans="1:6">
      <c r="A168" s="93" t="s">
        <v>280</v>
      </c>
      <c r="B168" s="97" t="s">
        <v>2648</v>
      </c>
      <c r="C168" s="97">
        <v>7210</v>
      </c>
      <c r="D168" s="97">
        <v>7180</v>
      </c>
      <c r="E168" s="97">
        <v>7830</v>
      </c>
      <c r="F168" s="136"/>
    </row>
    <row r="169" s="119" customFormat="1" ht="14.25" customHeight="1" spans="1:6">
      <c r="A169" s="93" t="s">
        <v>280</v>
      </c>
      <c r="B169" s="97" t="s">
        <v>2658</v>
      </c>
      <c r="C169" s="97">
        <v>7040</v>
      </c>
      <c r="D169" s="97">
        <v>7020</v>
      </c>
      <c r="E169" s="97">
        <v>7670</v>
      </c>
      <c r="F169" s="136"/>
    </row>
    <row r="170" s="119" customFormat="1" ht="14.25" customHeight="1" spans="1:6">
      <c r="A170" s="93" t="s">
        <v>280</v>
      </c>
      <c r="B170" s="97" t="s">
        <v>2668</v>
      </c>
      <c r="C170" s="97">
        <v>8040</v>
      </c>
      <c r="D170" s="97">
        <v>7190</v>
      </c>
      <c r="E170" s="97">
        <v>7850</v>
      </c>
      <c r="F170" s="136"/>
    </row>
    <row r="171" s="119" customFormat="1" ht="14.25" customHeight="1" spans="1:6">
      <c r="A171" s="93" t="s">
        <v>280</v>
      </c>
      <c r="B171" s="97" t="s">
        <v>2678</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2697</v>
      </c>
      <c r="C173" s="97">
        <v>6860</v>
      </c>
      <c r="D173" s="97">
        <v>6810</v>
      </c>
      <c r="E173" s="97">
        <v>7440</v>
      </c>
      <c r="F173" s="136"/>
    </row>
    <row r="174" s="119" customFormat="1" ht="14.25" customHeight="1" spans="1:6">
      <c r="A174" s="93" t="s">
        <v>280</v>
      </c>
      <c r="B174" s="97" t="s">
        <v>2707</v>
      </c>
      <c r="C174" s="97">
        <v>7120</v>
      </c>
      <c r="D174" s="97">
        <v>7090</v>
      </c>
      <c r="E174" s="97">
        <v>7500</v>
      </c>
      <c r="F174" s="133">
        <v>1490</v>
      </c>
    </row>
    <row r="175" s="119" customFormat="1" ht="14.25" customHeight="1" spans="1:6">
      <c r="A175" s="93" t="s">
        <v>280</v>
      </c>
      <c r="B175" s="97" t="s">
        <v>2717</v>
      </c>
      <c r="C175" s="97">
        <v>7850</v>
      </c>
      <c r="D175" s="97">
        <v>7820</v>
      </c>
      <c r="E175" s="97">
        <v>8120</v>
      </c>
      <c r="F175" s="133">
        <v>1530</v>
      </c>
    </row>
    <row r="176" s="119" customFormat="1" ht="14.25" customHeight="1" spans="1:6">
      <c r="A176" s="93" t="s">
        <v>280</v>
      </c>
      <c r="B176" s="97" t="s">
        <v>2727</v>
      </c>
      <c r="C176" s="97">
        <v>7620</v>
      </c>
      <c r="D176" s="97">
        <v>7570</v>
      </c>
      <c r="E176" s="97">
        <v>7990</v>
      </c>
      <c r="F176" s="133">
        <v>1480</v>
      </c>
    </row>
    <row r="177" s="119" customFormat="1" ht="14.25" customHeight="1" spans="1:6">
      <c r="A177" s="93" t="s">
        <v>280</v>
      </c>
      <c r="B177" s="97" t="s">
        <v>2736</v>
      </c>
      <c r="C177" s="97">
        <v>8590</v>
      </c>
      <c r="D177" s="97">
        <v>8570</v>
      </c>
      <c r="E177" s="97">
        <v>8740</v>
      </c>
      <c r="F177" s="133">
        <v>1540</v>
      </c>
    </row>
    <row r="178" s="119" customFormat="1" ht="14.25" customHeight="1" spans="1:6">
      <c r="A178" s="93" t="s">
        <v>280</v>
      </c>
      <c r="B178" s="97" t="s">
        <v>2744</v>
      </c>
      <c r="C178" s="97">
        <v>7510</v>
      </c>
      <c r="D178" s="97">
        <v>7470</v>
      </c>
      <c r="E178" s="97">
        <v>8090</v>
      </c>
      <c r="F178" s="133">
        <v>1320</v>
      </c>
    </row>
    <row r="179" s="119" customFormat="1" ht="14.25" customHeight="1" spans="1:6">
      <c r="A179" s="93" t="s">
        <v>280</v>
      </c>
      <c r="B179" s="97" t="s">
        <v>2752</v>
      </c>
      <c r="C179" s="97">
        <v>6380</v>
      </c>
      <c r="D179" s="97">
        <v>6340</v>
      </c>
      <c r="E179" s="97">
        <v>6810</v>
      </c>
      <c r="F179" s="136"/>
    </row>
    <row r="180" s="119" customFormat="1" ht="14.25" customHeight="1" spans="1:6">
      <c r="A180" s="93" t="s">
        <v>280</v>
      </c>
      <c r="B180" s="97" t="s">
        <v>2759</v>
      </c>
      <c r="C180" s="97">
        <v>7830</v>
      </c>
      <c r="D180" s="97">
        <v>7800</v>
      </c>
      <c r="E180" s="97">
        <v>7780</v>
      </c>
      <c r="F180" s="133">
        <v>1440</v>
      </c>
    </row>
    <row r="181" s="119" customFormat="1" ht="14.25" customHeight="1" spans="1:6">
      <c r="A181" s="93" t="s">
        <v>280</v>
      </c>
      <c r="B181" s="97" t="s">
        <v>2766</v>
      </c>
      <c r="C181" s="97">
        <v>7110</v>
      </c>
      <c r="D181" s="97">
        <v>7080</v>
      </c>
      <c r="E181" s="97">
        <v>7730</v>
      </c>
      <c r="F181" s="133">
        <v>1350</v>
      </c>
    </row>
    <row r="182" s="119" customFormat="1" ht="14.25" customHeight="1" spans="1:6">
      <c r="A182" s="93" t="s">
        <v>280</v>
      </c>
      <c r="B182" s="97" t="s">
        <v>2773</v>
      </c>
      <c r="C182" s="97">
        <v>7310</v>
      </c>
      <c r="D182" s="97">
        <v>7280</v>
      </c>
      <c r="E182" s="97">
        <v>7950</v>
      </c>
      <c r="F182" s="133">
        <v>1220</v>
      </c>
    </row>
    <row r="183" s="119" customFormat="1" ht="14.25" customHeight="1" spans="1:6">
      <c r="A183" s="93" t="s">
        <v>280</v>
      </c>
      <c r="B183" s="97" t="s">
        <v>2780</v>
      </c>
      <c r="C183" s="97">
        <v>7470</v>
      </c>
      <c r="D183" s="97">
        <v>7440</v>
      </c>
      <c r="E183" s="97">
        <v>7880</v>
      </c>
      <c r="F183" s="136"/>
    </row>
    <row r="184" s="119" customFormat="1" ht="14.25" customHeight="1" spans="1:6">
      <c r="A184" s="93" t="s">
        <v>280</v>
      </c>
      <c r="B184" s="97" t="s">
        <v>2787</v>
      </c>
      <c r="C184" s="97">
        <v>6960</v>
      </c>
      <c r="D184" s="97">
        <v>6930</v>
      </c>
      <c r="E184" s="97">
        <v>7570</v>
      </c>
      <c r="F184" s="136"/>
    </row>
    <row r="185" s="119" customFormat="1" ht="14.25" customHeight="1" spans="1:6">
      <c r="A185" s="93" t="s">
        <v>280</v>
      </c>
      <c r="B185" s="97" t="s">
        <v>2792</v>
      </c>
      <c r="C185" s="97">
        <v>7260</v>
      </c>
      <c r="D185" s="97">
        <v>7230</v>
      </c>
      <c r="E185" s="97">
        <v>7710</v>
      </c>
      <c r="F185" s="133">
        <v>1360</v>
      </c>
    </row>
    <row r="186" s="119" customFormat="1" ht="14.25" customHeight="1" spans="1:6">
      <c r="A186" s="93" t="s">
        <v>280</v>
      </c>
      <c r="B186" s="97" t="s">
        <v>2797</v>
      </c>
      <c r="C186" s="97"/>
      <c r="D186" s="97"/>
      <c r="E186" s="97"/>
      <c r="F186" s="133">
        <v>1560</v>
      </c>
    </row>
    <row r="187" s="119" customFormat="1" ht="14.25" customHeight="1" spans="1:6">
      <c r="A187" s="93" t="s">
        <v>280</v>
      </c>
      <c r="B187" s="97" t="s">
        <v>2802</v>
      </c>
      <c r="C187" s="97"/>
      <c r="D187" s="97"/>
      <c r="E187" s="97"/>
      <c r="F187" s="133">
        <v>1560</v>
      </c>
    </row>
    <row r="188" s="119" customFormat="1" ht="14.25" customHeight="1" spans="1:6">
      <c r="A188" s="93" t="s">
        <v>280</v>
      </c>
      <c r="B188" s="97" t="s">
        <v>2807</v>
      </c>
      <c r="C188" s="97"/>
      <c r="D188" s="97"/>
      <c r="E188" s="97"/>
      <c r="F188" s="133">
        <v>1560</v>
      </c>
    </row>
    <row r="189" s="119" customFormat="1" ht="14.25" customHeight="1" spans="1:6">
      <c r="A189" s="93" t="s">
        <v>280</v>
      </c>
      <c r="B189" s="97" t="s">
        <v>2812</v>
      </c>
      <c r="C189" s="97"/>
      <c r="D189" s="97"/>
      <c r="E189" s="97"/>
      <c r="F189" s="133">
        <v>1320</v>
      </c>
    </row>
    <row r="190" s="119" customFormat="1" ht="14.25" customHeight="1" spans="1:6">
      <c r="A190" s="93" t="s">
        <v>280</v>
      </c>
      <c r="B190" s="97" t="s">
        <v>2817</v>
      </c>
      <c r="C190" s="97"/>
      <c r="D190" s="97"/>
      <c r="E190" s="97"/>
      <c r="F190" s="133">
        <v>1320</v>
      </c>
    </row>
    <row r="191" s="119" customFormat="1" ht="14.25" customHeight="1" spans="1:6">
      <c r="A191" s="93" t="s">
        <v>280</v>
      </c>
      <c r="B191" s="97" t="s">
        <v>2822</v>
      </c>
      <c r="C191" s="97"/>
      <c r="D191" s="97"/>
      <c r="E191" s="97"/>
      <c r="F191" s="133">
        <v>1320</v>
      </c>
    </row>
    <row r="192" s="119" customFormat="1" ht="14.25" customHeight="1" spans="1:6">
      <c r="A192" s="93" t="s">
        <v>280</v>
      </c>
      <c r="B192" s="97" t="s">
        <v>2826</v>
      </c>
      <c r="C192" s="97"/>
      <c r="D192" s="97"/>
      <c r="E192" s="97"/>
      <c r="F192" s="133">
        <v>1100</v>
      </c>
    </row>
    <row r="193" s="119" customFormat="1" ht="14.25" customHeight="1" spans="1:6">
      <c r="A193" s="93" t="s">
        <v>280</v>
      </c>
      <c r="B193" s="97" t="s">
        <v>2830</v>
      </c>
      <c r="C193" s="97"/>
      <c r="D193" s="97"/>
      <c r="E193" s="97"/>
      <c r="F193" s="133">
        <v>1100</v>
      </c>
    </row>
    <row r="194" s="119" customFormat="1" ht="14.25" customHeight="1" spans="1:6">
      <c r="A194" s="93" t="s">
        <v>280</v>
      </c>
      <c r="B194" s="97" t="s">
        <v>2834</v>
      </c>
      <c r="C194" s="97"/>
      <c r="D194" s="97"/>
      <c r="E194" s="97"/>
      <c r="F194" s="133">
        <v>1080</v>
      </c>
    </row>
    <row r="195" s="119" customFormat="1" ht="14.25" customHeight="1" spans="1:6">
      <c r="A195" s="93" t="s">
        <v>280</v>
      </c>
      <c r="B195" s="97" t="s">
        <v>2838</v>
      </c>
      <c r="C195" s="97"/>
      <c r="D195" s="97"/>
      <c r="E195" s="97"/>
      <c r="F195" s="133">
        <v>1270</v>
      </c>
    </row>
    <row r="196" s="119" customFormat="1" ht="14.25" customHeight="1" spans="1:6">
      <c r="A196" s="93" t="s">
        <v>280</v>
      </c>
      <c r="B196" s="97" t="s">
        <v>2842</v>
      </c>
      <c r="C196" s="97"/>
      <c r="D196" s="97"/>
      <c r="E196" s="97"/>
      <c r="F196" s="133">
        <v>1150</v>
      </c>
    </row>
    <row r="197" s="119" customFormat="1" ht="14.25" customHeight="1" spans="1:6">
      <c r="A197" s="93" t="s">
        <v>280</v>
      </c>
      <c r="B197" s="97" t="s">
        <v>2846</v>
      </c>
      <c r="C197" s="97"/>
      <c r="D197" s="97"/>
      <c r="E197" s="97"/>
      <c r="F197" s="133">
        <v>1330</v>
      </c>
    </row>
    <row r="198" s="119" customFormat="1" ht="14.25" customHeight="1" spans="1:6">
      <c r="A198" s="93" t="s">
        <v>280</v>
      </c>
      <c r="B198" s="97" t="s">
        <v>2849</v>
      </c>
      <c r="C198" s="97"/>
      <c r="D198" s="97"/>
      <c r="E198" s="97"/>
      <c r="F198" s="133">
        <v>1170</v>
      </c>
    </row>
    <row r="199" s="119" customFormat="1" ht="14.25" customHeight="1" spans="1:6">
      <c r="A199" s="93" t="s">
        <v>280</v>
      </c>
      <c r="B199" s="97" t="s">
        <v>2852</v>
      </c>
      <c r="C199" s="97"/>
      <c r="D199" s="97"/>
      <c r="E199" s="97"/>
      <c r="F199" s="133">
        <v>1120</v>
      </c>
    </row>
    <row r="200" s="119" customFormat="1" ht="14.25" customHeight="1" spans="1:6">
      <c r="A200" s="93" t="s">
        <v>280</v>
      </c>
      <c r="B200" s="97" t="s">
        <v>2855</v>
      </c>
      <c r="C200" s="97"/>
      <c r="D200" s="97"/>
      <c r="E200" s="97"/>
      <c r="F200" s="133">
        <v>1120</v>
      </c>
    </row>
    <row r="201" s="119" customFormat="1" ht="14.25" customHeight="1" spans="1:6">
      <c r="A201" s="93" t="s">
        <v>280</v>
      </c>
      <c r="B201" s="97" t="s">
        <v>2858</v>
      </c>
      <c r="C201" s="97"/>
      <c r="D201" s="97"/>
      <c r="E201" s="97"/>
      <c r="F201" s="133">
        <v>1540</v>
      </c>
    </row>
    <row r="202" s="119" customFormat="1" ht="14.25" customHeight="1" spans="1:6">
      <c r="A202" s="93" t="s">
        <v>280</v>
      </c>
      <c r="B202" s="97" t="s">
        <v>2861</v>
      </c>
      <c r="C202" s="97"/>
      <c r="D202" s="97"/>
      <c r="E202" s="97"/>
      <c r="F202" s="133">
        <v>1310</v>
      </c>
    </row>
    <row r="203" s="119" customFormat="1" ht="14.25" customHeight="1" spans="1:6">
      <c r="A203" s="93" t="s">
        <v>280</v>
      </c>
      <c r="B203" s="97" t="s">
        <v>2864</v>
      </c>
      <c r="C203" s="97"/>
      <c r="D203" s="97"/>
      <c r="E203" s="97"/>
      <c r="F203" s="133">
        <v>1310</v>
      </c>
    </row>
    <row r="204" s="119" customFormat="1" ht="14.25" customHeight="1" spans="1:6">
      <c r="A204" s="93" t="s">
        <v>280</v>
      </c>
      <c r="B204" s="97" t="s">
        <v>2866</v>
      </c>
      <c r="C204" s="97"/>
      <c r="D204" s="97"/>
      <c r="E204" s="97"/>
      <c r="F204" s="133">
        <v>1080</v>
      </c>
    </row>
    <row r="205" s="119" customFormat="1" ht="14.25" customHeight="1" spans="1:6">
      <c r="A205" s="93" t="s">
        <v>280</v>
      </c>
      <c r="B205" s="97" t="s">
        <v>2868</v>
      </c>
      <c r="C205" s="97"/>
      <c r="D205" s="97"/>
      <c r="E205" s="97"/>
      <c r="F205" s="133">
        <v>1080</v>
      </c>
    </row>
    <row r="206" s="119" customFormat="1" ht="14.25" customHeight="1" spans="1:6">
      <c r="A206" s="93" t="s">
        <v>285</v>
      </c>
      <c r="B206" s="94" t="s">
        <v>2535</v>
      </c>
      <c r="C206" s="94">
        <v>5450</v>
      </c>
      <c r="D206" s="94">
        <v>5430</v>
      </c>
      <c r="E206" s="94">
        <v>5700</v>
      </c>
      <c r="F206" s="130">
        <v>1020</v>
      </c>
    </row>
    <row r="207" s="119" customFormat="1" ht="14.25" customHeight="1" spans="1:6">
      <c r="A207" s="93" t="s">
        <v>285</v>
      </c>
      <c r="B207" s="97" t="s">
        <v>2548</v>
      </c>
      <c r="C207" s="97">
        <v>5860</v>
      </c>
      <c r="D207" s="97">
        <v>5820</v>
      </c>
      <c r="E207" s="97">
        <v>6050</v>
      </c>
      <c r="F207" s="133">
        <v>1080</v>
      </c>
    </row>
    <row r="208" s="119" customFormat="1" ht="14.25" customHeight="1" spans="1:6">
      <c r="A208" s="93" t="s">
        <v>285</v>
      </c>
      <c r="B208" s="97" t="s">
        <v>2562</v>
      </c>
      <c r="C208" s="97">
        <v>4630</v>
      </c>
      <c r="D208" s="97">
        <v>4600</v>
      </c>
      <c r="E208" s="97">
        <v>4840</v>
      </c>
      <c r="F208" s="133">
        <v>900</v>
      </c>
    </row>
    <row r="209" s="119" customFormat="1" ht="14.25" customHeight="1" spans="1:6">
      <c r="A209" s="93" t="s">
        <v>285</v>
      </c>
      <c r="B209" s="97" t="s">
        <v>2574</v>
      </c>
      <c r="C209" s="97">
        <v>5320</v>
      </c>
      <c r="D209" s="97">
        <v>5270</v>
      </c>
      <c r="E209" s="97">
        <v>5540</v>
      </c>
      <c r="F209" s="133">
        <v>980</v>
      </c>
    </row>
    <row r="210" s="119" customFormat="1" ht="14.25" customHeight="1" spans="1:6">
      <c r="A210" s="93" t="s">
        <v>285</v>
      </c>
      <c r="B210" s="97" t="s">
        <v>2586</v>
      </c>
      <c r="C210" s="97">
        <v>5760</v>
      </c>
      <c r="D210" s="97">
        <v>5710</v>
      </c>
      <c r="E210" s="97">
        <v>6010</v>
      </c>
      <c r="F210" s="133">
        <v>870</v>
      </c>
    </row>
    <row r="211" s="119" customFormat="1" ht="14.25" customHeight="1" spans="1:6">
      <c r="A211" s="93" t="s">
        <v>285</v>
      </c>
      <c r="B211" s="97" t="s">
        <v>2597</v>
      </c>
      <c r="C211" s="97">
        <v>4160</v>
      </c>
      <c r="D211" s="97">
        <v>4100</v>
      </c>
      <c r="E211" s="97">
        <v>4270</v>
      </c>
      <c r="F211" s="133">
        <v>790</v>
      </c>
    </row>
    <row r="212" s="119" customFormat="1" ht="14.25" customHeight="1" spans="1:6">
      <c r="A212" s="93" t="s">
        <v>285</v>
      </c>
      <c r="B212" s="97" t="s">
        <v>2608</v>
      </c>
      <c r="C212" s="97">
        <v>4880</v>
      </c>
      <c r="D212" s="97">
        <v>4850</v>
      </c>
      <c r="E212" s="97">
        <v>5110</v>
      </c>
      <c r="F212" s="133">
        <v>940</v>
      </c>
    </row>
    <row r="213" s="119" customFormat="1" ht="14.25" customHeight="1" spans="1:6">
      <c r="A213" s="93" t="s">
        <v>285</v>
      </c>
      <c r="B213" s="97" t="s">
        <v>2619</v>
      </c>
      <c r="C213" s="97">
        <v>4640</v>
      </c>
      <c r="D213" s="97">
        <v>4590</v>
      </c>
      <c r="E213" s="97">
        <v>4700</v>
      </c>
      <c r="F213" s="133">
        <v>1030</v>
      </c>
    </row>
    <row r="214" s="119" customFormat="1" ht="14.25" customHeight="1" spans="1:6">
      <c r="A214" s="93" t="s">
        <v>285</v>
      </c>
      <c r="B214" s="97" t="s">
        <v>2629</v>
      </c>
      <c r="C214" s="97">
        <v>4540</v>
      </c>
      <c r="D214" s="97">
        <v>4490</v>
      </c>
      <c r="E214" s="97">
        <v>4610</v>
      </c>
      <c r="F214" s="136"/>
    </row>
    <row r="215" s="119" customFormat="1" ht="14.25" customHeight="1" spans="1:6">
      <c r="A215" s="93" t="s">
        <v>285</v>
      </c>
      <c r="B215" s="97" t="s">
        <v>2639</v>
      </c>
      <c r="C215" s="97">
        <v>5280</v>
      </c>
      <c r="D215" s="97">
        <v>5250</v>
      </c>
      <c r="E215" s="97">
        <v>5520</v>
      </c>
      <c r="F215" s="133">
        <v>1000</v>
      </c>
    </row>
    <row r="216" s="119" customFormat="1" ht="14.25" customHeight="1" spans="1:6">
      <c r="A216" s="93" t="s">
        <v>285</v>
      </c>
      <c r="B216" s="97" t="s">
        <v>2649</v>
      </c>
      <c r="C216" s="97">
        <v>5100</v>
      </c>
      <c r="D216" s="97">
        <v>5050</v>
      </c>
      <c r="E216" s="97">
        <v>5300</v>
      </c>
      <c r="F216" s="133">
        <v>950</v>
      </c>
    </row>
    <row r="217" s="119" customFormat="1" ht="14.25" customHeight="1" spans="1:6">
      <c r="A217" s="93" t="s">
        <v>285</v>
      </c>
      <c r="B217" s="97" t="s">
        <v>2659</v>
      </c>
      <c r="C217" s="97">
        <v>5370</v>
      </c>
      <c r="D217" s="97">
        <v>5320</v>
      </c>
      <c r="E217" s="97">
        <v>5410</v>
      </c>
      <c r="F217" s="133">
        <v>950</v>
      </c>
    </row>
    <row r="218" s="119" customFormat="1" ht="14.25" customHeight="1" spans="1:6">
      <c r="A218" s="93" t="s">
        <v>285</v>
      </c>
      <c r="B218" s="97" t="s">
        <v>2669</v>
      </c>
      <c r="C218" s="97">
        <v>5540</v>
      </c>
      <c r="D218" s="97">
        <v>5480</v>
      </c>
      <c r="E218" s="97">
        <v>5740</v>
      </c>
      <c r="F218" s="133">
        <v>1020</v>
      </c>
    </row>
    <row r="219" s="119" customFormat="1" ht="14.25" customHeight="1" spans="1:6">
      <c r="A219" s="93" t="s">
        <v>285</v>
      </c>
      <c r="B219" s="97" t="s">
        <v>2679</v>
      </c>
      <c r="C219" s="97">
        <v>5140</v>
      </c>
      <c r="D219" s="97">
        <v>5100</v>
      </c>
      <c r="E219" s="97">
        <v>5350</v>
      </c>
      <c r="F219" s="133">
        <v>1120</v>
      </c>
    </row>
    <row r="220" s="119" customFormat="1" ht="14.25" customHeight="1" spans="1:6">
      <c r="A220" s="93" t="s">
        <v>285</v>
      </c>
      <c r="B220" s="97" t="s">
        <v>2688</v>
      </c>
      <c r="C220" s="97">
        <v>5040</v>
      </c>
      <c r="D220" s="97">
        <v>5000</v>
      </c>
      <c r="E220" s="97">
        <v>5240</v>
      </c>
      <c r="F220" s="133">
        <v>980</v>
      </c>
    </row>
    <row r="221" s="119" customFormat="1" ht="14.25" customHeight="1" spans="1:6">
      <c r="A221" s="93" t="s">
        <v>285</v>
      </c>
      <c r="B221" s="97" t="s">
        <v>2698</v>
      </c>
      <c r="C221" s="139"/>
      <c r="D221" s="139"/>
      <c r="E221" s="139"/>
      <c r="F221" s="133">
        <v>1070</v>
      </c>
    </row>
    <row r="222" s="119" customFormat="1" ht="14.25" customHeight="1" spans="1:6">
      <c r="A222" s="93" t="s">
        <v>285</v>
      </c>
      <c r="B222" s="97" t="s">
        <v>2708</v>
      </c>
      <c r="C222" s="139"/>
      <c r="D222" s="139"/>
      <c r="E222" s="139"/>
      <c r="F222" s="133">
        <v>870</v>
      </c>
    </row>
    <row r="223" s="119" customFormat="1" ht="14.25" customHeight="1" spans="1:6">
      <c r="A223" s="93" t="s">
        <v>285</v>
      </c>
      <c r="B223" s="97" t="s">
        <v>2718</v>
      </c>
      <c r="C223" s="139"/>
      <c r="D223" s="139"/>
      <c r="E223" s="139"/>
      <c r="F223" s="133">
        <v>940</v>
      </c>
    </row>
    <row r="224" s="119" customFormat="1" ht="14.25" customHeight="1" spans="1:6">
      <c r="A224" s="93" t="s">
        <v>285</v>
      </c>
      <c r="B224" s="97" t="s">
        <v>2728</v>
      </c>
      <c r="C224" s="139"/>
      <c r="D224" s="139"/>
      <c r="E224" s="139"/>
      <c r="F224" s="133">
        <v>990</v>
      </c>
    </row>
    <row r="225" s="119" customFormat="1" ht="14.25" customHeight="1" spans="1:6">
      <c r="A225" s="93" t="s">
        <v>285</v>
      </c>
      <c r="B225" s="97" t="s">
        <v>2737</v>
      </c>
      <c r="C225" s="97">
        <v>5730</v>
      </c>
      <c r="D225" s="97">
        <v>5680</v>
      </c>
      <c r="E225" s="97">
        <v>6020</v>
      </c>
      <c r="F225" s="133">
        <v>1000</v>
      </c>
    </row>
    <row r="226" s="119" customFormat="1" ht="14.25" customHeight="1" spans="1:6">
      <c r="A226" s="93" t="s">
        <v>285</v>
      </c>
      <c r="B226" s="97" t="s">
        <v>2745</v>
      </c>
      <c r="C226" s="97">
        <v>4970</v>
      </c>
      <c r="D226" s="97">
        <v>4940</v>
      </c>
      <c r="E226" s="97">
        <v>5180</v>
      </c>
      <c r="F226" s="133">
        <v>960</v>
      </c>
    </row>
    <row r="227" s="119" customFormat="1" ht="14.25" customHeight="1" spans="1:6">
      <c r="A227" s="93" t="s">
        <v>285</v>
      </c>
      <c r="B227" s="97" t="s">
        <v>2753</v>
      </c>
      <c r="C227" s="97">
        <v>5550</v>
      </c>
      <c r="D227" s="97">
        <v>5500</v>
      </c>
      <c r="E227" s="97">
        <v>5780</v>
      </c>
      <c r="F227" s="133">
        <v>940</v>
      </c>
    </row>
    <row r="228" s="119" customFormat="1" ht="14.25" customHeight="1" spans="1:6">
      <c r="A228" s="93" t="s">
        <v>285</v>
      </c>
      <c r="B228" s="97" t="s">
        <v>2760</v>
      </c>
      <c r="C228" s="97">
        <v>5460</v>
      </c>
      <c r="D228" s="97">
        <v>5420</v>
      </c>
      <c r="E228" s="97">
        <v>5690</v>
      </c>
      <c r="F228" s="133">
        <v>910</v>
      </c>
    </row>
    <row r="229" s="119" customFormat="1" ht="14.25" customHeight="1" spans="1:6">
      <c r="A229" s="93" t="s">
        <v>285</v>
      </c>
      <c r="B229" s="97" t="s">
        <v>2767</v>
      </c>
      <c r="C229" s="97">
        <v>5310</v>
      </c>
      <c r="D229" s="97">
        <v>5270</v>
      </c>
      <c r="E229" s="97">
        <v>5510</v>
      </c>
      <c r="F229" s="136"/>
    </row>
    <row r="230" s="119" customFormat="1" ht="14.25" customHeight="1" spans="1:6">
      <c r="A230" s="93" t="s">
        <v>285</v>
      </c>
      <c r="B230" s="97" t="s">
        <v>2774</v>
      </c>
      <c r="C230" s="97">
        <v>4540</v>
      </c>
      <c r="D230" s="97">
        <v>4500</v>
      </c>
      <c r="E230" s="97">
        <v>4730</v>
      </c>
      <c r="F230" s="136"/>
    </row>
    <row r="231" s="119" customFormat="1" ht="14.25" customHeight="1" spans="1:6">
      <c r="A231" s="93" t="s">
        <v>285</v>
      </c>
      <c r="B231" s="97" t="s">
        <v>2781</v>
      </c>
      <c r="C231" s="97">
        <v>4480</v>
      </c>
      <c r="D231" s="97">
        <v>4410</v>
      </c>
      <c r="E231" s="97">
        <v>4640</v>
      </c>
      <c r="F231" s="136"/>
    </row>
    <row r="232" s="119" customFormat="1" ht="14.25" customHeight="1" spans="1:6">
      <c r="A232" s="93" t="s">
        <v>285</v>
      </c>
      <c r="B232" s="97" t="s">
        <v>2788</v>
      </c>
      <c r="C232" s="97">
        <v>5670</v>
      </c>
      <c r="D232" s="97">
        <v>5600</v>
      </c>
      <c r="E232" s="97">
        <v>5890</v>
      </c>
      <c r="F232" s="133">
        <v>1150</v>
      </c>
    </row>
    <row r="233" s="119" customFormat="1" ht="14.25" customHeight="1" spans="1:6">
      <c r="A233" s="93" t="s">
        <v>285</v>
      </c>
      <c r="B233" s="97" t="s">
        <v>2793</v>
      </c>
      <c r="C233" s="97">
        <v>4590</v>
      </c>
      <c r="D233" s="97">
        <v>4500</v>
      </c>
      <c r="E233" s="97">
        <v>4600</v>
      </c>
      <c r="F233" s="136"/>
    </row>
    <row r="234" s="119" customFormat="1" ht="14.25" customHeight="1" spans="1:6">
      <c r="A234" s="93" t="s">
        <v>285</v>
      </c>
      <c r="B234" s="97" t="s">
        <v>2798</v>
      </c>
      <c r="C234" s="97">
        <v>3990</v>
      </c>
      <c r="D234" s="97">
        <v>3950</v>
      </c>
      <c r="E234" s="97">
        <v>4180</v>
      </c>
      <c r="F234" s="136"/>
    </row>
    <row r="235" s="119" customFormat="1" ht="14.25" customHeight="1" spans="1:6">
      <c r="A235" s="93" t="s">
        <v>285</v>
      </c>
      <c r="B235" s="97" t="s">
        <v>2803</v>
      </c>
      <c r="C235" s="97">
        <v>5590</v>
      </c>
      <c r="D235" s="97">
        <v>5540</v>
      </c>
      <c r="E235" s="97">
        <v>5810</v>
      </c>
      <c r="F235" s="133">
        <v>970</v>
      </c>
    </row>
    <row r="236" s="119" customFormat="1" ht="14.25" customHeight="1" spans="1:6">
      <c r="A236" s="93" t="s">
        <v>285</v>
      </c>
      <c r="B236" s="97" t="s">
        <v>2808</v>
      </c>
      <c r="C236" s="97"/>
      <c r="D236" s="97"/>
      <c r="E236" s="97"/>
      <c r="F236" s="133">
        <v>1020</v>
      </c>
    </row>
    <row r="237" s="119" customFormat="1" ht="14.25" customHeight="1" spans="1:6">
      <c r="A237" s="93" t="s">
        <v>285</v>
      </c>
      <c r="B237" s="97" t="s">
        <v>2813</v>
      </c>
      <c r="C237" s="97"/>
      <c r="D237" s="97"/>
      <c r="E237" s="97"/>
      <c r="F237" s="133">
        <v>960</v>
      </c>
    </row>
    <row r="238" s="119" customFormat="1" ht="14.25" customHeight="1" spans="1:6">
      <c r="A238" s="93" t="s">
        <v>285</v>
      </c>
      <c r="B238" s="97" t="s">
        <v>2818</v>
      </c>
      <c r="C238" s="97"/>
      <c r="D238" s="97"/>
      <c r="E238" s="97"/>
      <c r="F238" s="133">
        <v>960</v>
      </c>
    </row>
    <row r="239" s="119" customFormat="1" ht="14.25" customHeight="1" spans="1:6">
      <c r="A239" s="93" t="s">
        <v>285</v>
      </c>
      <c r="B239" s="97" t="s">
        <v>2823</v>
      </c>
      <c r="C239" s="97"/>
      <c r="D239" s="97"/>
      <c r="E239" s="97"/>
      <c r="F239" s="133">
        <v>960</v>
      </c>
    </row>
    <row r="240" s="119" customFormat="1" ht="14.25" customHeight="1" spans="1:6">
      <c r="A240" s="93" t="s">
        <v>285</v>
      </c>
      <c r="B240" s="97" t="s">
        <v>2827</v>
      </c>
      <c r="C240" s="97"/>
      <c r="D240" s="97"/>
      <c r="E240" s="97"/>
      <c r="F240" s="133">
        <v>990</v>
      </c>
    </row>
    <row r="241" s="119" customFormat="1" ht="14.25" customHeight="1" spans="1:6">
      <c r="A241" s="93" t="s">
        <v>285</v>
      </c>
      <c r="B241" s="97" t="s">
        <v>2831</v>
      </c>
      <c r="C241" s="97"/>
      <c r="D241" s="97"/>
      <c r="E241" s="97"/>
      <c r="F241" s="133">
        <v>1000</v>
      </c>
    </row>
    <row r="242" s="119" customFormat="1" ht="14.25" customHeight="1" spans="1:6">
      <c r="A242" s="93" t="s">
        <v>285</v>
      </c>
      <c r="B242" s="97" t="s">
        <v>2835</v>
      </c>
      <c r="C242" s="97"/>
      <c r="D242" s="97"/>
      <c r="E242" s="97"/>
      <c r="F242" s="133">
        <v>980</v>
      </c>
    </row>
    <row r="243" s="119" customFormat="1" ht="14.25" customHeight="1" spans="1:6">
      <c r="A243" s="93" t="s">
        <v>285</v>
      </c>
      <c r="B243" s="97" t="s">
        <v>2839</v>
      </c>
      <c r="C243" s="97"/>
      <c r="D243" s="97"/>
      <c r="E243" s="97"/>
      <c r="F243" s="133">
        <v>970</v>
      </c>
    </row>
    <row r="244" s="119" customFormat="1" ht="14.25" customHeight="1" spans="1:6">
      <c r="A244" s="93" t="s">
        <v>285</v>
      </c>
      <c r="B244" s="108" t="s">
        <v>2843</v>
      </c>
      <c r="C244" s="108"/>
      <c r="D244" s="108"/>
      <c r="E244" s="108"/>
      <c r="F244" s="135">
        <v>970</v>
      </c>
    </row>
    <row r="245" s="119" customFormat="1" ht="14.25" customHeight="1" spans="1:6">
      <c r="A245" s="93" t="s">
        <v>288</v>
      </c>
      <c r="B245" s="94" t="s">
        <v>2536</v>
      </c>
      <c r="C245" s="94">
        <v>4050</v>
      </c>
      <c r="D245" s="94">
        <v>4020</v>
      </c>
      <c r="E245" s="94">
        <v>4160</v>
      </c>
      <c r="F245" s="130">
        <v>840</v>
      </c>
    </row>
    <row r="246" s="119" customFormat="1" ht="14.25" customHeight="1" spans="1:6">
      <c r="A246" s="93" t="s">
        <v>288</v>
      </c>
      <c r="B246" s="97" t="s">
        <v>2549</v>
      </c>
      <c r="C246" s="97">
        <v>4010</v>
      </c>
      <c r="D246" s="97">
        <v>3960</v>
      </c>
      <c r="E246" s="97">
        <v>4130</v>
      </c>
      <c r="F246" s="133">
        <v>840</v>
      </c>
    </row>
    <row r="247" s="119" customFormat="1" ht="14.25" customHeight="1" spans="1:6">
      <c r="A247" s="93" t="s">
        <v>288</v>
      </c>
      <c r="B247" s="97" t="s">
        <v>2563</v>
      </c>
      <c r="C247" s="97">
        <v>3170</v>
      </c>
      <c r="D247" s="97">
        <v>3140</v>
      </c>
      <c r="E247" s="97">
        <v>3270</v>
      </c>
      <c r="F247" s="133">
        <v>640</v>
      </c>
    </row>
    <row r="248" s="119" customFormat="1" ht="14.25" customHeight="1" spans="1:6">
      <c r="A248" s="93" t="s">
        <v>288</v>
      </c>
      <c r="B248" s="97" t="s">
        <v>2575</v>
      </c>
      <c r="C248" s="97">
        <v>3140</v>
      </c>
      <c r="D248" s="97">
        <v>3120</v>
      </c>
      <c r="E248" s="97">
        <v>3240</v>
      </c>
      <c r="F248" s="133">
        <v>620</v>
      </c>
    </row>
    <row r="249" s="119" customFormat="1" ht="14.25" customHeight="1" spans="1:6">
      <c r="A249" s="93" t="s">
        <v>288</v>
      </c>
      <c r="B249" s="97" t="s">
        <v>2587</v>
      </c>
      <c r="C249" s="97">
        <v>3200</v>
      </c>
      <c r="D249" s="97">
        <v>3100</v>
      </c>
      <c r="E249" s="97">
        <v>3230</v>
      </c>
      <c r="F249" s="133">
        <v>750</v>
      </c>
    </row>
    <row r="250" s="119" customFormat="1" ht="14.25" customHeight="1" spans="1:6">
      <c r="A250" s="93" t="s">
        <v>288</v>
      </c>
      <c r="B250" s="97" t="s">
        <v>2598</v>
      </c>
      <c r="C250" s="97">
        <v>4060</v>
      </c>
      <c r="D250" s="97">
        <v>4000</v>
      </c>
      <c r="E250" s="97">
        <v>4140</v>
      </c>
      <c r="F250" s="133">
        <v>790</v>
      </c>
    </row>
    <row r="251" s="119" customFormat="1" ht="14.25" customHeight="1" spans="1:6">
      <c r="A251" s="93" t="s">
        <v>288</v>
      </c>
      <c r="B251" s="97" t="s">
        <v>2609</v>
      </c>
      <c r="C251" s="97">
        <v>3990</v>
      </c>
      <c r="D251" s="97">
        <v>3970</v>
      </c>
      <c r="E251" s="97">
        <v>4110</v>
      </c>
      <c r="F251" s="133">
        <v>730</v>
      </c>
    </row>
    <row r="252" s="119" customFormat="1" ht="14.25" customHeight="1" spans="1:6">
      <c r="A252" s="93" t="s">
        <v>288</v>
      </c>
      <c r="B252" s="97" t="s">
        <v>2620</v>
      </c>
      <c r="C252" s="97">
        <v>3560</v>
      </c>
      <c r="D252" s="97">
        <v>3530</v>
      </c>
      <c r="E252" s="97">
        <v>3650</v>
      </c>
      <c r="F252" s="133">
        <v>750</v>
      </c>
    </row>
    <row r="253" s="119" customFormat="1" ht="14.25" customHeight="1" spans="1:6">
      <c r="A253" s="93" t="s">
        <v>288</v>
      </c>
      <c r="B253" s="97" t="s">
        <v>2630</v>
      </c>
      <c r="C253" s="97">
        <v>3780</v>
      </c>
      <c r="D253" s="97">
        <v>3750</v>
      </c>
      <c r="E253" s="97">
        <v>3870</v>
      </c>
      <c r="F253" s="133">
        <v>770</v>
      </c>
    </row>
    <row r="254" s="119" customFormat="1" ht="14.25" customHeight="1" spans="1:6">
      <c r="A254" s="93" t="s">
        <v>288</v>
      </c>
      <c r="B254" s="97" t="s">
        <v>2640</v>
      </c>
      <c r="C254" s="139"/>
      <c r="D254" s="139"/>
      <c r="E254" s="139"/>
      <c r="F254" s="133">
        <v>740</v>
      </c>
    </row>
    <row r="255" s="119" customFormat="1" ht="14.25" customHeight="1" spans="1:6">
      <c r="A255" s="93" t="s">
        <v>288</v>
      </c>
      <c r="B255" s="97" t="s">
        <v>2650</v>
      </c>
      <c r="C255" s="139"/>
      <c r="D255" s="139"/>
      <c r="E255" s="139"/>
      <c r="F255" s="133">
        <v>760</v>
      </c>
    </row>
    <row r="256" s="119" customFormat="1" ht="14.25" customHeight="1" spans="1:6">
      <c r="A256" s="93" t="s">
        <v>288</v>
      </c>
      <c r="B256" s="97" t="s">
        <v>2660</v>
      </c>
      <c r="C256" s="97">
        <v>3760</v>
      </c>
      <c r="D256" s="97">
        <v>3730</v>
      </c>
      <c r="E256" s="97">
        <v>3870</v>
      </c>
      <c r="F256" s="133">
        <v>830</v>
      </c>
    </row>
    <row r="257" s="119" customFormat="1" ht="14.25" customHeight="1" spans="1:6">
      <c r="A257" s="93" t="s">
        <v>288</v>
      </c>
      <c r="B257" s="97" t="s">
        <v>2670</v>
      </c>
      <c r="C257" s="97">
        <v>3570</v>
      </c>
      <c r="D257" s="97">
        <v>3540</v>
      </c>
      <c r="E257" s="97">
        <v>3650</v>
      </c>
      <c r="F257" s="133">
        <v>790</v>
      </c>
    </row>
    <row r="258" s="119" customFormat="1" ht="14.25" customHeight="1" spans="1:6">
      <c r="A258" s="93" t="s">
        <v>288</v>
      </c>
      <c r="B258" s="97" t="s">
        <v>2680</v>
      </c>
      <c r="C258" s="97">
        <v>3410</v>
      </c>
      <c r="D258" s="97">
        <v>3380</v>
      </c>
      <c r="E258" s="97">
        <v>3500</v>
      </c>
      <c r="F258" s="133">
        <v>830</v>
      </c>
    </row>
    <row r="259" s="119" customFormat="1" ht="14.25" customHeight="1" spans="1:6">
      <c r="A259" s="93" t="s">
        <v>288</v>
      </c>
      <c r="B259" s="97" t="s">
        <v>2689</v>
      </c>
      <c r="C259" s="97">
        <v>3870</v>
      </c>
      <c r="D259" s="97">
        <v>3840</v>
      </c>
      <c r="E259" s="97">
        <v>3970</v>
      </c>
      <c r="F259" s="133">
        <v>830</v>
      </c>
    </row>
    <row r="260" s="119" customFormat="1" ht="14.25" customHeight="1" spans="1:6">
      <c r="A260" s="93" t="s">
        <v>288</v>
      </c>
      <c r="B260" s="97" t="s">
        <v>2699</v>
      </c>
      <c r="C260" s="97">
        <v>3700</v>
      </c>
      <c r="D260" s="97">
        <v>3660</v>
      </c>
      <c r="E260" s="97">
        <v>3810</v>
      </c>
      <c r="F260" s="133">
        <v>790</v>
      </c>
    </row>
    <row r="261" s="119" customFormat="1" ht="14.25" customHeight="1" spans="1:6">
      <c r="A261" s="93" t="s">
        <v>288</v>
      </c>
      <c r="B261" s="97" t="s">
        <v>2709</v>
      </c>
      <c r="C261" s="97">
        <v>3470</v>
      </c>
      <c r="D261" s="97">
        <v>3430</v>
      </c>
      <c r="E261" s="97">
        <v>3640</v>
      </c>
      <c r="F261" s="133">
        <v>760</v>
      </c>
    </row>
    <row r="262" s="119" customFormat="1" ht="14.25" customHeight="1" spans="1:6">
      <c r="A262" s="93" t="s">
        <v>288</v>
      </c>
      <c r="B262" s="97" t="s">
        <v>2719</v>
      </c>
      <c r="C262" s="97">
        <v>3510</v>
      </c>
      <c r="D262" s="97">
        <v>3470</v>
      </c>
      <c r="E262" s="97">
        <v>3680</v>
      </c>
      <c r="F262" s="136"/>
    </row>
    <row r="263" s="119" customFormat="1" ht="14.25" customHeight="1" spans="1:6">
      <c r="A263" s="93" t="s">
        <v>288</v>
      </c>
      <c r="B263" s="97" t="s">
        <v>2729</v>
      </c>
      <c r="C263" s="97">
        <v>3960</v>
      </c>
      <c r="D263" s="97">
        <v>3930</v>
      </c>
      <c r="E263" s="97">
        <v>4070</v>
      </c>
      <c r="F263" s="133">
        <v>830</v>
      </c>
    </row>
    <row r="264" s="119" customFormat="1" ht="14.25" customHeight="1" spans="1:6">
      <c r="A264" s="93" t="s">
        <v>288</v>
      </c>
      <c r="B264" s="97" t="s">
        <v>2738</v>
      </c>
      <c r="C264" s="97">
        <v>4010</v>
      </c>
      <c r="D264" s="97">
        <v>3980</v>
      </c>
      <c r="E264" s="97">
        <v>4150</v>
      </c>
      <c r="F264" s="133">
        <v>760</v>
      </c>
    </row>
    <row r="265" s="119" customFormat="1" ht="14.25" customHeight="1" spans="1:6">
      <c r="A265" s="93" t="s">
        <v>288</v>
      </c>
      <c r="B265" s="97" t="s">
        <v>2746</v>
      </c>
      <c r="C265" s="97">
        <v>3910</v>
      </c>
      <c r="D265" s="97">
        <v>3890</v>
      </c>
      <c r="E265" s="97">
        <v>4040</v>
      </c>
      <c r="F265" s="133">
        <v>780</v>
      </c>
    </row>
    <row r="266" s="119" customFormat="1" ht="14.25" customHeight="1" spans="1:6">
      <c r="A266" s="93" t="s">
        <v>288</v>
      </c>
      <c r="B266" s="97" t="s">
        <v>2754</v>
      </c>
      <c r="C266" s="97">
        <v>3930</v>
      </c>
      <c r="D266" s="97">
        <v>3900</v>
      </c>
      <c r="E266" s="97">
        <v>4080</v>
      </c>
      <c r="F266" s="133">
        <v>770</v>
      </c>
    </row>
    <row r="267" s="119" customFormat="1" ht="14.25" customHeight="1" spans="1:6">
      <c r="A267" s="93" t="s">
        <v>288</v>
      </c>
      <c r="B267" s="97" t="s">
        <v>2761</v>
      </c>
      <c r="C267" s="97">
        <v>3800</v>
      </c>
      <c r="D267" s="97">
        <v>3780</v>
      </c>
      <c r="E267" s="97">
        <v>3930</v>
      </c>
      <c r="F267" s="136"/>
    </row>
    <row r="268" s="119" customFormat="1" ht="14.25" customHeight="1" spans="1:6">
      <c r="A268" s="93" t="s">
        <v>288</v>
      </c>
      <c r="B268" s="97" t="s">
        <v>2768</v>
      </c>
      <c r="C268" s="97">
        <v>3460</v>
      </c>
      <c r="D268" s="97">
        <v>3430</v>
      </c>
      <c r="E268" s="97">
        <v>3560</v>
      </c>
      <c r="F268" s="133">
        <v>840</v>
      </c>
    </row>
    <row r="269" s="119" customFormat="1" ht="14.25" customHeight="1" spans="1:6">
      <c r="A269" s="93" t="s">
        <v>288</v>
      </c>
      <c r="B269" s="97" t="s">
        <v>2775</v>
      </c>
      <c r="C269" s="97">
        <v>3210</v>
      </c>
      <c r="D269" s="97">
        <v>3190</v>
      </c>
      <c r="E269" s="97">
        <v>3310</v>
      </c>
      <c r="F269" s="133">
        <v>730</v>
      </c>
    </row>
    <row r="270" s="119" customFormat="1" ht="14.25" customHeight="1" spans="1:6">
      <c r="A270" s="93" t="s">
        <v>288</v>
      </c>
      <c r="B270" s="97" t="s">
        <v>2782</v>
      </c>
      <c r="C270" s="97">
        <v>3240</v>
      </c>
      <c r="D270" s="97">
        <v>3210</v>
      </c>
      <c r="E270" s="97">
        <v>3390</v>
      </c>
      <c r="F270" s="133">
        <v>820</v>
      </c>
    </row>
    <row r="271" s="119" customFormat="1" ht="14.25" customHeight="1" spans="1:6">
      <c r="A271" s="93" t="s">
        <v>288</v>
      </c>
      <c r="B271" s="97" t="s">
        <v>2789</v>
      </c>
      <c r="C271" s="97">
        <v>3300</v>
      </c>
      <c r="D271" s="97">
        <v>3270</v>
      </c>
      <c r="E271" s="97">
        <v>3380</v>
      </c>
      <c r="F271" s="133">
        <v>750</v>
      </c>
    </row>
    <row r="272" s="119" customFormat="1" ht="14.25" customHeight="1" spans="1:6">
      <c r="A272" s="93" t="s">
        <v>288</v>
      </c>
      <c r="B272" s="97" t="s">
        <v>2794</v>
      </c>
      <c r="C272" s="139"/>
      <c r="D272" s="139"/>
      <c r="E272" s="139"/>
      <c r="F272" s="133">
        <v>740</v>
      </c>
    </row>
    <row r="273" s="119" customFormat="1" ht="14.25" customHeight="1" spans="1:6">
      <c r="A273" s="93" t="s">
        <v>288</v>
      </c>
      <c r="B273" s="97" t="s">
        <v>2799</v>
      </c>
      <c r="C273" s="97">
        <v>3130</v>
      </c>
      <c r="D273" s="97">
        <v>3100</v>
      </c>
      <c r="E273" s="97">
        <v>3230</v>
      </c>
      <c r="F273" s="133">
        <v>700</v>
      </c>
    </row>
    <row r="274" s="119" customFormat="1" ht="14.25" customHeight="1" spans="1:6">
      <c r="A274" s="93" t="s">
        <v>288</v>
      </c>
      <c r="B274" s="97" t="s">
        <v>2804</v>
      </c>
      <c r="C274" s="97">
        <v>3460</v>
      </c>
      <c r="D274" s="97">
        <v>3430</v>
      </c>
      <c r="E274" s="97">
        <v>3560</v>
      </c>
      <c r="F274" s="133">
        <v>690</v>
      </c>
    </row>
    <row r="275" s="119" customFormat="1" ht="14.25" customHeight="1" spans="1:6">
      <c r="A275" s="93" t="s">
        <v>288</v>
      </c>
      <c r="B275" s="97" t="s">
        <v>2809</v>
      </c>
      <c r="C275" s="97">
        <v>4040</v>
      </c>
      <c r="D275" s="97">
        <v>4020</v>
      </c>
      <c r="E275" s="97">
        <v>4160</v>
      </c>
      <c r="F275" s="133">
        <v>820</v>
      </c>
    </row>
    <row r="276" s="119" customFormat="1" ht="14.25" customHeight="1" spans="1:6">
      <c r="A276" s="93" t="s">
        <v>288</v>
      </c>
      <c r="B276" s="97" t="s">
        <v>2814</v>
      </c>
      <c r="C276" s="97">
        <v>3270</v>
      </c>
      <c r="D276" s="97">
        <v>3240</v>
      </c>
      <c r="E276" s="97">
        <v>3350</v>
      </c>
      <c r="F276" s="133">
        <v>680</v>
      </c>
    </row>
    <row r="277" s="119" customFormat="1" ht="14.25" customHeight="1" spans="1:6">
      <c r="A277" s="93" t="s">
        <v>288</v>
      </c>
      <c r="B277" s="97" t="s">
        <v>2819</v>
      </c>
      <c r="C277" s="97">
        <v>2930</v>
      </c>
      <c r="D277" s="97">
        <v>2900</v>
      </c>
      <c r="E277" s="97">
        <v>3000</v>
      </c>
      <c r="F277" s="133">
        <v>640</v>
      </c>
    </row>
    <row r="278" s="119" customFormat="1" ht="14.25" customHeight="1" spans="1:6">
      <c r="A278" s="93" t="s">
        <v>288</v>
      </c>
      <c r="B278" s="97" t="s">
        <v>2824</v>
      </c>
      <c r="C278" s="97">
        <v>4080</v>
      </c>
      <c r="D278" s="97">
        <v>4030</v>
      </c>
      <c r="E278" s="97">
        <v>4140</v>
      </c>
      <c r="F278" s="133">
        <v>850</v>
      </c>
    </row>
    <row r="279" s="119" customFormat="1" ht="14.25" customHeight="1" spans="1:6">
      <c r="A279" s="93" t="s">
        <v>288</v>
      </c>
      <c r="B279" s="97" t="s">
        <v>2828</v>
      </c>
      <c r="C279" s="97"/>
      <c r="D279" s="97"/>
      <c r="E279" s="97"/>
      <c r="F279" s="133">
        <v>760</v>
      </c>
    </row>
    <row r="280" s="119" customFormat="1" ht="14.25" customHeight="1" spans="1:6">
      <c r="A280" s="93" t="s">
        <v>288</v>
      </c>
      <c r="B280" s="97" t="s">
        <v>2832</v>
      </c>
      <c r="C280" s="97"/>
      <c r="D280" s="97"/>
      <c r="E280" s="97"/>
      <c r="F280" s="133">
        <v>760</v>
      </c>
    </row>
    <row r="281" s="119" customFormat="1" ht="14.25" customHeight="1" spans="1:6">
      <c r="A281" s="93" t="s">
        <v>288</v>
      </c>
      <c r="B281" s="97" t="s">
        <v>2836</v>
      </c>
      <c r="C281" s="97"/>
      <c r="D281" s="97"/>
      <c r="E281" s="97"/>
      <c r="F281" s="133">
        <v>780</v>
      </c>
    </row>
    <row r="282" s="119" customFormat="1" ht="14.25" customHeight="1" spans="1:6">
      <c r="A282" s="93" t="s">
        <v>288</v>
      </c>
      <c r="B282" s="97" t="s">
        <v>2840</v>
      </c>
      <c r="C282" s="97"/>
      <c r="D282" s="97"/>
      <c r="E282" s="97"/>
      <c r="F282" s="133">
        <v>730</v>
      </c>
    </row>
    <row r="283" s="119" customFormat="1" ht="14.25" customHeight="1" spans="1:6">
      <c r="A283" s="93" t="s">
        <v>288</v>
      </c>
      <c r="B283" s="97" t="s">
        <v>2844</v>
      </c>
      <c r="C283" s="97"/>
      <c r="D283" s="97"/>
      <c r="E283" s="97"/>
      <c r="F283" s="133">
        <v>770</v>
      </c>
    </row>
    <row r="284" s="119" customFormat="1" ht="14.25" customHeight="1" spans="1:6">
      <c r="A284" s="93" t="s">
        <v>288</v>
      </c>
      <c r="B284" s="97" t="s">
        <v>2847</v>
      </c>
      <c r="C284" s="97"/>
      <c r="D284" s="97"/>
      <c r="E284" s="97"/>
      <c r="F284" s="133">
        <v>640</v>
      </c>
    </row>
    <row r="285" s="119" customFormat="1" ht="14.25" customHeight="1" spans="1:6">
      <c r="A285" s="93" t="s">
        <v>288</v>
      </c>
      <c r="B285" s="97" t="s">
        <v>2850</v>
      </c>
      <c r="C285" s="97"/>
      <c r="D285" s="97"/>
      <c r="E285" s="97"/>
      <c r="F285" s="133">
        <v>640</v>
      </c>
    </row>
    <row r="286" s="119" customFormat="1" ht="14.25" customHeight="1" spans="1:6">
      <c r="A286" s="93" t="s">
        <v>288</v>
      </c>
      <c r="B286" s="97" t="s">
        <v>2853</v>
      </c>
      <c r="C286" s="97"/>
      <c r="D286" s="97"/>
      <c r="E286" s="97"/>
      <c r="F286" s="133">
        <v>850</v>
      </c>
    </row>
    <row r="287" s="119" customFormat="1" ht="14.25" customHeight="1" spans="1:6">
      <c r="A287" s="93" t="s">
        <v>288</v>
      </c>
      <c r="B287" s="97" t="s">
        <v>2856</v>
      </c>
      <c r="C287" s="97"/>
      <c r="D287" s="97"/>
      <c r="E287" s="97"/>
      <c r="F287" s="133">
        <v>760</v>
      </c>
    </row>
    <row r="288" s="119" customFormat="1" ht="14.25" customHeight="1" spans="1:6">
      <c r="A288" s="93" t="s">
        <v>288</v>
      </c>
      <c r="B288" s="97" t="s">
        <v>2859</v>
      </c>
      <c r="C288" s="97"/>
      <c r="D288" s="97"/>
      <c r="E288" s="97"/>
      <c r="F288" s="133">
        <v>830</v>
      </c>
    </row>
    <row r="289" s="119" customFormat="1" ht="14.25" customHeight="1" spans="1:6">
      <c r="A289" s="93" t="s">
        <v>288</v>
      </c>
      <c r="B289" s="108" t="s">
        <v>2862</v>
      </c>
      <c r="C289" s="108"/>
      <c r="D289" s="108"/>
      <c r="E289" s="108"/>
      <c r="F289" s="135">
        <v>680</v>
      </c>
    </row>
    <row r="290" s="119" customFormat="1" ht="14.25" customHeight="1" spans="1:6">
      <c r="A290" s="93" t="s">
        <v>291</v>
      </c>
      <c r="B290" s="94" t="s">
        <v>2537</v>
      </c>
      <c r="C290" s="94">
        <v>2770</v>
      </c>
      <c r="D290" s="94">
        <v>2740</v>
      </c>
      <c r="E290" s="94">
        <v>2720</v>
      </c>
      <c r="F290" s="140"/>
    </row>
    <row r="291" s="119" customFormat="1" ht="14.25" customHeight="1" spans="1:6">
      <c r="A291" s="93" t="s">
        <v>291</v>
      </c>
      <c r="B291" s="97" t="s">
        <v>2550</v>
      </c>
      <c r="C291" s="97">
        <v>2670</v>
      </c>
      <c r="D291" s="97">
        <v>2640</v>
      </c>
      <c r="E291" s="97">
        <v>2620</v>
      </c>
      <c r="F291" s="136"/>
    </row>
    <row r="292" s="119" customFormat="1" ht="14.25" customHeight="1" spans="1:6">
      <c r="A292" s="93" t="s">
        <v>291</v>
      </c>
      <c r="B292" s="97" t="s">
        <v>2564</v>
      </c>
      <c r="C292" s="97">
        <v>2180</v>
      </c>
      <c r="D292" s="97">
        <v>2140</v>
      </c>
      <c r="E292" s="97">
        <v>2120</v>
      </c>
      <c r="F292" s="133">
        <v>490</v>
      </c>
    </row>
    <row r="293" s="119" customFormat="1" ht="14.25" customHeight="1" spans="1:6">
      <c r="A293" s="93" t="s">
        <v>291</v>
      </c>
      <c r="B293" s="97" t="s">
        <v>2869</v>
      </c>
      <c r="C293" s="97"/>
      <c r="D293" s="97"/>
      <c r="E293" s="97"/>
      <c r="F293" s="133">
        <v>470</v>
      </c>
    </row>
    <row r="294" s="119" customFormat="1" ht="14.25" customHeight="1" spans="1:6">
      <c r="A294" s="93" t="s">
        <v>291</v>
      </c>
      <c r="B294" s="97" t="s">
        <v>2576</v>
      </c>
      <c r="C294" s="97">
        <v>2730</v>
      </c>
      <c r="D294" s="97">
        <v>2700</v>
      </c>
      <c r="E294" s="97">
        <v>2680</v>
      </c>
      <c r="F294" s="133">
        <v>490</v>
      </c>
    </row>
    <row r="295" s="119" customFormat="1" ht="14.25" customHeight="1" spans="1:6">
      <c r="A295" s="93" t="s">
        <v>291</v>
      </c>
      <c r="B295" s="97" t="s">
        <v>2588</v>
      </c>
      <c r="C295" s="97">
        <v>2380</v>
      </c>
      <c r="D295" s="97">
        <v>2350</v>
      </c>
      <c r="E295" s="97">
        <v>2330</v>
      </c>
      <c r="F295" s="133">
        <v>530</v>
      </c>
    </row>
    <row r="296" s="119" customFormat="1" ht="14.25" customHeight="1" spans="1:6">
      <c r="A296" s="93" t="s">
        <v>291</v>
      </c>
      <c r="B296" s="97" t="s">
        <v>2599</v>
      </c>
      <c r="C296" s="97">
        <v>2650</v>
      </c>
      <c r="D296" s="97">
        <v>2620</v>
      </c>
      <c r="E296" s="97">
        <v>2590</v>
      </c>
      <c r="F296" s="133">
        <v>590</v>
      </c>
    </row>
    <row r="297" s="119" customFormat="1" ht="14.25" customHeight="1" spans="1:6">
      <c r="A297" s="93" t="s">
        <v>291</v>
      </c>
      <c r="B297" s="97" t="s">
        <v>2610</v>
      </c>
      <c r="C297" s="97">
        <v>2700</v>
      </c>
      <c r="D297" s="97">
        <v>2670</v>
      </c>
      <c r="E297" s="97">
        <v>2650</v>
      </c>
      <c r="F297" s="133">
        <v>630</v>
      </c>
    </row>
    <row r="298" s="119" customFormat="1" ht="14.25" customHeight="1" spans="1:6">
      <c r="A298" s="93" t="s">
        <v>291</v>
      </c>
      <c r="B298" s="97" t="s">
        <v>2621</v>
      </c>
      <c r="C298" s="97">
        <v>2650</v>
      </c>
      <c r="D298" s="97">
        <v>2620</v>
      </c>
      <c r="E298" s="97">
        <v>2590</v>
      </c>
      <c r="F298" s="133">
        <v>640</v>
      </c>
    </row>
    <row r="299" s="119" customFormat="1" ht="14.25" customHeight="1" spans="1:6">
      <c r="A299" s="93" t="s">
        <v>291</v>
      </c>
      <c r="B299" s="97" t="s">
        <v>2631</v>
      </c>
      <c r="C299" s="97">
        <v>2500</v>
      </c>
      <c r="D299" s="97">
        <v>2480</v>
      </c>
      <c r="E299" s="97">
        <v>2460</v>
      </c>
      <c r="F299" s="136"/>
    </row>
    <row r="300" s="119" customFormat="1" ht="14.25" customHeight="1" spans="1:6">
      <c r="A300" s="93" t="s">
        <v>291</v>
      </c>
      <c r="B300" s="97" t="s">
        <v>2641</v>
      </c>
      <c r="C300" s="97">
        <v>2760</v>
      </c>
      <c r="D300" s="97">
        <v>2730</v>
      </c>
      <c r="E300" s="97">
        <v>2700</v>
      </c>
      <c r="F300" s="133">
        <v>630</v>
      </c>
    </row>
    <row r="301" s="119" customFormat="1" ht="14.25" customHeight="1" spans="1:6">
      <c r="A301" s="93" t="s">
        <v>291</v>
      </c>
      <c r="B301" s="97" t="s">
        <v>2651</v>
      </c>
      <c r="C301" s="97">
        <v>2510</v>
      </c>
      <c r="D301" s="97">
        <v>2480</v>
      </c>
      <c r="E301" s="97">
        <v>2460</v>
      </c>
      <c r="F301" s="136"/>
    </row>
    <row r="302" s="119" customFormat="1" ht="14.25" customHeight="1" spans="1:6">
      <c r="A302" s="93" t="s">
        <v>291</v>
      </c>
      <c r="B302" s="97" t="s">
        <v>2661</v>
      </c>
      <c r="C302" s="97">
        <v>2480</v>
      </c>
      <c r="D302" s="97">
        <v>2450</v>
      </c>
      <c r="E302" s="97">
        <v>2420</v>
      </c>
      <c r="F302" s="133">
        <v>600</v>
      </c>
    </row>
    <row r="303" s="119" customFormat="1" ht="14.25" customHeight="1" spans="1:6">
      <c r="A303" s="93" t="s">
        <v>291</v>
      </c>
      <c r="B303" s="97" t="s">
        <v>2671</v>
      </c>
      <c r="C303" s="97">
        <v>2270</v>
      </c>
      <c r="D303" s="97">
        <v>2240</v>
      </c>
      <c r="E303" s="97">
        <v>2210</v>
      </c>
      <c r="F303" s="133">
        <v>540</v>
      </c>
    </row>
    <row r="304" s="119" customFormat="1" ht="14.25" customHeight="1" spans="1:6">
      <c r="A304" s="93" t="s">
        <v>291</v>
      </c>
      <c r="B304" s="97" t="s">
        <v>2681</v>
      </c>
      <c r="C304" s="97">
        <v>2310</v>
      </c>
      <c r="D304" s="97">
        <v>2290</v>
      </c>
      <c r="E304" s="97">
        <v>2270</v>
      </c>
      <c r="F304" s="136"/>
    </row>
    <row r="305" s="119" customFormat="1" ht="14.25" customHeight="1" spans="1:6">
      <c r="A305" s="93" t="s">
        <v>291</v>
      </c>
      <c r="B305" s="97" t="s">
        <v>2690</v>
      </c>
      <c r="C305" s="97">
        <v>2490</v>
      </c>
      <c r="D305" s="97">
        <v>2470</v>
      </c>
      <c r="E305" s="97">
        <v>2440</v>
      </c>
      <c r="F305" s="133">
        <v>560</v>
      </c>
    </row>
    <row r="306" s="119" customFormat="1" ht="14.25" customHeight="1" spans="1:6">
      <c r="A306" s="93" t="s">
        <v>291</v>
      </c>
      <c r="B306" s="97" t="s">
        <v>2700</v>
      </c>
      <c r="C306" s="97">
        <v>2420</v>
      </c>
      <c r="D306" s="97">
        <v>2400</v>
      </c>
      <c r="E306" s="97">
        <v>2380</v>
      </c>
      <c r="F306" s="136"/>
    </row>
    <row r="307" s="119" customFormat="1" ht="14.25" customHeight="1" spans="1:6">
      <c r="A307" s="93" t="s">
        <v>291</v>
      </c>
      <c r="B307" s="97" t="s">
        <v>2710</v>
      </c>
      <c r="C307" s="97">
        <v>2770</v>
      </c>
      <c r="D307" s="97">
        <v>2740</v>
      </c>
      <c r="E307" s="97">
        <v>2710</v>
      </c>
      <c r="F307" s="133">
        <v>650</v>
      </c>
    </row>
    <row r="308" s="119" customFormat="1" ht="14.25" customHeight="1" spans="1:6">
      <c r="A308" s="93" t="s">
        <v>291</v>
      </c>
      <c r="B308" s="97" t="s">
        <v>2720</v>
      </c>
      <c r="C308" s="97">
        <v>2610</v>
      </c>
      <c r="D308" s="97">
        <v>2580</v>
      </c>
      <c r="E308" s="97">
        <v>2550</v>
      </c>
      <c r="F308" s="133">
        <v>580</v>
      </c>
    </row>
    <row r="309" s="119" customFormat="1" ht="14.25" customHeight="1" spans="1:6">
      <c r="A309" s="93" t="s">
        <v>291</v>
      </c>
      <c r="B309" s="97" t="s">
        <v>2730</v>
      </c>
      <c r="C309" s="97">
        <v>2690</v>
      </c>
      <c r="D309" s="97">
        <v>2670</v>
      </c>
      <c r="E309" s="97">
        <v>2650</v>
      </c>
      <c r="F309" s="136"/>
    </row>
    <row r="310" s="119" customFormat="1" ht="14.25" customHeight="1" spans="1:6">
      <c r="A310" s="93" t="s">
        <v>291</v>
      </c>
      <c r="B310" s="97" t="s">
        <v>2739</v>
      </c>
      <c r="C310" s="97">
        <v>2360</v>
      </c>
      <c r="D310" s="97">
        <v>2330</v>
      </c>
      <c r="E310" s="97">
        <v>2310</v>
      </c>
      <c r="F310" s="133">
        <v>560</v>
      </c>
    </row>
    <row r="311" s="119" customFormat="1" ht="14.25" customHeight="1" spans="1:6">
      <c r="A311" s="93" t="s">
        <v>291</v>
      </c>
      <c r="B311" s="97" t="s">
        <v>2747</v>
      </c>
      <c r="C311" s="97">
        <v>1970</v>
      </c>
      <c r="D311" s="97">
        <v>1950</v>
      </c>
      <c r="E311" s="97">
        <v>1920</v>
      </c>
      <c r="F311" s="133">
        <v>470</v>
      </c>
    </row>
    <row r="312" s="119" customFormat="1" ht="14.25" customHeight="1" spans="1:6">
      <c r="A312" s="93" t="s">
        <v>291</v>
      </c>
      <c r="B312" s="97" t="s">
        <v>2755</v>
      </c>
      <c r="C312" s="97">
        <v>2230</v>
      </c>
      <c r="D312" s="97">
        <v>2200</v>
      </c>
      <c r="E312" s="97">
        <v>2170</v>
      </c>
      <c r="F312" s="133">
        <v>460</v>
      </c>
    </row>
    <row r="313" s="119" customFormat="1" ht="14.25" customHeight="1" spans="1:6">
      <c r="A313" s="93" t="s">
        <v>291</v>
      </c>
      <c r="B313" s="97" t="s">
        <v>2762</v>
      </c>
      <c r="C313" s="97">
        <v>2770</v>
      </c>
      <c r="D313" s="97">
        <v>2740</v>
      </c>
      <c r="E313" s="97">
        <v>2710</v>
      </c>
      <c r="F313" s="133">
        <v>610</v>
      </c>
    </row>
    <row r="314" s="119" customFormat="1" ht="14.25" customHeight="1" spans="1:6">
      <c r="A314" s="93" t="s">
        <v>291</v>
      </c>
      <c r="B314" s="97" t="s">
        <v>2769</v>
      </c>
      <c r="C314" s="97"/>
      <c r="D314" s="97"/>
      <c r="E314" s="97"/>
      <c r="F314" s="133">
        <v>490</v>
      </c>
    </row>
    <row r="315" s="119" customFormat="1" ht="14.25" customHeight="1" spans="1:6">
      <c r="A315" s="93" t="s">
        <v>291</v>
      </c>
      <c r="B315" s="97" t="s">
        <v>2776</v>
      </c>
      <c r="C315" s="97"/>
      <c r="D315" s="97"/>
      <c r="E315" s="97"/>
      <c r="F315" s="133">
        <v>520</v>
      </c>
    </row>
    <row r="316" s="119" customFormat="1" ht="14.25" customHeight="1" spans="1:6">
      <c r="A316" s="93" t="s">
        <v>291</v>
      </c>
      <c r="B316" s="108" t="s">
        <v>2783</v>
      </c>
      <c r="C316" s="108"/>
      <c r="D316" s="108"/>
      <c r="E316" s="108"/>
      <c r="F316" s="135">
        <v>460</v>
      </c>
    </row>
    <row r="317" s="119" customFormat="1" ht="14.25" customHeight="1" spans="1:6">
      <c r="A317" s="93" t="s">
        <v>294</v>
      </c>
      <c r="B317" s="94" t="s">
        <v>2538</v>
      </c>
      <c r="C317" s="94">
        <v>1200</v>
      </c>
      <c r="D317" s="94">
        <v>1180</v>
      </c>
      <c r="E317" s="94">
        <v>1160</v>
      </c>
      <c r="F317" s="130">
        <v>370</v>
      </c>
    </row>
    <row r="318" s="119" customFormat="1" ht="14.25" customHeight="1" spans="1:6">
      <c r="A318" s="93" t="s">
        <v>294</v>
      </c>
      <c r="B318" s="97" t="s">
        <v>2551</v>
      </c>
      <c r="C318" s="97">
        <v>1090</v>
      </c>
      <c r="D318" s="97">
        <v>1060</v>
      </c>
      <c r="E318" s="97">
        <v>1040</v>
      </c>
      <c r="F318" s="136"/>
    </row>
    <row r="319" s="119" customFormat="1" ht="14.25" customHeight="1" spans="1:6">
      <c r="A319" s="93" t="s">
        <v>294</v>
      </c>
      <c r="B319" s="97" t="s">
        <v>2565</v>
      </c>
      <c r="C319" s="97">
        <v>1520</v>
      </c>
      <c r="D319" s="97">
        <v>1470</v>
      </c>
      <c r="E319" s="97">
        <v>1440</v>
      </c>
      <c r="F319" s="133">
        <v>370</v>
      </c>
    </row>
    <row r="320" s="119" customFormat="1" ht="14.25" customHeight="1" spans="1:6">
      <c r="A320" s="93" t="s">
        <v>294</v>
      </c>
      <c r="B320" s="97" t="s">
        <v>2577</v>
      </c>
      <c r="C320" s="97">
        <v>1360</v>
      </c>
      <c r="D320" s="97">
        <v>1300</v>
      </c>
      <c r="E320" s="97">
        <v>1270</v>
      </c>
      <c r="F320" s="136"/>
    </row>
    <row r="321" s="119" customFormat="1" ht="14.25" customHeight="1" spans="1:6">
      <c r="A321" s="93" t="s">
        <v>294</v>
      </c>
      <c r="B321" s="97" t="s">
        <v>2589</v>
      </c>
      <c r="C321" s="97">
        <v>1750</v>
      </c>
      <c r="D321" s="97">
        <v>1690</v>
      </c>
      <c r="E321" s="97">
        <v>1660</v>
      </c>
      <c r="F321" s="136"/>
    </row>
    <row r="322" s="119" customFormat="1" ht="14.25" customHeight="1" spans="1:6">
      <c r="A322" s="93" t="s">
        <v>294</v>
      </c>
      <c r="B322" s="97" t="s">
        <v>2600</v>
      </c>
      <c r="C322" s="97">
        <v>1650</v>
      </c>
      <c r="D322" s="97">
        <v>1610</v>
      </c>
      <c r="E322" s="97">
        <v>1580</v>
      </c>
      <c r="F322" s="133">
        <v>500</v>
      </c>
    </row>
    <row r="323" s="119" customFormat="1" ht="14.25" customHeight="1" spans="1:6">
      <c r="A323" s="93" t="s">
        <v>294</v>
      </c>
      <c r="B323" s="97" t="s">
        <v>2611</v>
      </c>
      <c r="C323" s="97">
        <v>1780</v>
      </c>
      <c r="D323" s="97">
        <v>1740</v>
      </c>
      <c r="E323" s="97">
        <v>1720</v>
      </c>
      <c r="F323" s="136"/>
    </row>
    <row r="324" s="119" customFormat="1" ht="14.25" customHeight="1" spans="1:6">
      <c r="A324" s="93" t="s">
        <v>294</v>
      </c>
      <c r="B324" s="97" t="s">
        <v>2622</v>
      </c>
      <c r="C324" s="97">
        <v>1650</v>
      </c>
      <c r="D324" s="97">
        <v>1610</v>
      </c>
      <c r="E324" s="97">
        <v>1580</v>
      </c>
      <c r="F324" s="136"/>
    </row>
    <row r="325" s="119" customFormat="1" ht="14.25" customHeight="1" spans="1:6">
      <c r="A325" s="93" t="s">
        <v>294</v>
      </c>
      <c r="B325" s="97" t="s">
        <v>2632</v>
      </c>
      <c r="C325" s="97">
        <v>1330</v>
      </c>
      <c r="D325" s="97">
        <v>1270</v>
      </c>
      <c r="E325" s="97">
        <v>1240</v>
      </c>
      <c r="F325" s="133">
        <v>430</v>
      </c>
    </row>
    <row r="326" s="119" customFormat="1" ht="14.25" customHeight="1" spans="1:6">
      <c r="A326" s="93" t="s">
        <v>294</v>
      </c>
      <c r="B326" s="97" t="s">
        <v>2642</v>
      </c>
      <c r="C326" s="97">
        <v>1470</v>
      </c>
      <c r="D326" s="97">
        <v>1430</v>
      </c>
      <c r="E326" s="97">
        <v>1400</v>
      </c>
      <c r="F326" s="136"/>
    </row>
    <row r="327" s="119" customFormat="1" ht="14.25" customHeight="1" spans="1:6">
      <c r="A327" s="93" t="s">
        <v>294</v>
      </c>
      <c r="B327" s="97" t="s">
        <v>2652</v>
      </c>
      <c r="C327" s="97">
        <v>1420</v>
      </c>
      <c r="D327" s="97">
        <v>1380</v>
      </c>
      <c r="E327" s="97">
        <v>1360</v>
      </c>
      <c r="F327" s="133">
        <v>420</v>
      </c>
    </row>
    <row r="328" s="119" customFormat="1" ht="14.25" customHeight="1" spans="1:6">
      <c r="A328" s="93" t="s">
        <v>294</v>
      </c>
      <c r="B328" s="97" t="s">
        <v>2662</v>
      </c>
      <c r="C328" s="97">
        <v>1400</v>
      </c>
      <c r="D328" s="97">
        <v>1360</v>
      </c>
      <c r="E328" s="97">
        <v>1330</v>
      </c>
      <c r="F328" s="133">
        <v>460</v>
      </c>
    </row>
    <row r="329" s="119" customFormat="1" ht="14.25" customHeight="1" spans="1:6">
      <c r="A329" s="93" t="s">
        <v>294</v>
      </c>
      <c r="B329" s="97" t="s">
        <v>2672</v>
      </c>
      <c r="C329" s="97">
        <v>1640</v>
      </c>
      <c r="D329" s="97">
        <v>1610</v>
      </c>
      <c r="E329" s="97">
        <v>1580</v>
      </c>
      <c r="F329" s="133">
        <v>410</v>
      </c>
    </row>
    <row r="330" s="119" customFormat="1" ht="14.25" customHeight="1" spans="1:6">
      <c r="A330" s="93" t="s">
        <v>294</v>
      </c>
      <c r="B330" s="97" t="s">
        <v>2682</v>
      </c>
      <c r="C330" s="97">
        <v>1260</v>
      </c>
      <c r="D330" s="97">
        <v>1220</v>
      </c>
      <c r="E330" s="97">
        <v>1200</v>
      </c>
      <c r="F330" s="136"/>
    </row>
    <row r="331" s="119" customFormat="1" ht="14.25" customHeight="1" spans="1:6">
      <c r="A331" s="93" t="s">
        <v>294</v>
      </c>
      <c r="B331" s="97" t="s">
        <v>2691</v>
      </c>
      <c r="C331" s="97">
        <v>1620</v>
      </c>
      <c r="D331" s="97">
        <v>1560</v>
      </c>
      <c r="E331" s="97">
        <v>1530</v>
      </c>
      <c r="F331" s="133">
        <v>490</v>
      </c>
    </row>
    <row r="332" s="119" customFormat="1" ht="14.25" customHeight="1" spans="1:6">
      <c r="A332" s="93" t="s">
        <v>294</v>
      </c>
      <c r="B332" s="97" t="s">
        <v>2701</v>
      </c>
      <c r="C332" s="97">
        <v>1520</v>
      </c>
      <c r="D332" s="97">
        <v>1470</v>
      </c>
      <c r="E332" s="97">
        <v>1440</v>
      </c>
      <c r="F332" s="133">
        <v>440</v>
      </c>
    </row>
    <row r="333" s="119" customFormat="1" ht="14.25" customHeight="1" spans="1:6">
      <c r="A333" s="93" t="s">
        <v>294</v>
      </c>
      <c r="B333" s="97" t="s">
        <v>2711</v>
      </c>
      <c r="C333" s="97">
        <v>1370</v>
      </c>
      <c r="D333" s="97">
        <v>1320</v>
      </c>
      <c r="E333" s="97">
        <v>1300</v>
      </c>
      <c r="F333" s="133">
        <v>460</v>
      </c>
    </row>
    <row r="334" s="119" customFormat="1" ht="14.25" customHeight="1" spans="1:6">
      <c r="A334" s="93" t="s">
        <v>294</v>
      </c>
      <c r="B334" s="97" t="s">
        <v>2721</v>
      </c>
      <c r="C334" s="97">
        <v>1410</v>
      </c>
      <c r="D334" s="97">
        <v>1340</v>
      </c>
      <c r="E334" s="97">
        <v>1310</v>
      </c>
      <c r="F334" s="133">
        <v>410</v>
      </c>
    </row>
    <row r="335" s="119" customFormat="1" ht="14.25" customHeight="1" spans="1:6">
      <c r="A335" s="93" t="s">
        <v>294</v>
      </c>
      <c r="B335" s="97" t="s">
        <v>2731</v>
      </c>
      <c r="C335" s="97">
        <v>1260</v>
      </c>
      <c r="D335" s="97">
        <v>1220</v>
      </c>
      <c r="E335" s="97">
        <v>1200</v>
      </c>
      <c r="F335" s="136"/>
    </row>
    <row r="336" s="119" customFormat="1" ht="14.25" customHeight="1" spans="1:6">
      <c r="A336" s="93" t="s">
        <v>294</v>
      </c>
      <c r="B336" s="97" t="s">
        <v>2740</v>
      </c>
      <c r="C336" s="97">
        <v>1160</v>
      </c>
      <c r="D336" s="97">
        <v>1140</v>
      </c>
      <c r="E336" s="97">
        <v>1120</v>
      </c>
      <c r="F336" s="133">
        <v>430</v>
      </c>
    </row>
    <row r="337" s="119" customFormat="1" ht="14.25" customHeight="1" spans="1:6">
      <c r="A337" s="93" t="s">
        <v>294</v>
      </c>
      <c r="B337" s="108" t="s">
        <v>2748</v>
      </c>
      <c r="C337" s="108"/>
      <c r="D337" s="108"/>
      <c r="E337" s="108"/>
      <c r="F337" s="135">
        <v>380</v>
      </c>
    </row>
    <row r="338" s="119" customFormat="1" ht="14.25" customHeight="1" spans="1:6">
      <c r="A338" s="93" t="s">
        <v>297</v>
      </c>
      <c r="B338" s="94" t="s">
        <v>2539</v>
      </c>
      <c r="C338" s="94">
        <v>880</v>
      </c>
      <c r="D338" s="94">
        <v>850</v>
      </c>
      <c r="E338" s="94">
        <v>830</v>
      </c>
      <c r="F338" s="140"/>
    </row>
    <row r="339" s="119" customFormat="1" ht="14.25" customHeight="1" spans="1:6">
      <c r="A339" s="93" t="s">
        <v>297</v>
      </c>
      <c r="B339" s="97" t="s">
        <v>2552</v>
      </c>
      <c r="C339" s="97">
        <v>830</v>
      </c>
      <c r="D339" s="97">
        <v>800</v>
      </c>
      <c r="E339" s="97">
        <v>780</v>
      </c>
      <c r="F339" s="136"/>
    </row>
    <row r="340" s="119" customFormat="1" ht="14.25" customHeight="1" spans="1:6">
      <c r="A340" s="93" t="s">
        <v>297</v>
      </c>
      <c r="B340" s="97" t="s">
        <v>2566</v>
      </c>
      <c r="C340" s="97">
        <v>980</v>
      </c>
      <c r="D340" s="97">
        <v>950</v>
      </c>
      <c r="E340" s="97">
        <v>920</v>
      </c>
      <c r="F340" s="136"/>
    </row>
    <row r="341" s="119" customFormat="1" ht="14.25" customHeight="1" spans="1:6">
      <c r="A341" s="93" t="s">
        <v>297</v>
      </c>
      <c r="B341" s="97" t="s">
        <v>2578</v>
      </c>
      <c r="C341" s="97">
        <v>760</v>
      </c>
      <c r="D341" s="97">
        <v>720</v>
      </c>
      <c r="E341" s="97">
        <v>690</v>
      </c>
      <c r="F341" s="133">
        <v>350</v>
      </c>
    </row>
    <row r="342" s="119" customFormat="1" ht="14.25" customHeight="1" spans="1:6">
      <c r="A342" s="93" t="s">
        <v>297</v>
      </c>
      <c r="B342" s="97" t="s">
        <v>2590</v>
      </c>
      <c r="C342" s="97">
        <v>910</v>
      </c>
      <c r="D342" s="97">
        <v>870</v>
      </c>
      <c r="E342" s="97">
        <v>850</v>
      </c>
      <c r="F342" s="133">
        <v>370</v>
      </c>
    </row>
    <row r="343" s="119" customFormat="1" ht="14.25" customHeight="1" spans="1:6">
      <c r="A343" s="93" t="s">
        <v>297</v>
      </c>
      <c r="B343" s="97" t="s">
        <v>2601</v>
      </c>
      <c r="C343" s="97">
        <v>800</v>
      </c>
      <c r="D343" s="97">
        <v>760</v>
      </c>
      <c r="E343" s="97">
        <v>730</v>
      </c>
      <c r="F343" s="133">
        <v>340</v>
      </c>
    </row>
    <row r="344" s="119" customFormat="1" ht="14.25" customHeight="1" spans="1:6">
      <c r="A344" s="93" t="s">
        <v>297</v>
      </c>
      <c r="B344" s="108" t="s">
        <v>2612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2870</v>
      </c>
      <c r="B1" s="89"/>
    </row>
    <row r="2" ht="14.25" spans="1:2">
      <c r="A2" s="89"/>
      <c r="B2" s="89"/>
    </row>
    <row r="3" ht="14.25" spans="1:6">
      <c r="A3" s="89"/>
      <c r="B3" s="89"/>
      <c r="C3" s="90" t="s">
        <v>459</v>
      </c>
      <c r="D3" s="90" t="s">
        <v>2137</v>
      </c>
      <c r="E3" s="90" t="s">
        <v>2138</v>
      </c>
      <c r="F3" s="90" t="s">
        <v>2139</v>
      </c>
    </row>
    <row r="4" ht="14.25" spans="1:6">
      <c r="A4" s="91" t="s">
        <v>2540</v>
      </c>
      <c r="B4" s="92" t="s">
        <v>2553</v>
      </c>
      <c r="C4" s="90"/>
      <c r="D4" s="90"/>
      <c r="E4" s="90"/>
      <c r="F4" s="90"/>
    </row>
    <row r="5" ht="14.25" spans="1:6">
      <c r="A5" s="93" t="s">
        <v>232</v>
      </c>
      <c r="B5" s="94" t="s">
        <v>2528</v>
      </c>
      <c r="C5" s="95">
        <v>0.089</v>
      </c>
      <c r="D5" s="95">
        <v>0.074</v>
      </c>
      <c r="E5" s="95">
        <v>0.075</v>
      </c>
      <c r="F5" s="96">
        <v>0.1</v>
      </c>
    </row>
    <row r="6" ht="14.25" spans="1:6">
      <c r="A6" s="93" t="s">
        <v>232</v>
      </c>
      <c r="B6" s="97" t="s">
        <v>2541</v>
      </c>
      <c r="C6" s="98">
        <v>0.1</v>
      </c>
      <c r="D6" s="98">
        <v>0.091</v>
      </c>
      <c r="E6" s="98">
        <v>0.091</v>
      </c>
      <c r="F6" s="99">
        <v>0.1</v>
      </c>
    </row>
    <row r="7" ht="14.25" spans="1:6">
      <c r="A7" s="93" t="s">
        <v>232</v>
      </c>
      <c r="B7" s="100" t="s">
        <v>2555</v>
      </c>
      <c r="C7" s="98">
        <v>0.086</v>
      </c>
      <c r="D7" s="98">
        <v>0.096</v>
      </c>
      <c r="E7" s="98">
        <v>0.076</v>
      </c>
      <c r="F7" s="99">
        <v>0.1</v>
      </c>
    </row>
    <row r="8" ht="14.25" spans="1:6">
      <c r="A8" s="93" t="s">
        <v>232</v>
      </c>
      <c r="B8" s="97" t="s">
        <v>2567</v>
      </c>
      <c r="C8" s="98">
        <v>0.099</v>
      </c>
      <c r="D8" s="98">
        <v>0.098</v>
      </c>
      <c r="E8" s="98">
        <v>0.098</v>
      </c>
      <c r="F8" s="99">
        <v>0.1</v>
      </c>
    </row>
    <row r="9" ht="14.25" spans="1:6">
      <c r="A9" s="101" t="s">
        <v>232</v>
      </c>
      <c r="B9" s="102" t="s">
        <v>2579</v>
      </c>
      <c r="C9" s="103">
        <v>0.05</v>
      </c>
      <c r="D9" s="104"/>
      <c r="E9" s="104"/>
      <c r="F9" s="105"/>
    </row>
    <row r="10" ht="14.25" spans="1:6">
      <c r="A10" s="93" t="s">
        <v>243</v>
      </c>
      <c r="B10" s="94" t="s">
        <v>2529</v>
      </c>
      <c r="C10" s="95">
        <v>0.089</v>
      </c>
      <c r="D10" s="95">
        <v>0.073</v>
      </c>
      <c r="E10" s="95">
        <v>0.082</v>
      </c>
      <c r="F10" s="96">
        <v>0.1</v>
      </c>
    </row>
    <row r="11" ht="14.25" spans="1:6">
      <c r="A11" s="93" t="s">
        <v>243</v>
      </c>
      <c r="B11" s="100" t="s">
        <v>2542</v>
      </c>
      <c r="C11" s="98">
        <v>0.089</v>
      </c>
      <c r="D11" s="98">
        <v>0.073</v>
      </c>
      <c r="E11" s="98">
        <v>0.082</v>
      </c>
      <c r="F11" s="99">
        <v>0.1</v>
      </c>
    </row>
    <row r="12" ht="14.25" spans="1:6">
      <c r="A12" s="93" t="s">
        <v>243</v>
      </c>
      <c r="B12" s="100" t="s">
        <v>2556</v>
      </c>
      <c r="C12" s="98">
        <v>0.061</v>
      </c>
      <c r="D12" s="98">
        <v>0.071</v>
      </c>
      <c r="E12" s="98">
        <v>0.096</v>
      </c>
      <c r="F12" s="99">
        <v>0.1</v>
      </c>
    </row>
    <row r="13" ht="14.25" spans="1:6">
      <c r="A13" s="93" t="s">
        <v>243</v>
      </c>
      <c r="B13" s="100" t="s">
        <v>2568</v>
      </c>
      <c r="C13" s="98">
        <v>0.069</v>
      </c>
      <c r="D13" s="98">
        <v>0.065</v>
      </c>
      <c r="E13" s="98">
        <v>0.066</v>
      </c>
      <c r="F13" s="99">
        <v>0.1</v>
      </c>
    </row>
    <row r="14" ht="14.25" spans="1:6">
      <c r="A14" s="93" t="s">
        <v>243</v>
      </c>
      <c r="B14" s="100" t="s">
        <v>2580</v>
      </c>
      <c r="C14" s="98">
        <v>0.1</v>
      </c>
      <c r="D14" s="98">
        <v>0.065</v>
      </c>
      <c r="E14" s="98">
        <v>0.07</v>
      </c>
      <c r="F14" s="99">
        <v>0.1</v>
      </c>
    </row>
    <row r="15" ht="14.25" spans="1:6">
      <c r="A15" s="93" t="s">
        <v>243</v>
      </c>
      <c r="B15" s="100" t="s">
        <v>2591</v>
      </c>
      <c r="C15" s="98">
        <v>0.098</v>
      </c>
      <c r="D15" s="98">
        <v>0.089</v>
      </c>
      <c r="E15" s="98">
        <v>0.089</v>
      </c>
      <c r="F15" s="99">
        <v>0.1</v>
      </c>
    </row>
    <row r="16" ht="14.25" spans="1:6">
      <c r="A16" s="93" t="s">
        <v>243</v>
      </c>
      <c r="B16" s="100" t="s">
        <v>2602</v>
      </c>
      <c r="C16" s="98">
        <v>0.07</v>
      </c>
      <c r="D16" s="98">
        <v>0.093</v>
      </c>
      <c r="E16" s="98">
        <v>0.096</v>
      </c>
      <c r="F16" s="99">
        <v>0.1</v>
      </c>
    </row>
    <row r="17" ht="14.25" spans="1:6">
      <c r="A17" s="93" t="s">
        <v>243</v>
      </c>
      <c r="B17" s="100" t="s">
        <v>2613</v>
      </c>
      <c r="C17" s="98">
        <v>0.095</v>
      </c>
      <c r="D17" s="98">
        <v>0.1</v>
      </c>
      <c r="E17" s="98">
        <v>0.1</v>
      </c>
      <c r="F17" s="106"/>
    </row>
    <row r="18" ht="14.25" spans="1:6">
      <c r="A18" s="93" t="s">
        <v>243</v>
      </c>
      <c r="B18" s="100" t="s">
        <v>2623</v>
      </c>
      <c r="C18" s="98">
        <v>0.074</v>
      </c>
      <c r="D18" s="98">
        <v>0.099</v>
      </c>
      <c r="E18" s="98">
        <v>0.1</v>
      </c>
      <c r="F18" s="106"/>
    </row>
    <row r="19" ht="14.25" spans="1:6">
      <c r="A19" s="93" t="s">
        <v>243</v>
      </c>
      <c r="B19" s="100" t="s">
        <v>2633</v>
      </c>
      <c r="C19" s="98">
        <v>0.099</v>
      </c>
      <c r="D19" s="98">
        <v>0.076</v>
      </c>
      <c r="E19" s="98">
        <v>0.087</v>
      </c>
      <c r="F19" s="106"/>
    </row>
    <row r="20" ht="14.25" spans="1:6">
      <c r="A20" s="93" t="s">
        <v>243</v>
      </c>
      <c r="B20" s="100" t="s">
        <v>2643</v>
      </c>
      <c r="C20" s="98">
        <v>0.098</v>
      </c>
      <c r="D20" s="98">
        <v>0.085</v>
      </c>
      <c r="E20" s="98">
        <v>0.082</v>
      </c>
      <c r="F20" s="106"/>
    </row>
    <row r="21" ht="14.25" spans="1:6">
      <c r="A21" s="93" t="s">
        <v>243</v>
      </c>
      <c r="B21" s="100" t="s">
        <v>2653</v>
      </c>
      <c r="C21" s="98">
        <v>0.066</v>
      </c>
      <c r="D21" s="98">
        <v>0.064</v>
      </c>
      <c r="E21" s="98">
        <v>0.065</v>
      </c>
      <c r="F21" s="106"/>
    </row>
    <row r="22" ht="14.25" spans="1:6">
      <c r="A22" s="93" t="s">
        <v>243</v>
      </c>
      <c r="B22" s="100" t="s">
        <v>2663</v>
      </c>
      <c r="C22" s="98">
        <v>0.08</v>
      </c>
      <c r="D22" s="98">
        <v>0.098</v>
      </c>
      <c r="E22" s="98">
        <v>0.098</v>
      </c>
      <c r="F22" s="106"/>
    </row>
    <row r="23" ht="14.25" spans="1:6">
      <c r="A23" s="93" t="s">
        <v>243</v>
      </c>
      <c r="B23" s="100" t="s">
        <v>2673</v>
      </c>
      <c r="C23" s="98">
        <v>0.099</v>
      </c>
      <c r="D23" s="98">
        <v>0.098</v>
      </c>
      <c r="E23" s="98">
        <v>0.091</v>
      </c>
      <c r="F23" s="106"/>
    </row>
    <row r="24" ht="14.25" spans="1:6">
      <c r="A24" s="93" t="s">
        <v>243</v>
      </c>
      <c r="B24" s="100" t="s">
        <v>2683</v>
      </c>
      <c r="C24" s="98">
        <v>0.089</v>
      </c>
      <c r="D24" s="98">
        <v>0.097</v>
      </c>
      <c r="E24" s="98">
        <v>0.07</v>
      </c>
      <c r="F24" s="106"/>
    </row>
    <row r="25" ht="14.25" spans="1:6">
      <c r="A25" s="93" t="s">
        <v>243</v>
      </c>
      <c r="B25" s="100" t="s">
        <v>2692</v>
      </c>
      <c r="C25" s="98">
        <v>0.089</v>
      </c>
      <c r="D25" s="98">
        <v>0.1</v>
      </c>
      <c r="E25" s="98">
        <v>0.081</v>
      </c>
      <c r="F25" s="106"/>
    </row>
    <row r="26" ht="14.25" spans="1:6">
      <c r="A26" s="93" t="s">
        <v>243</v>
      </c>
      <c r="B26" s="100" t="s">
        <v>2702</v>
      </c>
      <c r="C26" s="107"/>
      <c r="D26" s="98">
        <v>0.096</v>
      </c>
      <c r="E26" s="98">
        <v>0.093</v>
      </c>
      <c r="F26" s="106"/>
    </row>
    <row r="27" ht="14.25" spans="1:6">
      <c r="A27" s="93" t="s">
        <v>243</v>
      </c>
      <c r="B27" s="100" t="s">
        <v>2712</v>
      </c>
      <c r="C27" s="107"/>
      <c r="D27" s="98">
        <v>0.076</v>
      </c>
      <c r="E27" s="98">
        <v>0.092</v>
      </c>
      <c r="F27" s="106"/>
    </row>
    <row r="28" ht="14.25" spans="1:6">
      <c r="A28" s="101" t="s">
        <v>243</v>
      </c>
      <c r="B28" s="102" t="s">
        <v>2722</v>
      </c>
      <c r="C28" s="104"/>
      <c r="D28" s="103">
        <v>0.076</v>
      </c>
      <c r="E28" s="103">
        <v>0.092</v>
      </c>
      <c r="F28" s="105"/>
    </row>
    <row r="29" ht="14.25" spans="1:6">
      <c r="A29" s="93" t="s">
        <v>253</v>
      </c>
      <c r="B29" s="94" t="s">
        <v>2530</v>
      </c>
      <c r="C29" s="95">
        <v>0.064</v>
      </c>
      <c r="D29" s="95">
        <v>0.065</v>
      </c>
      <c r="E29" s="95">
        <v>0.069</v>
      </c>
      <c r="F29" s="96">
        <v>0.1</v>
      </c>
    </row>
    <row r="30" ht="14.25" spans="1:6">
      <c r="A30" s="93" t="s">
        <v>253</v>
      </c>
      <c r="B30" s="100" t="s">
        <v>2543</v>
      </c>
      <c r="C30" s="98">
        <v>0.064</v>
      </c>
      <c r="D30" s="98">
        <v>0.099</v>
      </c>
      <c r="E30" s="98">
        <v>0.1</v>
      </c>
      <c r="F30" s="99">
        <v>0.1</v>
      </c>
    </row>
    <row r="31" ht="14.25" spans="1:6">
      <c r="A31" s="93" t="s">
        <v>253</v>
      </c>
      <c r="B31" s="100" t="s">
        <v>2557</v>
      </c>
      <c r="C31" s="98">
        <v>0.1</v>
      </c>
      <c r="D31" s="98">
        <v>0.095</v>
      </c>
      <c r="E31" s="98">
        <v>0.089</v>
      </c>
      <c r="F31" s="99">
        <v>0.1</v>
      </c>
    </row>
    <row r="32" ht="14.25" spans="1:6">
      <c r="A32" s="93" t="s">
        <v>253</v>
      </c>
      <c r="B32" s="100" t="s">
        <v>2569</v>
      </c>
      <c r="C32" s="98">
        <v>0.05</v>
      </c>
      <c r="D32" s="98">
        <v>0.05</v>
      </c>
      <c r="E32" s="98">
        <v>0.088</v>
      </c>
      <c r="F32" s="99">
        <v>0.1</v>
      </c>
    </row>
    <row r="33" ht="14.25" spans="1:6">
      <c r="A33" s="93" t="s">
        <v>253</v>
      </c>
      <c r="B33" s="100" t="s">
        <v>2581</v>
      </c>
      <c r="C33" s="98">
        <v>0.075</v>
      </c>
      <c r="D33" s="98">
        <v>0.094</v>
      </c>
      <c r="E33" s="98">
        <v>0.097</v>
      </c>
      <c r="F33" s="99">
        <v>0.1</v>
      </c>
    </row>
    <row r="34" ht="14.25" spans="1:6">
      <c r="A34" s="93" t="s">
        <v>253</v>
      </c>
      <c r="B34" s="100" t="s">
        <v>2592</v>
      </c>
      <c r="C34" s="98">
        <v>0.098</v>
      </c>
      <c r="D34" s="98">
        <v>0.086</v>
      </c>
      <c r="E34" s="98">
        <v>0.097</v>
      </c>
      <c r="F34" s="99">
        <v>0.1</v>
      </c>
    </row>
    <row r="35" ht="14.25" spans="1:6">
      <c r="A35" s="93" t="s">
        <v>253</v>
      </c>
      <c r="B35" s="100" t="s">
        <v>2603</v>
      </c>
      <c r="C35" s="98">
        <v>0.059</v>
      </c>
      <c r="D35" s="98">
        <v>0.065</v>
      </c>
      <c r="E35" s="98">
        <v>0.07</v>
      </c>
      <c r="F35" s="99">
        <v>0.1</v>
      </c>
    </row>
    <row r="36" ht="14.25" spans="1:6">
      <c r="A36" s="93" t="s">
        <v>253</v>
      </c>
      <c r="B36" s="100" t="s">
        <v>2614</v>
      </c>
      <c r="C36" s="98">
        <v>0.063</v>
      </c>
      <c r="D36" s="98">
        <v>0.1</v>
      </c>
      <c r="E36" s="98">
        <v>0.1</v>
      </c>
      <c r="F36" s="99">
        <v>0.1</v>
      </c>
    </row>
    <row r="37" ht="14.25" spans="1:6">
      <c r="A37" s="93" t="s">
        <v>253</v>
      </c>
      <c r="B37" s="100" t="s">
        <v>2624</v>
      </c>
      <c r="C37" s="98">
        <v>0.074</v>
      </c>
      <c r="D37" s="98">
        <v>0.1</v>
      </c>
      <c r="E37" s="98">
        <v>0.1</v>
      </c>
      <c r="F37" s="99">
        <v>0.1</v>
      </c>
    </row>
    <row r="38" ht="14.25" spans="1:6">
      <c r="A38" s="93" t="s">
        <v>253</v>
      </c>
      <c r="B38" s="100" t="s">
        <v>2634</v>
      </c>
      <c r="C38" s="98">
        <v>0.1</v>
      </c>
      <c r="D38" s="98">
        <v>0.096</v>
      </c>
      <c r="E38" s="98">
        <v>0.096</v>
      </c>
      <c r="F38" s="106"/>
    </row>
    <row r="39" ht="14.25" spans="1:6">
      <c r="A39" s="93" t="s">
        <v>253</v>
      </c>
      <c r="B39" s="100" t="s">
        <v>2644</v>
      </c>
      <c r="C39" s="98">
        <v>0.1</v>
      </c>
      <c r="D39" s="98">
        <v>0.096</v>
      </c>
      <c r="E39" s="98">
        <v>0.096</v>
      </c>
      <c r="F39" s="106"/>
    </row>
    <row r="40" ht="14.25" spans="1:6">
      <c r="A40" s="93" t="s">
        <v>253</v>
      </c>
      <c r="B40" s="100" t="s">
        <v>2654</v>
      </c>
      <c r="C40" s="98">
        <v>0.096</v>
      </c>
      <c r="D40" s="98">
        <v>0.1</v>
      </c>
      <c r="E40" s="98">
        <v>0.099</v>
      </c>
      <c r="F40" s="106"/>
    </row>
    <row r="41" ht="14.25" spans="1:6">
      <c r="A41" s="93" t="s">
        <v>253</v>
      </c>
      <c r="B41" s="100" t="s">
        <v>2664</v>
      </c>
      <c r="C41" s="98">
        <v>0.096</v>
      </c>
      <c r="D41" s="98">
        <v>0.098</v>
      </c>
      <c r="E41" s="98">
        <v>0.098</v>
      </c>
      <c r="F41" s="106"/>
    </row>
    <row r="42" ht="14.25" spans="1:6">
      <c r="A42" s="93" t="s">
        <v>253</v>
      </c>
      <c r="B42" s="100" t="s">
        <v>2674</v>
      </c>
      <c r="C42" s="98">
        <v>0.1</v>
      </c>
      <c r="D42" s="98">
        <v>0.088</v>
      </c>
      <c r="E42" s="98">
        <v>0.1</v>
      </c>
      <c r="F42" s="106"/>
    </row>
    <row r="43" ht="14.25" spans="1:6">
      <c r="A43" s="93" t="s">
        <v>253</v>
      </c>
      <c r="B43" s="100" t="s">
        <v>2684</v>
      </c>
      <c r="C43" s="98">
        <v>0.098</v>
      </c>
      <c r="D43" s="98">
        <v>0.097</v>
      </c>
      <c r="E43" s="98">
        <v>0.096</v>
      </c>
      <c r="F43" s="106"/>
    </row>
    <row r="44" ht="14.25" spans="1:6">
      <c r="A44" s="93" t="s">
        <v>253</v>
      </c>
      <c r="B44" s="100" t="s">
        <v>2693</v>
      </c>
      <c r="C44" s="98">
        <v>0.086</v>
      </c>
      <c r="D44" s="98">
        <v>0.079</v>
      </c>
      <c r="E44" s="98">
        <v>0.071</v>
      </c>
      <c r="F44" s="106"/>
    </row>
    <row r="45" ht="14.25" spans="1:6">
      <c r="A45" s="93" t="s">
        <v>253</v>
      </c>
      <c r="B45" s="100" t="s">
        <v>2703</v>
      </c>
      <c r="C45" s="98">
        <v>0.098</v>
      </c>
      <c r="D45" s="98">
        <v>0.096</v>
      </c>
      <c r="E45" s="98">
        <v>0.096</v>
      </c>
      <c r="F45" s="106"/>
    </row>
    <row r="46" ht="14.25" spans="1:6">
      <c r="A46" s="93" t="s">
        <v>253</v>
      </c>
      <c r="B46" s="100" t="s">
        <v>2713</v>
      </c>
      <c r="C46" s="98">
        <v>0.086</v>
      </c>
      <c r="D46" s="98">
        <v>0.098</v>
      </c>
      <c r="E46" s="98">
        <v>0.088</v>
      </c>
      <c r="F46" s="106"/>
    </row>
    <row r="47" ht="14.25" spans="1:6">
      <c r="A47" s="93" t="s">
        <v>253</v>
      </c>
      <c r="B47" s="100" t="s">
        <v>2723</v>
      </c>
      <c r="C47" s="98">
        <v>0.096</v>
      </c>
      <c r="D47" s="107"/>
      <c r="E47" s="98">
        <v>0.069</v>
      </c>
      <c r="F47" s="106"/>
    </row>
    <row r="48" ht="14.25" spans="1:6">
      <c r="A48" s="101" t="s">
        <v>253</v>
      </c>
      <c r="B48" s="102" t="s">
        <v>2732</v>
      </c>
      <c r="C48" s="103">
        <v>0.098</v>
      </c>
      <c r="D48" s="104"/>
      <c r="E48" s="103">
        <v>0.095</v>
      </c>
      <c r="F48" s="105"/>
    </row>
    <row r="49" ht="14.25" spans="1:6">
      <c r="A49" s="93" t="s">
        <v>261</v>
      </c>
      <c r="B49" s="94" t="s">
        <v>2531</v>
      </c>
      <c r="C49" s="95">
        <v>0.097</v>
      </c>
      <c r="D49" s="95">
        <v>0.095</v>
      </c>
      <c r="E49" s="95">
        <v>0.097</v>
      </c>
      <c r="F49" s="96">
        <v>0.1</v>
      </c>
    </row>
    <row r="50" ht="14.25" spans="1:6">
      <c r="A50" s="93" t="s">
        <v>261</v>
      </c>
      <c r="B50" s="97" t="s">
        <v>2544</v>
      </c>
      <c r="C50" s="98">
        <v>0.075</v>
      </c>
      <c r="D50" s="98">
        <v>0.095</v>
      </c>
      <c r="E50" s="98">
        <v>0.1</v>
      </c>
      <c r="F50" s="99">
        <v>0.1</v>
      </c>
    </row>
    <row r="51" ht="14.25" spans="1:6">
      <c r="A51" s="93" t="s">
        <v>261</v>
      </c>
      <c r="B51" s="97" t="s">
        <v>2558</v>
      </c>
      <c r="C51" s="98">
        <v>0.098</v>
      </c>
      <c r="D51" s="98">
        <v>0.089</v>
      </c>
      <c r="E51" s="98">
        <v>0.1</v>
      </c>
      <c r="F51" s="99">
        <v>0.1</v>
      </c>
    </row>
    <row r="52" ht="14.25" spans="1:6">
      <c r="A52" s="93" t="s">
        <v>261</v>
      </c>
      <c r="B52" s="97" t="s">
        <v>2570</v>
      </c>
      <c r="C52" s="98">
        <v>0.098</v>
      </c>
      <c r="D52" s="98">
        <v>0.097</v>
      </c>
      <c r="E52" s="98">
        <v>0.081</v>
      </c>
      <c r="F52" s="99">
        <v>0.1</v>
      </c>
    </row>
    <row r="53" ht="14.25" spans="1:6">
      <c r="A53" s="93" t="s">
        <v>261</v>
      </c>
      <c r="B53" s="97" t="s">
        <v>2582</v>
      </c>
      <c r="C53" s="98">
        <v>0.097</v>
      </c>
      <c r="D53" s="98">
        <v>0.076</v>
      </c>
      <c r="E53" s="98">
        <v>0.071</v>
      </c>
      <c r="F53" s="99">
        <v>0.1</v>
      </c>
    </row>
    <row r="54" ht="14.25" spans="1:6">
      <c r="A54" s="93" t="s">
        <v>261</v>
      </c>
      <c r="B54" s="97" t="s">
        <v>2593</v>
      </c>
      <c r="C54" s="98">
        <v>0.076</v>
      </c>
      <c r="D54" s="98">
        <v>0.1</v>
      </c>
      <c r="E54" s="98">
        <v>0.099</v>
      </c>
      <c r="F54" s="99">
        <v>0.1</v>
      </c>
    </row>
    <row r="55" ht="14.25" spans="1:6">
      <c r="A55" s="93" t="s">
        <v>261</v>
      </c>
      <c r="B55" s="97" t="s">
        <v>2604</v>
      </c>
      <c r="C55" s="98">
        <v>0.1</v>
      </c>
      <c r="D55" s="98">
        <v>0.1</v>
      </c>
      <c r="E55" s="98">
        <v>0.096</v>
      </c>
      <c r="F55" s="99">
        <v>0.1</v>
      </c>
    </row>
    <row r="56" ht="14.25" spans="1:6">
      <c r="A56" s="93" t="s">
        <v>261</v>
      </c>
      <c r="B56" s="97" t="s">
        <v>2615</v>
      </c>
      <c r="C56" s="98">
        <v>0.1</v>
      </c>
      <c r="D56" s="98">
        <v>0.096</v>
      </c>
      <c r="E56" s="98">
        <v>0.052</v>
      </c>
      <c r="F56" s="99">
        <v>0.1</v>
      </c>
    </row>
    <row r="57" ht="14.25" spans="1:6">
      <c r="A57" s="93" t="s">
        <v>261</v>
      </c>
      <c r="B57" s="97" t="s">
        <v>2625</v>
      </c>
      <c r="C57" s="98">
        <v>0.097</v>
      </c>
      <c r="D57" s="98">
        <v>0.096</v>
      </c>
      <c r="E57" s="98">
        <v>0.096</v>
      </c>
      <c r="F57" s="99">
        <v>0.1</v>
      </c>
    </row>
    <row r="58" ht="14.25" spans="1:6">
      <c r="A58" s="93" t="s">
        <v>261</v>
      </c>
      <c r="B58" s="97" t="s">
        <v>2635</v>
      </c>
      <c r="C58" s="98">
        <v>0.096</v>
      </c>
      <c r="D58" s="98">
        <v>0.099</v>
      </c>
      <c r="E58" s="98">
        <v>0.096</v>
      </c>
      <c r="F58" s="99">
        <v>0.1</v>
      </c>
    </row>
    <row r="59" ht="14.25" spans="1:6">
      <c r="A59" s="93" t="s">
        <v>261</v>
      </c>
      <c r="B59" s="97" t="s">
        <v>2645</v>
      </c>
      <c r="C59" s="98">
        <v>0.072</v>
      </c>
      <c r="D59" s="98">
        <v>0.096</v>
      </c>
      <c r="E59" s="98">
        <v>0.071</v>
      </c>
      <c r="F59" s="99">
        <v>0.1</v>
      </c>
    </row>
    <row r="60" ht="14.25" spans="1:6">
      <c r="A60" s="93" t="s">
        <v>261</v>
      </c>
      <c r="B60" s="97" t="s">
        <v>2655</v>
      </c>
      <c r="C60" s="98">
        <v>0.096</v>
      </c>
      <c r="D60" s="98">
        <v>0.089</v>
      </c>
      <c r="E60" s="98">
        <v>0.096</v>
      </c>
      <c r="F60" s="99">
        <v>0.1</v>
      </c>
    </row>
    <row r="61" ht="14.25" spans="1:6">
      <c r="A61" s="93" t="s">
        <v>261</v>
      </c>
      <c r="B61" s="97" t="s">
        <v>2665</v>
      </c>
      <c r="C61" s="98">
        <v>0.089</v>
      </c>
      <c r="D61" s="98">
        <v>0.098</v>
      </c>
      <c r="E61" s="98">
        <v>0.088</v>
      </c>
      <c r="F61" s="106"/>
    </row>
    <row r="62" ht="14.25" spans="1:6">
      <c r="A62" s="93" t="s">
        <v>261</v>
      </c>
      <c r="B62" s="97" t="s">
        <v>2675</v>
      </c>
      <c r="C62" s="98">
        <v>0.098</v>
      </c>
      <c r="D62" s="98">
        <v>0.093</v>
      </c>
      <c r="E62" s="98">
        <v>0.097</v>
      </c>
      <c r="F62" s="106"/>
    </row>
    <row r="63" ht="14.25" spans="1:6">
      <c r="A63" s="93" t="s">
        <v>261</v>
      </c>
      <c r="B63" s="97" t="s">
        <v>2685</v>
      </c>
      <c r="C63" s="98">
        <v>0.096</v>
      </c>
      <c r="D63" s="98">
        <v>0.098</v>
      </c>
      <c r="E63" s="98">
        <v>0.09</v>
      </c>
      <c r="F63" s="106"/>
    </row>
    <row r="64" ht="14.25" spans="1:6">
      <c r="A64" s="93" t="s">
        <v>261</v>
      </c>
      <c r="B64" s="97" t="s">
        <v>2694</v>
      </c>
      <c r="C64" s="98">
        <v>0.099</v>
      </c>
      <c r="D64" s="98">
        <v>0.097</v>
      </c>
      <c r="E64" s="98">
        <v>0.099</v>
      </c>
      <c r="F64" s="106"/>
    </row>
    <row r="65" ht="14.25" spans="1:6">
      <c r="A65" s="93" t="s">
        <v>261</v>
      </c>
      <c r="B65" s="97" t="s">
        <v>2704</v>
      </c>
      <c r="C65" s="98">
        <v>0.098</v>
      </c>
      <c r="D65" s="98">
        <v>0.096</v>
      </c>
      <c r="E65" s="98">
        <v>0.096</v>
      </c>
      <c r="F65" s="106"/>
    </row>
    <row r="66" ht="14.25" spans="1:6">
      <c r="A66" s="93" t="s">
        <v>261</v>
      </c>
      <c r="B66" s="97" t="s">
        <v>2714</v>
      </c>
      <c r="C66" s="98">
        <v>0.096</v>
      </c>
      <c r="D66" s="98">
        <v>0.092</v>
      </c>
      <c r="E66" s="98">
        <v>0.096</v>
      </c>
      <c r="F66" s="106"/>
    </row>
    <row r="67" ht="14.25" spans="1:6">
      <c r="A67" s="93" t="s">
        <v>261</v>
      </c>
      <c r="B67" s="97" t="s">
        <v>2724</v>
      </c>
      <c r="C67" s="98">
        <v>0.094</v>
      </c>
      <c r="D67" s="98">
        <v>0.1</v>
      </c>
      <c r="E67" s="98">
        <v>0.088</v>
      </c>
      <c r="F67" s="106"/>
    </row>
    <row r="68" ht="14.25" spans="1:6">
      <c r="A68" s="93" t="s">
        <v>261</v>
      </c>
      <c r="B68" s="97" t="s">
        <v>2733</v>
      </c>
      <c r="C68" s="98">
        <v>0.1</v>
      </c>
      <c r="D68" s="98">
        <v>0.088</v>
      </c>
      <c r="E68" s="98">
        <v>0.097</v>
      </c>
      <c r="F68" s="106"/>
    </row>
    <row r="69" ht="14.25" spans="1:6">
      <c r="A69" s="93" t="s">
        <v>261</v>
      </c>
      <c r="B69" s="97" t="s">
        <v>2741</v>
      </c>
      <c r="C69" s="98">
        <v>0.064</v>
      </c>
      <c r="D69" s="98">
        <v>0.1</v>
      </c>
      <c r="E69" s="98">
        <v>0.1</v>
      </c>
      <c r="F69" s="106"/>
    </row>
    <row r="70" ht="14.25" spans="1:6">
      <c r="A70" s="93" t="s">
        <v>261</v>
      </c>
      <c r="B70" s="97" t="s">
        <v>2749</v>
      </c>
      <c r="C70" s="98">
        <v>0.091</v>
      </c>
      <c r="D70" s="107"/>
      <c r="E70" s="107"/>
      <c r="F70" s="106"/>
    </row>
    <row r="71" ht="14.25" spans="1:6">
      <c r="A71" s="93" t="s">
        <v>261</v>
      </c>
      <c r="B71" s="97" t="s">
        <v>2756</v>
      </c>
      <c r="C71" s="98">
        <v>0.1</v>
      </c>
      <c r="D71" s="107"/>
      <c r="E71" s="107"/>
      <c r="F71" s="106"/>
    </row>
    <row r="72" ht="14.25" spans="1:6">
      <c r="A72" s="93" t="s">
        <v>261</v>
      </c>
      <c r="B72" s="97" t="s">
        <v>2763</v>
      </c>
      <c r="C72" s="107"/>
      <c r="D72" s="107"/>
      <c r="E72" s="107"/>
      <c r="F72" s="99">
        <v>0.05</v>
      </c>
    </row>
    <row r="73" ht="14.25" spans="1:6">
      <c r="A73" s="93" t="s">
        <v>261</v>
      </c>
      <c r="B73" s="97" t="s">
        <v>2770</v>
      </c>
      <c r="C73" s="107"/>
      <c r="D73" s="107"/>
      <c r="E73" s="107"/>
      <c r="F73" s="99">
        <v>0.05</v>
      </c>
    </row>
    <row r="74" ht="14.25" spans="1:6">
      <c r="A74" s="93" t="s">
        <v>261</v>
      </c>
      <c r="B74" s="97" t="s">
        <v>2777</v>
      </c>
      <c r="C74" s="107"/>
      <c r="D74" s="107"/>
      <c r="E74" s="107"/>
      <c r="F74" s="99">
        <v>0.05</v>
      </c>
    </row>
    <row r="75" ht="14.25" spans="1:6">
      <c r="A75" s="101" t="s">
        <v>261</v>
      </c>
      <c r="B75" s="108" t="s">
        <v>2784</v>
      </c>
      <c r="C75" s="104"/>
      <c r="D75" s="104"/>
      <c r="E75" s="104"/>
      <c r="F75" s="109">
        <v>0.05</v>
      </c>
    </row>
    <row r="76" ht="14.25" spans="1:6">
      <c r="A76" s="93" t="s">
        <v>269</v>
      </c>
      <c r="B76" s="94" t="s">
        <v>2532</v>
      </c>
      <c r="C76" s="95">
        <v>0.1</v>
      </c>
      <c r="D76" s="95">
        <v>0.1</v>
      </c>
      <c r="E76" s="95">
        <v>0.1</v>
      </c>
      <c r="F76" s="96">
        <v>0.1</v>
      </c>
    </row>
    <row r="77" ht="14.25" spans="1:6">
      <c r="A77" s="93" t="s">
        <v>269</v>
      </c>
      <c r="B77" s="97" t="s">
        <v>2545</v>
      </c>
      <c r="C77" s="98">
        <v>0.088</v>
      </c>
      <c r="D77" s="98">
        <v>0.087</v>
      </c>
      <c r="E77" s="98">
        <v>0.079</v>
      </c>
      <c r="F77" s="99">
        <v>0.1</v>
      </c>
    </row>
    <row r="78" ht="14.25" spans="1:6">
      <c r="A78" s="93" t="s">
        <v>269</v>
      </c>
      <c r="B78" s="97" t="s">
        <v>2559</v>
      </c>
      <c r="C78" s="98">
        <v>0.087</v>
      </c>
      <c r="D78" s="98">
        <v>0.084</v>
      </c>
      <c r="E78" s="98">
        <v>0.096</v>
      </c>
      <c r="F78" s="99">
        <v>0.1</v>
      </c>
    </row>
    <row r="79" ht="14.25" spans="1:6">
      <c r="A79" s="93" t="s">
        <v>269</v>
      </c>
      <c r="B79" s="97" t="s">
        <v>2571</v>
      </c>
      <c r="C79" s="98">
        <v>0.098</v>
      </c>
      <c r="D79" s="98">
        <v>0.098</v>
      </c>
      <c r="E79" s="98">
        <v>0.091</v>
      </c>
      <c r="F79" s="99">
        <v>0.1</v>
      </c>
    </row>
    <row r="80" ht="14.25" spans="1:6">
      <c r="A80" s="93" t="s">
        <v>269</v>
      </c>
      <c r="B80" s="97" t="s">
        <v>2583</v>
      </c>
      <c r="C80" s="98">
        <v>0.096</v>
      </c>
      <c r="D80" s="98">
        <v>0.096</v>
      </c>
      <c r="E80" s="98">
        <v>0.1</v>
      </c>
      <c r="F80" s="99">
        <v>0.1</v>
      </c>
    </row>
    <row r="81" ht="14.25" spans="1:6">
      <c r="A81" s="93" t="s">
        <v>269</v>
      </c>
      <c r="B81" s="97" t="s">
        <v>2594</v>
      </c>
      <c r="C81" s="98">
        <v>0.099</v>
      </c>
      <c r="D81" s="98">
        <v>0.099</v>
      </c>
      <c r="E81" s="98">
        <v>0.098</v>
      </c>
      <c r="F81" s="99">
        <v>0.1</v>
      </c>
    </row>
    <row r="82" ht="14.25" spans="1:6">
      <c r="A82" s="93" t="s">
        <v>269</v>
      </c>
      <c r="B82" s="97" t="s">
        <v>2605</v>
      </c>
      <c r="C82" s="98">
        <v>0.099</v>
      </c>
      <c r="D82" s="98">
        <v>0.099</v>
      </c>
      <c r="E82" s="98">
        <v>0.097</v>
      </c>
      <c r="F82" s="99">
        <v>0.1</v>
      </c>
    </row>
    <row r="83" ht="14.25" spans="1:6">
      <c r="A83" s="93" t="s">
        <v>269</v>
      </c>
      <c r="B83" s="97" t="s">
        <v>2616</v>
      </c>
      <c r="C83" s="98">
        <v>0.098</v>
      </c>
      <c r="D83" s="98">
        <v>0.098</v>
      </c>
      <c r="E83" s="98">
        <v>0.098</v>
      </c>
      <c r="F83" s="99">
        <v>0.1</v>
      </c>
    </row>
    <row r="84" ht="14.25" spans="1:6">
      <c r="A84" s="93" t="s">
        <v>269</v>
      </c>
      <c r="B84" s="97" t="s">
        <v>2626</v>
      </c>
      <c r="C84" s="98">
        <v>0.099</v>
      </c>
      <c r="D84" s="98">
        <v>0.099</v>
      </c>
      <c r="E84" s="98">
        <v>0.099</v>
      </c>
      <c r="F84" s="99">
        <v>0.1</v>
      </c>
    </row>
    <row r="85" ht="14.25" spans="1:6">
      <c r="A85" s="93" t="s">
        <v>269</v>
      </c>
      <c r="B85" s="97" t="s">
        <v>2636</v>
      </c>
      <c r="C85" s="98">
        <v>0.099</v>
      </c>
      <c r="D85" s="98">
        <v>0.099</v>
      </c>
      <c r="E85" s="98">
        <v>0.099</v>
      </c>
      <c r="F85" s="99">
        <v>0.1</v>
      </c>
    </row>
    <row r="86" ht="14.25" spans="1:6">
      <c r="A86" s="93" t="s">
        <v>269</v>
      </c>
      <c r="B86" s="97" t="s">
        <v>2646</v>
      </c>
      <c r="C86" s="98">
        <v>0.1</v>
      </c>
      <c r="D86" s="98">
        <v>0.1</v>
      </c>
      <c r="E86" s="98">
        <v>0.077</v>
      </c>
      <c r="F86" s="99">
        <v>0.1</v>
      </c>
    </row>
    <row r="87" ht="14.25" spans="1:6">
      <c r="A87" s="93" t="s">
        <v>269</v>
      </c>
      <c r="B87" s="97" t="s">
        <v>2656</v>
      </c>
      <c r="C87" s="98">
        <v>0.1</v>
      </c>
      <c r="D87" s="98">
        <v>0.1</v>
      </c>
      <c r="E87" s="98">
        <v>0.098</v>
      </c>
      <c r="F87" s="106"/>
    </row>
    <row r="88" ht="14.25" spans="1:6">
      <c r="A88" s="93" t="s">
        <v>269</v>
      </c>
      <c r="B88" s="97" t="s">
        <v>2666</v>
      </c>
      <c r="C88" s="98">
        <v>0.092</v>
      </c>
      <c r="D88" s="98">
        <v>0.085</v>
      </c>
      <c r="E88" s="98">
        <v>0.096</v>
      </c>
      <c r="F88" s="106"/>
    </row>
    <row r="89" ht="14.25" spans="1:6">
      <c r="A89" s="93" t="s">
        <v>269</v>
      </c>
      <c r="B89" s="97" t="s">
        <v>2676</v>
      </c>
      <c r="C89" s="98">
        <v>0.1</v>
      </c>
      <c r="D89" s="98">
        <v>0.1</v>
      </c>
      <c r="E89" s="98">
        <v>0.097</v>
      </c>
      <c r="F89" s="106"/>
    </row>
    <row r="90" ht="14.25" spans="1:6">
      <c r="A90" s="93" t="s">
        <v>269</v>
      </c>
      <c r="B90" s="97" t="s">
        <v>2686</v>
      </c>
      <c r="C90" s="98">
        <v>0.098</v>
      </c>
      <c r="D90" s="98">
        <v>0.098</v>
      </c>
      <c r="E90" s="98">
        <v>0.088</v>
      </c>
      <c r="F90" s="106"/>
    </row>
    <row r="91" ht="14.25" spans="1:6">
      <c r="A91" s="93" t="s">
        <v>269</v>
      </c>
      <c r="B91" s="97" t="s">
        <v>2695</v>
      </c>
      <c r="C91" s="98">
        <v>0.099</v>
      </c>
      <c r="D91" s="98">
        <v>0.099</v>
      </c>
      <c r="E91" s="98">
        <v>0.091</v>
      </c>
      <c r="F91" s="106"/>
    </row>
    <row r="92" ht="14.25" spans="1:6">
      <c r="A92" s="93" t="s">
        <v>269</v>
      </c>
      <c r="B92" s="97" t="s">
        <v>2705</v>
      </c>
      <c r="C92" s="98">
        <v>0.096</v>
      </c>
      <c r="D92" s="98">
        <v>0.096</v>
      </c>
      <c r="E92" s="98">
        <v>0.073</v>
      </c>
      <c r="F92" s="106"/>
    </row>
    <row r="93" ht="14.25" spans="1:6">
      <c r="A93" s="93" t="s">
        <v>269</v>
      </c>
      <c r="B93" s="97" t="s">
        <v>2715</v>
      </c>
      <c r="C93" s="98">
        <v>0.096</v>
      </c>
      <c r="D93" s="98">
        <v>0.096</v>
      </c>
      <c r="E93" s="98">
        <v>0.099</v>
      </c>
      <c r="F93" s="106"/>
    </row>
    <row r="94" ht="14.25" spans="1:6">
      <c r="A94" s="93" t="s">
        <v>269</v>
      </c>
      <c r="B94" s="97" t="s">
        <v>2725</v>
      </c>
      <c r="C94" s="98">
        <v>0.076</v>
      </c>
      <c r="D94" s="98">
        <v>0.074</v>
      </c>
      <c r="E94" s="98">
        <v>0.097</v>
      </c>
      <c r="F94" s="106"/>
    </row>
    <row r="95" ht="14.25" spans="1:6">
      <c r="A95" s="93" t="s">
        <v>269</v>
      </c>
      <c r="B95" s="97" t="s">
        <v>2734</v>
      </c>
      <c r="C95" s="98">
        <v>0.099</v>
      </c>
      <c r="D95" s="98">
        <v>0.094</v>
      </c>
      <c r="E95" s="98">
        <v>0.096</v>
      </c>
      <c r="F95" s="106"/>
    </row>
    <row r="96" ht="14.25" spans="1:6">
      <c r="A96" s="93" t="s">
        <v>269</v>
      </c>
      <c r="B96" s="97" t="s">
        <v>2742</v>
      </c>
      <c r="C96" s="98">
        <v>0.099</v>
      </c>
      <c r="D96" s="98">
        <v>0.099</v>
      </c>
      <c r="E96" s="98">
        <v>0.099</v>
      </c>
      <c r="F96" s="106"/>
    </row>
    <row r="97" ht="14.25" spans="1:6">
      <c r="A97" s="93" t="s">
        <v>269</v>
      </c>
      <c r="B97" s="97" t="s">
        <v>2750</v>
      </c>
      <c r="C97" s="98">
        <v>0.098</v>
      </c>
      <c r="D97" s="98">
        <v>0.098</v>
      </c>
      <c r="E97" s="98">
        <v>0.097</v>
      </c>
      <c r="F97" s="106"/>
    </row>
    <row r="98" ht="14.25" spans="1:6">
      <c r="A98" s="93" t="s">
        <v>269</v>
      </c>
      <c r="B98" s="97" t="s">
        <v>2757</v>
      </c>
      <c r="C98" s="98">
        <v>0.1</v>
      </c>
      <c r="D98" s="98">
        <v>0.1</v>
      </c>
      <c r="E98" s="98">
        <v>0.097</v>
      </c>
      <c r="F98" s="106"/>
    </row>
    <row r="99" ht="14.25" spans="1:6">
      <c r="A99" s="93" t="s">
        <v>269</v>
      </c>
      <c r="B99" s="97" t="s">
        <v>2764</v>
      </c>
      <c r="C99" s="98">
        <v>0.1</v>
      </c>
      <c r="D99" s="98">
        <v>0.1</v>
      </c>
      <c r="E99" s="107"/>
      <c r="F99" s="106"/>
    </row>
    <row r="100" ht="14.25" spans="1:6">
      <c r="A100" s="93" t="s">
        <v>269</v>
      </c>
      <c r="B100" s="97" t="s">
        <v>2771</v>
      </c>
      <c r="C100" s="98">
        <v>0.09</v>
      </c>
      <c r="D100" s="98">
        <v>0.089</v>
      </c>
      <c r="E100" s="107"/>
      <c r="F100" s="106"/>
    </row>
    <row r="101" ht="14.25" spans="1:6">
      <c r="A101" s="93" t="s">
        <v>269</v>
      </c>
      <c r="B101" s="97" t="s">
        <v>2778</v>
      </c>
      <c r="C101" s="98">
        <v>0.098</v>
      </c>
      <c r="D101" s="98">
        <v>0.097</v>
      </c>
      <c r="E101" s="107"/>
      <c r="F101" s="106"/>
    </row>
    <row r="102" ht="14.25" spans="1:6">
      <c r="A102" s="93" t="s">
        <v>269</v>
      </c>
      <c r="B102" s="97" t="s">
        <v>2785</v>
      </c>
      <c r="C102" s="107"/>
      <c r="D102" s="107"/>
      <c r="E102" s="107"/>
      <c r="F102" s="99">
        <v>0.05</v>
      </c>
    </row>
    <row r="103" ht="24.75" spans="1:6">
      <c r="A103" s="93" t="s">
        <v>269</v>
      </c>
      <c r="B103" s="97" t="s">
        <v>2790</v>
      </c>
      <c r="C103" s="107"/>
      <c r="D103" s="107"/>
      <c r="E103" s="107"/>
      <c r="F103" s="99">
        <v>0.05</v>
      </c>
    </row>
    <row r="104" ht="14.25" spans="1:6">
      <c r="A104" s="93" t="s">
        <v>269</v>
      </c>
      <c r="B104" s="97" t="s">
        <v>2795</v>
      </c>
      <c r="C104" s="107"/>
      <c r="D104" s="107"/>
      <c r="E104" s="107"/>
      <c r="F104" s="99">
        <v>0.05</v>
      </c>
    </row>
    <row r="105" ht="14.25" spans="1:6">
      <c r="A105" s="93" t="s">
        <v>269</v>
      </c>
      <c r="B105" s="97" t="s">
        <v>2800</v>
      </c>
      <c r="C105" s="107"/>
      <c r="D105" s="107"/>
      <c r="E105" s="107"/>
      <c r="F105" s="99">
        <v>0.05</v>
      </c>
    </row>
    <row r="106" ht="14.25" spans="1:6">
      <c r="A106" s="93" t="s">
        <v>269</v>
      </c>
      <c r="B106" s="97" t="s">
        <v>2805</v>
      </c>
      <c r="C106" s="107"/>
      <c r="D106" s="107"/>
      <c r="E106" s="107"/>
      <c r="F106" s="99">
        <v>0.05</v>
      </c>
    </row>
    <row r="107" ht="24.75" spans="1:6">
      <c r="A107" s="93" t="s">
        <v>269</v>
      </c>
      <c r="B107" s="97" t="s">
        <v>2810</v>
      </c>
      <c r="C107" s="107"/>
      <c r="D107" s="107"/>
      <c r="E107" s="107"/>
      <c r="F107" s="99">
        <v>0.05</v>
      </c>
    </row>
    <row r="108" ht="24.75" spans="1:6">
      <c r="A108" s="93" t="s">
        <v>269</v>
      </c>
      <c r="B108" s="97" t="s">
        <v>2815</v>
      </c>
      <c r="C108" s="107"/>
      <c r="D108" s="107"/>
      <c r="E108" s="107"/>
      <c r="F108" s="99">
        <v>0.05</v>
      </c>
    </row>
    <row r="109" ht="24.75" spans="1:6">
      <c r="A109" s="101" t="s">
        <v>269</v>
      </c>
      <c r="B109" s="108" t="s">
        <v>2820</v>
      </c>
      <c r="C109" s="104"/>
      <c r="D109" s="104"/>
      <c r="E109" s="104"/>
      <c r="F109" s="109">
        <v>0.05</v>
      </c>
    </row>
    <row r="110" ht="14.25" spans="1:6">
      <c r="A110" s="93" t="s">
        <v>275</v>
      </c>
      <c r="B110" s="94" t="s">
        <v>2533</v>
      </c>
      <c r="C110" s="95">
        <v>0.129</v>
      </c>
      <c r="D110" s="95">
        <v>0.129</v>
      </c>
      <c r="E110" s="95">
        <v>0.126</v>
      </c>
      <c r="F110" s="96">
        <v>0.13</v>
      </c>
    </row>
    <row r="111" ht="14.25" spans="1:6">
      <c r="A111" s="93" t="s">
        <v>275</v>
      </c>
      <c r="B111" s="97" t="s">
        <v>2546</v>
      </c>
      <c r="C111" s="98">
        <v>0.11</v>
      </c>
      <c r="D111" s="98">
        <v>0.11</v>
      </c>
      <c r="E111" s="98">
        <v>0.099</v>
      </c>
      <c r="F111" s="99">
        <v>0.128</v>
      </c>
    </row>
    <row r="112" ht="14.25" spans="1:6">
      <c r="A112" s="93" t="s">
        <v>275</v>
      </c>
      <c r="B112" s="97" t="s">
        <v>2560</v>
      </c>
      <c r="C112" s="98">
        <v>0.125</v>
      </c>
      <c r="D112" s="98">
        <v>0.125</v>
      </c>
      <c r="E112" s="98">
        <v>0.12</v>
      </c>
      <c r="F112" s="99">
        <v>0.125</v>
      </c>
    </row>
    <row r="113" ht="14.25" spans="1:6">
      <c r="A113" s="93" t="s">
        <v>275</v>
      </c>
      <c r="B113" s="97" t="s">
        <v>2572</v>
      </c>
      <c r="C113" s="98">
        <v>0.13</v>
      </c>
      <c r="D113" s="98">
        <v>0.13</v>
      </c>
      <c r="E113" s="98">
        <v>0.13</v>
      </c>
      <c r="F113" s="99">
        <v>0.13</v>
      </c>
    </row>
    <row r="114" ht="14.25" spans="1:6">
      <c r="A114" s="93" t="s">
        <v>275</v>
      </c>
      <c r="B114" s="97" t="s">
        <v>2584</v>
      </c>
      <c r="C114" s="98">
        <v>0.123</v>
      </c>
      <c r="D114" s="98">
        <v>0.123</v>
      </c>
      <c r="E114" s="98">
        <v>0.12</v>
      </c>
      <c r="F114" s="99">
        <v>0.13</v>
      </c>
    </row>
    <row r="115" ht="14.25" spans="1:6">
      <c r="A115" s="93" t="s">
        <v>275</v>
      </c>
      <c r="B115" s="97" t="s">
        <v>2595</v>
      </c>
      <c r="C115" s="98">
        <v>0.125</v>
      </c>
      <c r="D115" s="98">
        <v>0.125</v>
      </c>
      <c r="E115" s="98">
        <v>0.117</v>
      </c>
      <c r="F115" s="99">
        <v>0.13</v>
      </c>
    </row>
    <row r="116" ht="14.25" spans="1:6">
      <c r="A116" s="93" t="s">
        <v>275</v>
      </c>
      <c r="B116" s="97" t="s">
        <v>2606</v>
      </c>
      <c r="C116" s="98">
        <v>0.117</v>
      </c>
      <c r="D116" s="98">
        <v>0.117</v>
      </c>
      <c r="E116" s="98">
        <v>0.088</v>
      </c>
      <c r="F116" s="99">
        <v>0.13</v>
      </c>
    </row>
    <row r="117" ht="14.25" spans="1:6">
      <c r="A117" s="93" t="s">
        <v>275</v>
      </c>
      <c r="B117" s="97" t="s">
        <v>2617</v>
      </c>
      <c r="C117" s="98">
        <v>0.13</v>
      </c>
      <c r="D117" s="98">
        <v>0.13</v>
      </c>
      <c r="E117" s="98">
        <v>0.129</v>
      </c>
      <c r="F117" s="99">
        <v>0.13</v>
      </c>
    </row>
    <row r="118" ht="14.25" spans="1:6">
      <c r="A118" s="93" t="s">
        <v>275</v>
      </c>
      <c r="B118" s="97" t="s">
        <v>2627</v>
      </c>
      <c r="C118" s="98">
        <v>0.123</v>
      </c>
      <c r="D118" s="98">
        <v>0.123</v>
      </c>
      <c r="E118" s="98">
        <v>0.116</v>
      </c>
      <c r="F118" s="99">
        <v>0.13</v>
      </c>
    </row>
    <row r="119" ht="14.25" spans="1:6">
      <c r="A119" s="93" t="s">
        <v>275</v>
      </c>
      <c r="B119" s="97" t="s">
        <v>2637</v>
      </c>
      <c r="C119" s="98">
        <v>0.127</v>
      </c>
      <c r="D119" s="98">
        <v>0.127</v>
      </c>
      <c r="E119" s="98">
        <v>0.124</v>
      </c>
      <c r="F119" s="99">
        <v>0.13</v>
      </c>
    </row>
    <row r="120" ht="14.25" spans="1:6">
      <c r="A120" s="93" t="s">
        <v>275</v>
      </c>
      <c r="B120" s="97" t="s">
        <v>2647</v>
      </c>
      <c r="C120" s="98">
        <v>0.125</v>
      </c>
      <c r="D120" s="98">
        <v>0.125</v>
      </c>
      <c r="E120" s="98">
        <v>0.122</v>
      </c>
      <c r="F120" s="99">
        <v>0.13</v>
      </c>
    </row>
    <row r="121" ht="14.25" spans="1:6">
      <c r="A121" s="93" t="s">
        <v>275</v>
      </c>
      <c r="B121" s="97" t="s">
        <v>2657</v>
      </c>
      <c r="C121" s="98">
        <v>0.13</v>
      </c>
      <c r="D121" s="98">
        <v>0.13</v>
      </c>
      <c r="E121" s="98">
        <v>0.13</v>
      </c>
      <c r="F121" s="99">
        <v>0.13</v>
      </c>
    </row>
    <row r="122" ht="14.25" spans="1:6">
      <c r="A122" s="93" t="s">
        <v>275</v>
      </c>
      <c r="B122" s="97" t="s">
        <v>2667</v>
      </c>
      <c r="C122" s="98">
        <v>0.13</v>
      </c>
      <c r="D122" s="98">
        <v>0.13</v>
      </c>
      <c r="E122" s="98">
        <v>0.125</v>
      </c>
      <c r="F122" s="99">
        <v>0.13</v>
      </c>
    </row>
    <row r="123" ht="14.25" spans="1:6">
      <c r="A123" s="93" t="s">
        <v>275</v>
      </c>
      <c r="B123" s="97" t="s">
        <v>2677</v>
      </c>
      <c r="C123" s="98">
        <v>0.129</v>
      </c>
      <c r="D123" s="98">
        <v>0.129</v>
      </c>
      <c r="E123" s="98">
        <v>0.123</v>
      </c>
      <c r="F123" s="99">
        <v>0.13</v>
      </c>
    </row>
    <row r="124" ht="14.25" spans="1:6">
      <c r="A124" s="93" t="s">
        <v>275</v>
      </c>
      <c r="B124" s="97" t="s">
        <v>2687</v>
      </c>
      <c r="C124" s="98">
        <v>0.102</v>
      </c>
      <c r="D124" s="98">
        <v>0.101</v>
      </c>
      <c r="E124" s="98">
        <v>0.08</v>
      </c>
      <c r="F124" s="106"/>
    </row>
    <row r="125" ht="14.25" spans="1:6">
      <c r="A125" s="93" t="s">
        <v>275</v>
      </c>
      <c r="B125" s="97" t="s">
        <v>2696</v>
      </c>
      <c r="C125" s="98">
        <v>0.13</v>
      </c>
      <c r="D125" s="98">
        <v>0.13</v>
      </c>
      <c r="E125" s="98">
        <v>0.129</v>
      </c>
      <c r="F125" s="106"/>
    </row>
    <row r="126" ht="14.25" spans="1:6">
      <c r="A126" s="93" t="s">
        <v>275</v>
      </c>
      <c r="B126" s="97" t="s">
        <v>2706</v>
      </c>
      <c r="C126" s="98">
        <v>0.13</v>
      </c>
      <c r="D126" s="98">
        <v>0.13</v>
      </c>
      <c r="E126" s="98">
        <v>0.126</v>
      </c>
      <c r="F126" s="106"/>
    </row>
    <row r="127" ht="14.25" spans="1:6">
      <c r="A127" s="93" t="s">
        <v>275</v>
      </c>
      <c r="B127" s="97" t="s">
        <v>2716</v>
      </c>
      <c r="C127" s="98">
        <v>0.125</v>
      </c>
      <c r="D127" s="98">
        <v>0.125</v>
      </c>
      <c r="E127" s="98">
        <v>0.121</v>
      </c>
      <c r="F127" s="106"/>
    </row>
    <row r="128" ht="14.25" spans="1:6">
      <c r="A128" s="93" t="s">
        <v>275</v>
      </c>
      <c r="B128" s="97" t="s">
        <v>2726</v>
      </c>
      <c r="C128" s="98">
        <v>0.12</v>
      </c>
      <c r="D128" s="98">
        <v>0.12</v>
      </c>
      <c r="E128" s="98">
        <v>0.105</v>
      </c>
      <c r="F128" s="106"/>
    </row>
    <row r="129" ht="14.25" spans="1:6">
      <c r="A129" s="93" t="s">
        <v>275</v>
      </c>
      <c r="B129" s="97" t="s">
        <v>2735</v>
      </c>
      <c r="C129" s="98">
        <v>0.13</v>
      </c>
      <c r="D129" s="98">
        <v>0.13</v>
      </c>
      <c r="E129" s="98">
        <v>0.126</v>
      </c>
      <c r="F129" s="106"/>
    </row>
    <row r="130" ht="14.25" spans="1:6">
      <c r="A130" s="93" t="s">
        <v>275</v>
      </c>
      <c r="B130" s="97" t="s">
        <v>2743</v>
      </c>
      <c r="C130" s="98">
        <v>0.125</v>
      </c>
      <c r="D130" s="98">
        <v>0.125</v>
      </c>
      <c r="E130" s="98">
        <v>0.122</v>
      </c>
      <c r="F130" s="106"/>
    </row>
    <row r="131" ht="14.25" spans="1:6">
      <c r="A131" s="93" t="s">
        <v>275</v>
      </c>
      <c r="B131" s="97" t="s">
        <v>2751</v>
      </c>
      <c r="C131" s="98">
        <v>0.127</v>
      </c>
      <c r="D131" s="98">
        <v>0.126</v>
      </c>
      <c r="E131" s="98">
        <v>0.123</v>
      </c>
      <c r="F131" s="106"/>
    </row>
    <row r="132" ht="14.25" spans="1:6">
      <c r="A132" s="93" t="s">
        <v>275</v>
      </c>
      <c r="B132" s="97" t="s">
        <v>2758</v>
      </c>
      <c r="C132" s="98">
        <v>0.091</v>
      </c>
      <c r="D132" s="98">
        <v>0.121</v>
      </c>
      <c r="E132" s="98">
        <v>0.099</v>
      </c>
      <c r="F132" s="106"/>
    </row>
    <row r="133" ht="14.25" spans="1:6">
      <c r="A133" s="93" t="s">
        <v>275</v>
      </c>
      <c r="B133" s="97" t="s">
        <v>2765</v>
      </c>
      <c r="C133" s="98">
        <v>0.13</v>
      </c>
      <c r="D133" s="98">
        <v>0.13</v>
      </c>
      <c r="E133" s="98">
        <v>0.129</v>
      </c>
      <c r="F133" s="106"/>
    </row>
    <row r="134" ht="14.25" spans="1:6">
      <c r="A134" s="93" t="s">
        <v>275</v>
      </c>
      <c r="B134" s="97" t="s">
        <v>2772</v>
      </c>
      <c r="C134" s="98">
        <v>0.068</v>
      </c>
      <c r="D134" s="98">
        <v>0.065</v>
      </c>
      <c r="E134" s="98">
        <v>0.065</v>
      </c>
      <c r="F134" s="99">
        <v>0.13</v>
      </c>
    </row>
    <row r="135" ht="14.25" spans="1:6">
      <c r="A135" s="93" t="s">
        <v>275</v>
      </c>
      <c r="B135" s="97" t="s">
        <v>2779</v>
      </c>
      <c r="C135" s="98">
        <v>0.123</v>
      </c>
      <c r="D135" s="98">
        <v>0.123</v>
      </c>
      <c r="E135" s="98">
        <v>0.11</v>
      </c>
      <c r="F135" s="106"/>
    </row>
    <row r="136" ht="14.25" spans="1:6">
      <c r="A136" s="93" t="s">
        <v>275</v>
      </c>
      <c r="B136" s="97" t="s">
        <v>2786</v>
      </c>
      <c r="C136" s="98">
        <v>0.13</v>
      </c>
      <c r="D136" s="98">
        <v>0.13</v>
      </c>
      <c r="E136" s="98">
        <v>0.125</v>
      </c>
      <c r="F136" s="106"/>
    </row>
    <row r="137" ht="14.25" spans="1:6">
      <c r="A137" s="93" t="s">
        <v>275</v>
      </c>
      <c r="B137" s="97" t="s">
        <v>2791</v>
      </c>
      <c r="C137" s="98">
        <v>0.121</v>
      </c>
      <c r="D137" s="98">
        <v>0.122</v>
      </c>
      <c r="E137" s="98">
        <v>0.115</v>
      </c>
      <c r="F137" s="106"/>
    </row>
    <row r="138" ht="14.25" spans="1:6">
      <c r="A138" s="93" t="s">
        <v>275</v>
      </c>
      <c r="B138" s="97" t="s">
        <v>2796</v>
      </c>
      <c r="C138" s="98">
        <v>0.105</v>
      </c>
      <c r="D138" s="98">
        <v>0.125</v>
      </c>
      <c r="E138" s="98">
        <v>0.112</v>
      </c>
      <c r="F138" s="106"/>
    </row>
    <row r="139" ht="14.25" spans="1:6">
      <c r="A139" s="93" t="s">
        <v>275</v>
      </c>
      <c r="B139" s="97" t="s">
        <v>2801</v>
      </c>
      <c r="C139" s="98">
        <v>0.127</v>
      </c>
      <c r="D139" s="98">
        <v>0.127</v>
      </c>
      <c r="E139" s="98">
        <v>0.122</v>
      </c>
      <c r="F139" s="99">
        <v>0.13</v>
      </c>
    </row>
    <row r="140" ht="14.25" spans="1:6">
      <c r="A140" s="93" t="s">
        <v>275</v>
      </c>
      <c r="B140" s="97" t="s">
        <v>2806</v>
      </c>
      <c r="C140" s="98">
        <v>0.125</v>
      </c>
      <c r="D140" s="98">
        <v>0.125</v>
      </c>
      <c r="E140" s="98">
        <v>0.119</v>
      </c>
      <c r="F140" s="99">
        <v>0.13</v>
      </c>
    </row>
    <row r="141" ht="14.25" spans="1:6">
      <c r="A141" s="93" t="s">
        <v>275</v>
      </c>
      <c r="B141" s="97" t="s">
        <v>2811</v>
      </c>
      <c r="C141" s="98">
        <v>0.125</v>
      </c>
      <c r="D141" s="98">
        <v>0.125</v>
      </c>
      <c r="E141" s="98">
        <v>0.117</v>
      </c>
      <c r="F141" s="106"/>
    </row>
    <row r="142" ht="14.25" spans="1:6">
      <c r="A142" s="93" t="s">
        <v>275</v>
      </c>
      <c r="B142" s="97" t="s">
        <v>2816</v>
      </c>
      <c r="C142" s="98">
        <v>0.125</v>
      </c>
      <c r="D142" s="98">
        <v>0.125</v>
      </c>
      <c r="E142" s="98">
        <v>0.115</v>
      </c>
      <c r="F142" s="106"/>
    </row>
    <row r="143" ht="14.25" spans="1:6">
      <c r="A143" s="93" t="s">
        <v>275</v>
      </c>
      <c r="B143" s="97" t="s">
        <v>2821</v>
      </c>
      <c r="C143" s="98">
        <v>0.121</v>
      </c>
      <c r="D143" s="98">
        <v>0.121</v>
      </c>
      <c r="E143" s="98">
        <v>0.108</v>
      </c>
      <c r="F143" s="106"/>
    </row>
    <row r="144" ht="14.25" spans="1:6">
      <c r="A144" s="93" t="s">
        <v>275</v>
      </c>
      <c r="B144" s="110" t="s">
        <v>2825</v>
      </c>
      <c r="C144" s="111">
        <v>0.126</v>
      </c>
      <c r="D144" s="111">
        <v>0.126</v>
      </c>
      <c r="E144" s="111">
        <v>0.121</v>
      </c>
      <c r="F144" s="106"/>
    </row>
    <row r="145" ht="14.25" spans="1:6">
      <c r="A145" s="101" t="s">
        <v>275</v>
      </c>
      <c r="B145" s="112" t="s">
        <v>2829</v>
      </c>
      <c r="C145" s="113"/>
      <c r="D145" s="113"/>
      <c r="E145" s="113"/>
      <c r="F145" s="114">
        <v>0.05</v>
      </c>
    </row>
    <row r="146" ht="24.75" spans="1:6">
      <c r="A146" s="115" t="s">
        <v>275</v>
      </c>
      <c r="B146" s="100" t="s">
        <v>2833</v>
      </c>
      <c r="C146" s="107"/>
      <c r="D146" s="107"/>
      <c r="E146" s="107"/>
      <c r="F146" s="116">
        <v>0.05</v>
      </c>
    </row>
    <row r="147" ht="24.75" spans="1:6">
      <c r="A147" s="93" t="s">
        <v>275</v>
      </c>
      <c r="B147" s="97" t="s">
        <v>2837</v>
      </c>
      <c r="C147" s="107"/>
      <c r="D147" s="107"/>
      <c r="E147" s="107"/>
      <c r="F147" s="99">
        <v>0.05</v>
      </c>
    </row>
    <row r="148" ht="24.75" spans="1:6">
      <c r="A148" s="93" t="s">
        <v>275</v>
      </c>
      <c r="B148" s="97" t="s">
        <v>2841</v>
      </c>
      <c r="C148" s="107"/>
      <c r="D148" s="107"/>
      <c r="E148" s="107"/>
      <c r="F148" s="99">
        <v>0.05</v>
      </c>
    </row>
    <row r="149" ht="24.75" spans="1:6">
      <c r="A149" s="93" t="s">
        <v>275</v>
      </c>
      <c r="B149" s="97" t="s">
        <v>2845</v>
      </c>
      <c r="C149" s="107"/>
      <c r="D149" s="107"/>
      <c r="E149" s="107"/>
      <c r="F149" s="99">
        <v>0.05</v>
      </c>
    </row>
    <row r="150" ht="24.75" spans="1:6">
      <c r="A150" s="93" t="s">
        <v>275</v>
      </c>
      <c r="B150" s="97" t="s">
        <v>2848</v>
      </c>
      <c r="C150" s="107"/>
      <c r="D150" s="107"/>
      <c r="E150" s="107"/>
      <c r="F150" s="99">
        <v>0.05</v>
      </c>
    </row>
    <row r="151" ht="24.75" spans="1:6">
      <c r="A151" s="93" t="s">
        <v>275</v>
      </c>
      <c r="B151" s="97" t="s">
        <v>2851</v>
      </c>
      <c r="C151" s="107"/>
      <c r="D151" s="107"/>
      <c r="E151" s="107"/>
      <c r="F151" s="99">
        <v>0.05</v>
      </c>
    </row>
    <row r="152" ht="24.75" spans="1:6">
      <c r="A152" s="93" t="s">
        <v>275</v>
      </c>
      <c r="B152" s="97" t="s">
        <v>2854</v>
      </c>
      <c r="C152" s="107"/>
      <c r="D152" s="107"/>
      <c r="E152" s="107"/>
      <c r="F152" s="99">
        <v>0.05</v>
      </c>
    </row>
    <row r="153" ht="14.25" spans="1:6">
      <c r="A153" s="93" t="s">
        <v>275</v>
      </c>
      <c r="B153" s="97" t="s">
        <v>2857</v>
      </c>
      <c r="C153" s="107"/>
      <c r="D153" s="107"/>
      <c r="E153" s="107"/>
      <c r="F153" s="99">
        <v>0.05</v>
      </c>
    </row>
    <row r="154" ht="14.25" spans="1:6">
      <c r="A154" s="93" t="s">
        <v>275</v>
      </c>
      <c r="B154" s="97" t="s">
        <v>2860</v>
      </c>
      <c r="C154" s="107"/>
      <c r="D154" s="107"/>
      <c r="E154" s="107"/>
      <c r="F154" s="99">
        <v>0.05</v>
      </c>
    </row>
    <row r="155" ht="24.75" spans="1:6">
      <c r="A155" s="93" t="s">
        <v>275</v>
      </c>
      <c r="B155" s="97" t="s">
        <v>2863</v>
      </c>
      <c r="C155" s="107"/>
      <c r="D155" s="107"/>
      <c r="E155" s="107"/>
      <c r="F155" s="99">
        <v>0.05</v>
      </c>
    </row>
    <row r="156" ht="24.75" spans="1:6">
      <c r="A156" s="93" t="s">
        <v>275</v>
      </c>
      <c r="B156" s="97" t="s">
        <v>2865</v>
      </c>
      <c r="C156" s="107"/>
      <c r="D156" s="107"/>
      <c r="E156" s="107"/>
      <c r="F156" s="99">
        <v>0.05</v>
      </c>
    </row>
    <row r="157" ht="14.25" spans="1:6">
      <c r="A157" s="101" t="s">
        <v>275</v>
      </c>
      <c r="B157" s="108" t="s">
        <v>2867</v>
      </c>
      <c r="C157" s="104"/>
      <c r="D157" s="104"/>
      <c r="E157" s="104"/>
      <c r="F157" s="109">
        <v>0.05</v>
      </c>
    </row>
    <row r="158" ht="14.25" spans="1:6">
      <c r="A158" s="93" t="s">
        <v>280</v>
      </c>
      <c r="B158" s="94" t="s">
        <v>2534</v>
      </c>
      <c r="C158" s="95">
        <v>0.13</v>
      </c>
      <c r="D158" s="95">
        <v>0.13</v>
      </c>
      <c r="E158" s="95">
        <v>0.13</v>
      </c>
      <c r="F158" s="96">
        <v>0.13</v>
      </c>
    </row>
    <row r="159" ht="14.25" spans="1:6">
      <c r="A159" s="93" t="s">
        <v>280</v>
      </c>
      <c r="B159" s="97" t="s">
        <v>2547</v>
      </c>
      <c r="C159" s="98">
        <v>0.13</v>
      </c>
      <c r="D159" s="98">
        <v>0.13</v>
      </c>
      <c r="E159" s="98">
        <v>0.13</v>
      </c>
      <c r="F159" s="99">
        <v>0.13</v>
      </c>
    </row>
    <row r="160" ht="14.25" spans="1:6">
      <c r="A160" s="93" t="s">
        <v>280</v>
      </c>
      <c r="B160" s="97" t="s">
        <v>2561</v>
      </c>
      <c r="C160" s="98">
        <v>0.13</v>
      </c>
      <c r="D160" s="98">
        <v>0.13</v>
      </c>
      <c r="E160" s="98">
        <v>0.129</v>
      </c>
      <c r="F160" s="99">
        <v>0.13</v>
      </c>
    </row>
    <row r="161" ht="14.25" spans="1:6">
      <c r="A161" s="93" t="s">
        <v>280</v>
      </c>
      <c r="B161" s="97" t="s">
        <v>2573</v>
      </c>
      <c r="C161" s="98">
        <v>0.128</v>
      </c>
      <c r="D161" s="98">
        <v>0.128</v>
      </c>
      <c r="E161" s="98">
        <v>0.125</v>
      </c>
      <c r="F161" s="99">
        <v>0.13</v>
      </c>
    </row>
    <row r="162" ht="14.25" spans="1:6">
      <c r="A162" s="93" t="s">
        <v>280</v>
      </c>
      <c r="B162" s="97" t="s">
        <v>2585</v>
      </c>
      <c r="C162" s="98">
        <v>0.122</v>
      </c>
      <c r="D162" s="98">
        <v>0.122</v>
      </c>
      <c r="E162" s="98">
        <v>0.126</v>
      </c>
      <c r="F162" s="99">
        <v>0.122</v>
      </c>
    </row>
    <row r="163" ht="14.25" spans="1:6">
      <c r="A163" s="93" t="s">
        <v>280</v>
      </c>
      <c r="B163" s="97" t="s">
        <v>2596</v>
      </c>
      <c r="C163" s="98">
        <v>0.13</v>
      </c>
      <c r="D163" s="98">
        <v>0.13</v>
      </c>
      <c r="E163" s="98">
        <v>0.125</v>
      </c>
      <c r="F163" s="99">
        <v>0.13</v>
      </c>
    </row>
    <row r="164" ht="14.25" spans="1:6">
      <c r="A164" s="93" t="s">
        <v>280</v>
      </c>
      <c r="B164" s="97" t="s">
        <v>2607</v>
      </c>
      <c r="C164" s="98">
        <v>0.13</v>
      </c>
      <c r="D164" s="98">
        <v>0.13</v>
      </c>
      <c r="E164" s="98">
        <v>0.13</v>
      </c>
      <c r="F164" s="99">
        <v>0.13</v>
      </c>
    </row>
    <row r="165" ht="14.25" spans="1:6">
      <c r="A165" s="93" t="s">
        <v>280</v>
      </c>
      <c r="B165" s="97" t="s">
        <v>2618</v>
      </c>
      <c r="C165" s="98">
        <v>0.13</v>
      </c>
      <c r="D165" s="98">
        <v>0.13</v>
      </c>
      <c r="E165" s="98">
        <v>0.124</v>
      </c>
      <c r="F165" s="99">
        <v>0.13</v>
      </c>
    </row>
    <row r="166" ht="14.25" spans="1:6">
      <c r="A166" s="93" t="s">
        <v>280</v>
      </c>
      <c r="B166" s="97" t="s">
        <v>2628</v>
      </c>
      <c r="C166" s="98">
        <v>0.13</v>
      </c>
      <c r="D166" s="98">
        <v>0.13</v>
      </c>
      <c r="E166" s="98">
        <v>0.13</v>
      </c>
      <c r="F166" s="99">
        <v>0.13</v>
      </c>
    </row>
    <row r="167" ht="14.25" spans="1:6">
      <c r="A167" s="93" t="s">
        <v>280</v>
      </c>
      <c r="B167" s="97" t="s">
        <v>2638</v>
      </c>
      <c r="C167" s="98">
        <v>0.125</v>
      </c>
      <c r="D167" s="98">
        <v>0.125</v>
      </c>
      <c r="E167" s="98">
        <v>0.121</v>
      </c>
      <c r="F167" s="106"/>
    </row>
    <row r="168" ht="14.25" spans="1:6">
      <c r="A168" s="93" t="s">
        <v>280</v>
      </c>
      <c r="B168" s="97" t="s">
        <v>2648</v>
      </c>
      <c r="C168" s="98">
        <v>0.13</v>
      </c>
      <c r="D168" s="98">
        <v>0.13</v>
      </c>
      <c r="E168" s="98">
        <v>0.126</v>
      </c>
      <c r="F168" s="106"/>
    </row>
    <row r="169" ht="14.25" spans="1:6">
      <c r="A169" s="93" t="s">
        <v>280</v>
      </c>
      <c r="B169" s="97" t="s">
        <v>2658</v>
      </c>
      <c r="C169" s="98">
        <v>0.128</v>
      </c>
      <c r="D169" s="98">
        <v>0.129</v>
      </c>
      <c r="E169" s="98">
        <v>0.13</v>
      </c>
      <c r="F169" s="106"/>
    </row>
    <row r="170" ht="14.25" spans="1:6">
      <c r="A170" s="93" t="s">
        <v>280</v>
      </c>
      <c r="B170" s="97" t="s">
        <v>2668</v>
      </c>
      <c r="C170" s="98">
        <v>0.141</v>
      </c>
      <c r="D170" s="98">
        <v>0.13</v>
      </c>
      <c r="E170" s="98">
        <v>0.125</v>
      </c>
      <c r="F170" s="106"/>
    </row>
    <row r="171" ht="14.25" spans="1:6">
      <c r="A171" s="93" t="s">
        <v>280</v>
      </c>
      <c r="B171" s="97" t="s">
        <v>2678</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2697</v>
      </c>
      <c r="C173" s="98">
        <v>0.13</v>
      </c>
      <c r="D173" s="98">
        <v>0.13</v>
      </c>
      <c r="E173" s="98">
        <v>0.13</v>
      </c>
      <c r="F173" s="106"/>
    </row>
    <row r="174" ht="14.25" spans="1:6">
      <c r="A174" s="93" t="s">
        <v>280</v>
      </c>
      <c r="B174" s="97" t="s">
        <v>2707</v>
      </c>
      <c r="C174" s="98">
        <v>0.13</v>
      </c>
      <c r="D174" s="98">
        <v>0.13</v>
      </c>
      <c r="E174" s="98">
        <v>0.13</v>
      </c>
      <c r="F174" s="99">
        <v>0.13</v>
      </c>
    </row>
    <row r="175" ht="14.25" spans="1:6">
      <c r="A175" s="93" t="s">
        <v>280</v>
      </c>
      <c r="B175" s="97" t="s">
        <v>2717</v>
      </c>
      <c r="C175" s="98">
        <v>0.13</v>
      </c>
      <c r="D175" s="98">
        <v>0.13</v>
      </c>
      <c r="E175" s="98">
        <v>0.13</v>
      </c>
      <c r="F175" s="99">
        <v>0.13</v>
      </c>
    </row>
    <row r="176" ht="14.25" spans="1:6">
      <c r="A176" s="93" t="s">
        <v>280</v>
      </c>
      <c r="B176" s="97" t="s">
        <v>2727</v>
      </c>
      <c r="C176" s="98">
        <v>0.13</v>
      </c>
      <c r="D176" s="98">
        <v>0.13</v>
      </c>
      <c r="E176" s="98">
        <v>0.13</v>
      </c>
      <c r="F176" s="99">
        <v>0.13</v>
      </c>
    </row>
    <row r="177" ht="14.25" spans="1:6">
      <c r="A177" s="93" t="s">
        <v>280</v>
      </c>
      <c r="B177" s="97" t="s">
        <v>2736</v>
      </c>
      <c r="C177" s="98">
        <v>0.13</v>
      </c>
      <c r="D177" s="98">
        <v>0.13</v>
      </c>
      <c r="E177" s="98">
        <v>0.13</v>
      </c>
      <c r="F177" s="99">
        <v>0.13</v>
      </c>
    </row>
    <row r="178" ht="14.25" spans="1:6">
      <c r="A178" s="93" t="s">
        <v>280</v>
      </c>
      <c r="B178" s="97" t="s">
        <v>2744</v>
      </c>
      <c r="C178" s="98">
        <v>0.13</v>
      </c>
      <c r="D178" s="98">
        <v>0.13</v>
      </c>
      <c r="E178" s="98">
        <v>0.13</v>
      </c>
      <c r="F178" s="99">
        <v>0.127</v>
      </c>
    </row>
    <row r="179" ht="14.25" spans="1:6">
      <c r="A179" s="93" t="s">
        <v>280</v>
      </c>
      <c r="B179" s="97" t="s">
        <v>2752</v>
      </c>
      <c r="C179" s="98">
        <v>0.13</v>
      </c>
      <c r="D179" s="98">
        <v>0.13</v>
      </c>
      <c r="E179" s="98">
        <v>0.13</v>
      </c>
      <c r="F179" s="106"/>
    </row>
    <row r="180" ht="14.25" spans="1:6">
      <c r="A180" s="93" t="s">
        <v>280</v>
      </c>
      <c r="B180" s="97" t="s">
        <v>2759</v>
      </c>
      <c r="C180" s="98">
        <v>0.13</v>
      </c>
      <c r="D180" s="98">
        <v>0.13</v>
      </c>
      <c r="E180" s="98">
        <v>0.125</v>
      </c>
      <c r="F180" s="99">
        <v>0.13</v>
      </c>
    </row>
    <row r="181" ht="14.25" spans="1:6">
      <c r="A181" s="93" t="s">
        <v>280</v>
      </c>
      <c r="B181" s="97" t="s">
        <v>2766</v>
      </c>
      <c r="C181" s="98">
        <v>0.122</v>
      </c>
      <c r="D181" s="98">
        <v>0.123</v>
      </c>
      <c r="E181" s="98">
        <v>0.126</v>
      </c>
      <c r="F181" s="99">
        <v>0.121</v>
      </c>
    </row>
    <row r="182" ht="14.25" spans="1:6">
      <c r="A182" s="93" t="s">
        <v>280</v>
      </c>
      <c r="B182" s="97" t="s">
        <v>2773</v>
      </c>
      <c r="C182" s="98">
        <v>0.125</v>
      </c>
      <c r="D182" s="98">
        <v>0.125</v>
      </c>
      <c r="E182" s="98">
        <v>0.117</v>
      </c>
      <c r="F182" s="99">
        <v>0.13</v>
      </c>
    </row>
    <row r="183" ht="14.25" spans="1:6">
      <c r="A183" s="93" t="s">
        <v>280</v>
      </c>
      <c r="B183" s="97" t="s">
        <v>2780</v>
      </c>
      <c r="C183" s="98">
        <v>0.127</v>
      </c>
      <c r="D183" s="98">
        <v>0.127</v>
      </c>
      <c r="E183" s="98">
        <v>0.128</v>
      </c>
      <c r="F183" s="106"/>
    </row>
    <row r="184" ht="14.25" spans="1:6">
      <c r="A184" s="93" t="s">
        <v>280</v>
      </c>
      <c r="B184" s="97" t="s">
        <v>2787</v>
      </c>
      <c r="C184" s="98">
        <v>0.125</v>
      </c>
      <c r="D184" s="98">
        <v>0.125</v>
      </c>
      <c r="E184" s="98">
        <v>0.127</v>
      </c>
      <c r="F184" s="106"/>
    </row>
    <row r="185" ht="14.25" spans="1:6">
      <c r="A185" s="93" t="s">
        <v>280</v>
      </c>
      <c r="B185" s="97" t="s">
        <v>2792</v>
      </c>
      <c r="C185" s="98">
        <v>0.127</v>
      </c>
      <c r="D185" s="98">
        <v>0.127</v>
      </c>
      <c r="E185" s="98">
        <v>0.128</v>
      </c>
      <c r="F185" s="99">
        <v>0.13</v>
      </c>
    </row>
    <row r="186" ht="24.75" spans="1:6">
      <c r="A186" s="93" t="s">
        <v>280</v>
      </c>
      <c r="B186" s="97" t="s">
        <v>2797</v>
      </c>
      <c r="C186" s="107"/>
      <c r="D186" s="107"/>
      <c r="E186" s="107"/>
      <c r="F186" s="99">
        <v>0.05</v>
      </c>
    </row>
    <row r="187" ht="14.25" spans="1:6">
      <c r="A187" s="93" t="s">
        <v>280</v>
      </c>
      <c r="B187" s="97" t="s">
        <v>2802</v>
      </c>
      <c r="C187" s="107"/>
      <c r="D187" s="107"/>
      <c r="E187" s="107"/>
      <c r="F187" s="99">
        <v>0.05</v>
      </c>
    </row>
    <row r="188" ht="14.25" spans="1:6">
      <c r="A188" s="93" t="s">
        <v>280</v>
      </c>
      <c r="B188" s="97" t="s">
        <v>2807</v>
      </c>
      <c r="C188" s="107"/>
      <c r="D188" s="107"/>
      <c r="E188" s="107"/>
      <c r="F188" s="99">
        <v>0.05</v>
      </c>
    </row>
    <row r="189" ht="24.75" spans="1:6">
      <c r="A189" s="93" t="s">
        <v>280</v>
      </c>
      <c r="B189" s="97" t="s">
        <v>2812</v>
      </c>
      <c r="C189" s="107"/>
      <c r="D189" s="107"/>
      <c r="E189" s="107"/>
      <c r="F189" s="99">
        <v>0.05</v>
      </c>
    </row>
    <row r="190" ht="24.75" spans="1:6">
      <c r="A190" s="93" t="s">
        <v>280</v>
      </c>
      <c r="B190" s="97" t="s">
        <v>2817</v>
      </c>
      <c r="C190" s="107"/>
      <c r="D190" s="107"/>
      <c r="E190" s="107"/>
      <c r="F190" s="99">
        <v>0.05</v>
      </c>
    </row>
    <row r="191" ht="24.75" spans="1:6">
      <c r="A191" s="93" t="s">
        <v>280</v>
      </c>
      <c r="B191" s="97" t="s">
        <v>2822</v>
      </c>
      <c r="C191" s="107"/>
      <c r="D191" s="107"/>
      <c r="E191" s="107"/>
      <c r="F191" s="99">
        <v>0.05</v>
      </c>
    </row>
    <row r="192" ht="24.75" spans="1:6">
      <c r="A192" s="93" t="s">
        <v>280</v>
      </c>
      <c r="B192" s="97" t="s">
        <v>2826</v>
      </c>
      <c r="C192" s="107"/>
      <c r="D192" s="107"/>
      <c r="E192" s="107"/>
      <c r="F192" s="99">
        <v>0.05</v>
      </c>
    </row>
    <row r="193" ht="24.75" spans="1:6">
      <c r="A193" s="93" t="s">
        <v>280</v>
      </c>
      <c r="B193" s="97" t="s">
        <v>2830</v>
      </c>
      <c r="C193" s="107"/>
      <c r="D193" s="107"/>
      <c r="E193" s="107"/>
      <c r="F193" s="99">
        <v>0.05</v>
      </c>
    </row>
    <row r="194" ht="24.75" spans="1:6">
      <c r="A194" s="93" t="s">
        <v>280</v>
      </c>
      <c r="B194" s="97" t="s">
        <v>2834</v>
      </c>
      <c r="C194" s="107"/>
      <c r="D194" s="107"/>
      <c r="E194" s="107"/>
      <c r="F194" s="99">
        <v>0.05</v>
      </c>
    </row>
    <row r="195" ht="14.25" spans="1:6">
      <c r="A195" s="93" t="s">
        <v>280</v>
      </c>
      <c r="B195" s="97" t="s">
        <v>2838</v>
      </c>
      <c r="C195" s="107"/>
      <c r="D195" s="107"/>
      <c r="E195" s="107"/>
      <c r="F195" s="99">
        <v>0.05</v>
      </c>
    </row>
    <row r="196" ht="24.75" spans="1:6">
      <c r="A196" s="93" t="s">
        <v>280</v>
      </c>
      <c r="B196" s="97" t="s">
        <v>2842</v>
      </c>
      <c r="C196" s="107"/>
      <c r="D196" s="107"/>
      <c r="E196" s="107"/>
      <c r="F196" s="99">
        <v>0.05</v>
      </c>
    </row>
    <row r="197" ht="24.75" spans="1:6">
      <c r="A197" s="93" t="s">
        <v>280</v>
      </c>
      <c r="B197" s="97" t="s">
        <v>2846</v>
      </c>
      <c r="C197" s="107"/>
      <c r="D197" s="107"/>
      <c r="E197" s="107"/>
      <c r="F197" s="99">
        <v>0.05</v>
      </c>
    </row>
    <row r="198" ht="24.75" spans="1:6">
      <c r="A198" s="93" t="s">
        <v>280</v>
      </c>
      <c r="B198" s="97" t="s">
        <v>2849</v>
      </c>
      <c r="C198" s="107"/>
      <c r="D198" s="107"/>
      <c r="E198" s="107"/>
      <c r="F198" s="99">
        <v>0.05</v>
      </c>
    </row>
    <row r="199" ht="24.75" spans="1:6">
      <c r="A199" s="93" t="s">
        <v>280</v>
      </c>
      <c r="B199" s="97" t="s">
        <v>2852</v>
      </c>
      <c r="C199" s="107"/>
      <c r="D199" s="107"/>
      <c r="E199" s="107"/>
      <c r="F199" s="99">
        <v>0.05</v>
      </c>
    </row>
    <row r="200" ht="24.75" spans="1:6">
      <c r="A200" s="93" t="s">
        <v>280</v>
      </c>
      <c r="B200" s="97" t="s">
        <v>2855</v>
      </c>
      <c r="C200" s="107"/>
      <c r="D200" s="107"/>
      <c r="E200" s="107"/>
      <c r="F200" s="99">
        <v>0.05</v>
      </c>
    </row>
    <row r="201" ht="24.75" spans="1:6">
      <c r="A201" s="93" t="s">
        <v>280</v>
      </c>
      <c r="B201" s="97" t="s">
        <v>2858</v>
      </c>
      <c r="C201" s="107"/>
      <c r="D201" s="107"/>
      <c r="E201" s="107"/>
      <c r="F201" s="99">
        <v>0.05</v>
      </c>
    </row>
    <row r="202" ht="24.75" spans="1:6">
      <c r="A202" s="93" t="s">
        <v>280</v>
      </c>
      <c r="B202" s="97" t="s">
        <v>2861</v>
      </c>
      <c r="C202" s="107"/>
      <c r="D202" s="107"/>
      <c r="E202" s="107"/>
      <c r="F202" s="99">
        <v>0.05</v>
      </c>
    </row>
    <row r="203" ht="24.75" spans="1:6">
      <c r="A203" s="93" t="s">
        <v>280</v>
      </c>
      <c r="B203" s="97" t="s">
        <v>2864</v>
      </c>
      <c r="C203" s="107"/>
      <c r="D203" s="107"/>
      <c r="E203" s="107"/>
      <c r="F203" s="99">
        <v>0.05</v>
      </c>
    </row>
    <row r="204" ht="14.25" spans="1:6">
      <c r="A204" s="93" t="s">
        <v>280</v>
      </c>
      <c r="B204" s="97" t="s">
        <v>2866</v>
      </c>
      <c r="C204" s="107"/>
      <c r="D204" s="107"/>
      <c r="E204" s="107"/>
      <c r="F204" s="99">
        <v>0.05</v>
      </c>
    </row>
    <row r="205" ht="14.25" spans="1:6">
      <c r="A205" s="101" t="s">
        <v>280</v>
      </c>
      <c r="B205" s="108" t="s">
        <v>2868</v>
      </c>
      <c r="C205" s="104"/>
      <c r="D205" s="104"/>
      <c r="E205" s="104"/>
      <c r="F205" s="109">
        <v>0.05</v>
      </c>
    </row>
    <row r="206" ht="14.25" spans="1:6">
      <c r="A206" s="93" t="s">
        <v>285</v>
      </c>
      <c r="B206" s="94" t="s">
        <v>2535</v>
      </c>
      <c r="C206" s="95">
        <v>0.15</v>
      </c>
      <c r="D206" s="95">
        <v>0.15</v>
      </c>
      <c r="E206" s="95">
        <v>0.15</v>
      </c>
      <c r="F206" s="96">
        <v>0.15</v>
      </c>
    </row>
    <row r="207" ht="14.25" spans="1:6">
      <c r="A207" s="93" t="s">
        <v>285</v>
      </c>
      <c r="B207" s="97" t="s">
        <v>2548</v>
      </c>
      <c r="C207" s="98">
        <v>0.15</v>
      </c>
      <c r="D207" s="98">
        <v>0.15</v>
      </c>
      <c r="E207" s="98">
        <v>0.15</v>
      </c>
      <c r="F207" s="99">
        <v>0.144</v>
      </c>
    </row>
    <row r="208" ht="14.25" spans="1:6">
      <c r="A208" s="93" t="s">
        <v>285</v>
      </c>
      <c r="B208" s="97" t="s">
        <v>2562</v>
      </c>
      <c r="C208" s="98">
        <v>0.15</v>
      </c>
      <c r="D208" s="98">
        <v>0.15</v>
      </c>
      <c r="E208" s="98">
        <v>0.15</v>
      </c>
      <c r="F208" s="99">
        <v>0.15</v>
      </c>
    </row>
    <row r="209" ht="14.25" spans="1:6">
      <c r="A209" s="93" t="s">
        <v>285</v>
      </c>
      <c r="B209" s="97" t="s">
        <v>2574</v>
      </c>
      <c r="C209" s="98">
        <v>0.137</v>
      </c>
      <c r="D209" s="98">
        <v>0.137</v>
      </c>
      <c r="E209" s="98">
        <v>0.14</v>
      </c>
      <c r="F209" s="99">
        <v>0.117</v>
      </c>
    </row>
    <row r="210" ht="14.25" spans="1:6">
      <c r="A210" s="93" t="s">
        <v>285</v>
      </c>
      <c r="B210" s="97" t="s">
        <v>2586</v>
      </c>
      <c r="C210" s="98">
        <v>0.15</v>
      </c>
      <c r="D210" s="98">
        <v>0.15</v>
      </c>
      <c r="E210" s="98">
        <v>0.15</v>
      </c>
      <c r="F210" s="99">
        <v>0.138</v>
      </c>
    </row>
    <row r="211" ht="14.25" spans="1:6">
      <c r="A211" s="93" t="s">
        <v>285</v>
      </c>
      <c r="B211" s="97" t="s">
        <v>2597</v>
      </c>
      <c r="C211" s="98">
        <v>0.137</v>
      </c>
      <c r="D211" s="98">
        <v>0.135</v>
      </c>
      <c r="E211" s="98">
        <v>0.136</v>
      </c>
      <c r="F211" s="99">
        <v>0.1</v>
      </c>
    </row>
    <row r="212" ht="14.25" spans="1:6">
      <c r="A212" s="93" t="s">
        <v>285</v>
      </c>
      <c r="B212" s="97" t="s">
        <v>2608</v>
      </c>
      <c r="C212" s="98">
        <v>0.15</v>
      </c>
      <c r="D212" s="98">
        <v>0.15</v>
      </c>
      <c r="E212" s="98">
        <v>0.148</v>
      </c>
      <c r="F212" s="99">
        <v>0.136</v>
      </c>
    </row>
    <row r="213" ht="14.25" spans="1:6">
      <c r="A213" s="93" t="s">
        <v>285</v>
      </c>
      <c r="B213" s="97" t="s">
        <v>2619</v>
      </c>
      <c r="C213" s="98">
        <v>0.15</v>
      </c>
      <c r="D213" s="98">
        <v>0.15</v>
      </c>
      <c r="E213" s="98">
        <v>0.15</v>
      </c>
      <c r="F213" s="99">
        <v>0.138</v>
      </c>
    </row>
    <row r="214" ht="14.25" spans="1:6">
      <c r="A214" s="93" t="s">
        <v>285</v>
      </c>
      <c r="B214" s="97" t="s">
        <v>2629</v>
      </c>
      <c r="C214" s="98">
        <v>0.091</v>
      </c>
      <c r="D214" s="98">
        <v>0.09</v>
      </c>
      <c r="E214" s="98">
        <v>0.092</v>
      </c>
      <c r="F214" s="106"/>
    </row>
    <row r="215" ht="14.25" spans="1:6">
      <c r="A215" s="93" t="s">
        <v>285</v>
      </c>
      <c r="B215" s="97" t="s">
        <v>2639</v>
      </c>
      <c r="C215" s="98">
        <v>0.15</v>
      </c>
      <c r="D215" s="98">
        <v>0.15</v>
      </c>
      <c r="E215" s="98">
        <v>0.15</v>
      </c>
      <c r="F215" s="99">
        <v>0.15</v>
      </c>
    </row>
    <row r="216" ht="14.25" spans="1:6">
      <c r="A216" s="93" t="s">
        <v>285</v>
      </c>
      <c r="B216" s="97" t="s">
        <v>2649</v>
      </c>
      <c r="C216" s="98">
        <v>0.147</v>
      </c>
      <c r="D216" s="98">
        <v>0.147</v>
      </c>
      <c r="E216" s="98">
        <v>0.15</v>
      </c>
      <c r="F216" s="99">
        <v>0.14</v>
      </c>
    </row>
    <row r="217" ht="14.25" spans="1:6">
      <c r="A217" s="93" t="s">
        <v>285</v>
      </c>
      <c r="B217" s="97" t="s">
        <v>2659</v>
      </c>
      <c r="C217" s="98">
        <v>0.15</v>
      </c>
      <c r="D217" s="98">
        <v>0.15</v>
      </c>
      <c r="E217" s="98">
        <v>0.15</v>
      </c>
      <c r="F217" s="99">
        <v>0.15</v>
      </c>
    </row>
    <row r="218" ht="14.25" spans="1:6">
      <c r="A218" s="93" t="s">
        <v>285</v>
      </c>
      <c r="B218" s="97" t="s">
        <v>2669</v>
      </c>
      <c r="C218" s="98">
        <v>0.15</v>
      </c>
      <c r="D218" s="98">
        <v>0.15</v>
      </c>
      <c r="E218" s="98">
        <v>0.15</v>
      </c>
      <c r="F218" s="99">
        <v>0.15</v>
      </c>
    </row>
    <row r="219" ht="14.25" spans="1:6">
      <c r="A219" s="93" t="s">
        <v>285</v>
      </c>
      <c r="B219" s="97" t="s">
        <v>2679</v>
      </c>
      <c r="C219" s="98">
        <v>0.15</v>
      </c>
      <c r="D219" s="98">
        <v>0.15</v>
      </c>
      <c r="E219" s="98">
        <v>0.15</v>
      </c>
      <c r="F219" s="99">
        <v>0.148</v>
      </c>
    </row>
    <row r="220" ht="14.25" spans="1:6">
      <c r="A220" s="93" t="s">
        <v>285</v>
      </c>
      <c r="B220" s="97" t="s">
        <v>2688</v>
      </c>
      <c r="C220" s="98">
        <v>0.15</v>
      </c>
      <c r="D220" s="98">
        <v>0.15</v>
      </c>
      <c r="E220" s="98">
        <v>0.15</v>
      </c>
      <c r="F220" s="99">
        <v>0.15</v>
      </c>
    </row>
    <row r="221" ht="14.25" spans="1:6">
      <c r="A221" s="93" t="s">
        <v>285</v>
      </c>
      <c r="B221" s="97" t="s">
        <v>2698</v>
      </c>
      <c r="C221" s="98"/>
      <c r="D221" s="107"/>
      <c r="E221" s="107"/>
      <c r="F221" s="99">
        <v>0.148</v>
      </c>
    </row>
    <row r="222" ht="14.25" spans="1:6">
      <c r="A222" s="93" t="s">
        <v>285</v>
      </c>
      <c r="B222" s="97" t="s">
        <v>2708</v>
      </c>
      <c r="C222" s="98"/>
      <c r="D222" s="107"/>
      <c r="E222" s="107"/>
      <c r="F222" s="99">
        <v>0.1</v>
      </c>
    </row>
    <row r="223" ht="14.25" spans="1:6">
      <c r="A223" s="93" t="s">
        <v>285</v>
      </c>
      <c r="B223" s="97" t="s">
        <v>2718</v>
      </c>
      <c r="C223" s="98"/>
      <c r="D223" s="107"/>
      <c r="E223" s="107"/>
      <c r="F223" s="99">
        <v>0.15</v>
      </c>
    </row>
    <row r="224" ht="14.25" spans="1:6">
      <c r="A224" s="93" t="s">
        <v>285</v>
      </c>
      <c r="B224" s="97" t="s">
        <v>2728</v>
      </c>
      <c r="C224" s="98"/>
      <c r="D224" s="107"/>
      <c r="E224" s="107"/>
      <c r="F224" s="99">
        <v>0.15</v>
      </c>
    </row>
    <row r="225" ht="14.25" spans="1:6">
      <c r="A225" s="93" t="s">
        <v>285</v>
      </c>
      <c r="B225" s="97" t="s">
        <v>2737</v>
      </c>
      <c r="C225" s="98">
        <v>0.15</v>
      </c>
      <c r="D225" s="98">
        <v>0.15</v>
      </c>
      <c r="E225" s="98">
        <v>0.15</v>
      </c>
      <c r="F225" s="99">
        <v>0.15</v>
      </c>
    </row>
    <row r="226" ht="14.25" spans="1:6">
      <c r="A226" s="93" t="s">
        <v>285</v>
      </c>
      <c r="B226" s="97" t="s">
        <v>2745</v>
      </c>
      <c r="C226" s="98">
        <v>0.15</v>
      </c>
      <c r="D226" s="98">
        <v>0.15</v>
      </c>
      <c r="E226" s="98">
        <v>0.15</v>
      </c>
      <c r="F226" s="99">
        <v>0.148</v>
      </c>
    </row>
    <row r="227" ht="14.25" spans="1:6">
      <c r="A227" s="93" t="s">
        <v>285</v>
      </c>
      <c r="B227" s="97" t="s">
        <v>2753</v>
      </c>
      <c r="C227" s="98">
        <v>0.15</v>
      </c>
      <c r="D227" s="98">
        <v>0.15</v>
      </c>
      <c r="E227" s="98">
        <v>0.15</v>
      </c>
      <c r="F227" s="99">
        <v>0.15</v>
      </c>
    </row>
    <row r="228" ht="14.25" spans="1:6">
      <c r="A228" s="93" t="s">
        <v>285</v>
      </c>
      <c r="B228" s="97" t="s">
        <v>2760</v>
      </c>
      <c r="C228" s="98">
        <v>0.15</v>
      </c>
      <c r="D228" s="98">
        <v>0.15</v>
      </c>
      <c r="E228" s="98">
        <v>0.15</v>
      </c>
      <c r="F228" s="99">
        <v>0.15</v>
      </c>
    </row>
    <row r="229" ht="14.25" spans="1:6">
      <c r="A229" s="93" t="s">
        <v>285</v>
      </c>
      <c r="B229" s="97" t="s">
        <v>2767</v>
      </c>
      <c r="C229" s="98">
        <v>0.15</v>
      </c>
      <c r="D229" s="98">
        <v>0.15</v>
      </c>
      <c r="E229" s="98">
        <v>0.15</v>
      </c>
      <c r="F229" s="106"/>
    </row>
    <row r="230" ht="14.25" spans="1:6">
      <c r="A230" s="93" t="s">
        <v>285</v>
      </c>
      <c r="B230" s="97" t="s">
        <v>2774</v>
      </c>
      <c r="C230" s="98">
        <v>0.145</v>
      </c>
      <c r="D230" s="98">
        <v>0.145</v>
      </c>
      <c r="E230" s="98">
        <v>0.144</v>
      </c>
      <c r="F230" s="106"/>
    </row>
    <row r="231" ht="14.25" spans="1:6">
      <c r="A231" s="93" t="s">
        <v>285</v>
      </c>
      <c r="B231" s="97" t="s">
        <v>2781</v>
      </c>
      <c r="C231" s="98">
        <v>0.128</v>
      </c>
      <c r="D231" s="98">
        <v>0.125</v>
      </c>
      <c r="E231" s="98">
        <v>0.132</v>
      </c>
      <c r="F231" s="106"/>
    </row>
    <row r="232" ht="14.25" spans="1:6">
      <c r="A232" s="93" t="s">
        <v>285</v>
      </c>
      <c r="B232" s="97" t="s">
        <v>2788</v>
      </c>
      <c r="C232" s="98">
        <v>0.145</v>
      </c>
      <c r="D232" s="98">
        <v>0.144</v>
      </c>
      <c r="E232" s="98">
        <v>0.146</v>
      </c>
      <c r="F232" s="99">
        <v>0.138</v>
      </c>
    </row>
    <row r="233" ht="14.25" spans="1:6">
      <c r="A233" s="93" t="s">
        <v>285</v>
      </c>
      <c r="B233" s="97" t="s">
        <v>2793</v>
      </c>
      <c r="C233" s="98">
        <v>0.145</v>
      </c>
      <c r="D233" s="98">
        <v>0.143</v>
      </c>
      <c r="E233" s="98">
        <v>0.142</v>
      </c>
      <c r="F233" s="106"/>
    </row>
    <row r="234" ht="14.25" spans="1:6">
      <c r="A234" s="93" t="s">
        <v>285</v>
      </c>
      <c r="B234" s="97" t="s">
        <v>2871</v>
      </c>
      <c r="C234" s="98">
        <v>0.14</v>
      </c>
      <c r="D234" s="98">
        <v>0.14</v>
      </c>
      <c r="E234" s="98">
        <v>0.144</v>
      </c>
      <c r="F234" s="106"/>
    </row>
    <row r="235" ht="14.25" spans="1:6">
      <c r="A235" s="93" t="s">
        <v>285</v>
      </c>
      <c r="B235" s="97" t="s">
        <v>2803</v>
      </c>
      <c r="C235" s="98">
        <v>0.141</v>
      </c>
      <c r="D235" s="98">
        <v>0.142</v>
      </c>
      <c r="E235" s="98">
        <v>0.145</v>
      </c>
      <c r="F235" s="99">
        <v>0.15</v>
      </c>
    </row>
    <row r="236" ht="14.25" spans="1:6">
      <c r="A236" s="93" t="s">
        <v>285</v>
      </c>
      <c r="B236" s="97" t="s">
        <v>2808</v>
      </c>
      <c r="C236" s="107"/>
      <c r="D236" s="107"/>
      <c r="E236" s="107"/>
      <c r="F236" s="99">
        <v>0.143</v>
      </c>
    </row>
    <row r="237" ht="24.75" spans="1:6">
      <c r="A237" s="93" t="s">
        <v>285</v>
      </c>
      <c r="B237" s="97" t="s">
        <v>2813</v>
      </c>
      <c r="C237" s="107"/>
      <c r="D237" s="107"/>
      <c r="E237" s="107"/>
      <c r="F237" s="99">
        <v>0.05</v>
      </c>
    </row>
    <row r="238" ht="24.75" spans="1:6">
      <c r="A238" s="93" t="s">
        <v>285</v>
      </c>
      <c r="B238" s="97" t="s">
        <v>2818</v>
      </c>
      <c r="C238" s="107"/>
      <c r="D238" s="107"/>
      <c r="E238" s="107"/>
      <c r="F238" s="99">
        <v>0.05</v>
      </c>
    </row>
    <row r="239" ht="24.75" spans="1:6">
      <c r="A239" s="93" t="s">
        <v>285</v>
      </c>
      <c r="B239" s="97" t="s">
        <v>2823</v>
      </c>
      <c r="C239" s="107"/>
      <c r="D239" s="107"/>
      <c r="E239" s="107"/>
      <c r="F239" s="99">
        <v>0.05</v>
      </c>
    </row>
    <row r="240" ht="24.75" spans="1:6">
      <c r="A240" s="93" t="s">
        <v>285</v>
      </c>
      <c r="B240" s="97" t="s">
        <v>2827</v>
      </c>
      <c r="C240" s="107"/>
      <c r="D240" s="107"/>
      <c r="E240" s="107"/>
      <c r="F240" s="99">
        <v>0.05</v>
      </c>
    </row>
    <row r="241" ht="24.75" spans="1:6">
      <c r="A241" s="93" t="s">
        <v>285</v>
      </c>
      <c r="B241" s="97" t="s">
        <v>2831</v>
      </c>
      <c r="C241" s="107"/>
      <c r="D241" s="107"/>
      <c r="E241" s="107"/>
      <c r="F241" s="99">
        <v>0.05</v>
      </c>
    </row>
    <row r="242" ht="24.75" spans="1:6">
      <c r="A242" s="93" t="s">
        <v>285</v>
      </c>
      <c r="B242" s="97" t="s">
        <v>2835</v>
      </c>
      <c r="C242" s="107"/>
      <c r="D242" s="107"/>
      <c r="E242" s="107"/>
      <c r="F242" s="99">
        <v>0.05</v>
      </c>
    </row>
    <row r="243" ht="24.75" spans="1:6">
      <c r="A243" s="93" t="s">
        <v>285</v>
      </c>
      <c r="B243" s="97" t="s">
        <v>2839</v>
      </c>
      <c r="C243" s="107"/>
      <c r="D243" s="107"/>
      <c r="E243" s="107"/>
      <c r="F243" s="99">
        <v>0.05</v>
      </c>
    </row>
    <row r="244" ht="24.75" spans="1:6">
      <c r="A244" s="101" t="s">
        <v>285</v>
      </c>
      <c r="B244" s="108" t="s">
        <v>2843</v>
      </c>
      <c r="C244" s="104"/>
      <c r="D244" s="104"/>
      <c r="E244" s="104"/>
      <c r="F244" s="109">
        <v>0.05</v>
      </c>
    </row>
    <row r="245" ht="14.25" spans="1:6">
      <c r="A245" s="93" t="s">
        <v>288</v>
      </c>
      <c r="B245" s="94" t="s">
        <v>2536</v>
      </c>
      <c r="C245" s="95">
        <v>0.15</v>
      </c>
      <c r="D245" s="95">
        <v>0.15</v>
      </c>
      <c r="E245" s="95">
        <v>0.15</v>
      </c>
      <c r="F245" s="96">
        <v>0.143</v>
      </c>
    </row>
    <row r="246" ht="14.25" spans="1:6">
      <c r="A246" s="93" t="s">
        <v>288</v>
      </c>
      <c r="B246" s="97" t="s">
        <v>2549</v>
      </c>
      <c r="C246" s="98">
        <v>0.15</v>
      </c>
      <c r="D246" s="98">
        <v>0.15</v>
      </c>
      <c r="E246" s="98">
        <v>0.15</v>
      </c>
      <c r="F246" s="99">
        <v>0.114</v>
      </c>
    </row>
    <row r="247" ht="14.25" spans="1:6">
      <c r="A247" s="93" t="s">
        <v>288</v>
      </c>
      <c r="B247" s="97" t="s">
        <v>2563</v>
      </c>
      <c r="C247" s="98">
        <v>0.15</v>
      </c>
      <c r="D247" s="98">
        <v>0.15</v>
      </c>
      <c r="E247" s="98">
        <v>0.15</v>
      </c>
      <c r="F247" s="99">
        <v>0.15</v>
      </c>
    </row>
    <row r="248" ht="14.25" spans="1:6">
      <c r="A248" s="93" t="s">
        <v>288</v>
      </c>
      <c r="B248" s="97" t="s">
        <v>2575</v>
      </c>
      <c r="C248" s="98">
        <v>0.15</v>
      </c>
      <c r="D248" s="98">
        <v>0.15</v>
      </c>
      <c r="E248" s="98">
        <v>0.15</v>
      </c>
      <c r="F248" s="99">
        <v>0.14</v>
      </c>
    </row>
    <row r="249" ht="14.25" spans="1:6">
      <c r="A249" s="93" t="s">
        <v>288</v>
      </c>
      <c r="B249" s="97" t="s">
        <v>2587</v>
      </c>
      <c r="C249" s="98">
        <v>0.15</v>
      </c>
      <c r="D249" s="98">
        <v>0.149</v>
      </c>
      <c r="E249" s="98">
        <v>0.15</v>
      </c>
      <c r="F249" s="99">
        <v>0.1</v>
      </c>
    </row>
    <row r="250" ht="14.25" spans="1:6">
      <c r="A250" s="93" t="s">
        <v>288</v>
      </c>
      <c r="B250" s="97" t="s">
        <v>2598</v>
      </c>
      <c r="C250" s="98">
        <v>0.15</v>
      </c>
      <c r="D250" s="98">
        <v>0.15</v>
      </c>
      <c r="E250" s="98">
        <v>0.15</v>
      </c>
      <c r="F250" s="99">
        <v>0.144</v>
      </c>
    </row>
    <row r="251" ht="14.25" spans="1:6">
      <c r="A251" s="93" t="s">
        <v>288</v>
      </c>
      <c r="B251" s="97" t="s">
        <v>2609</v>
      </c>
      <c r="C251" s="98">
        <v>0.15</v>
      </c>
      <c r="D251" s="98">
        <v>0.15</v>
      </c>
      <c r="E251" s="98">
        <v>0.15</v>
      </c>
      <c r="F251" s="99">
        <v>0.143</v>
      </c>
    </row>
    <row r="252" ht="14.25" spans="1:6">
      <c r="A252" s="93" t="s">
        <v>288</v>
      </c>
      <c r="B252" s="97" t="s">
        <v>2620</v>
      </c>
      <c r="C252" s="98">
        <v>0.15</v>
      </c>
      <c r="D252" s="98">
        <v>0.15</v>
      </c>
      <c r="E252" s="98">
        <v>0.15</v>
      </c>
      <c r="F252" s="99">
        <v>0.1</v>
      </c>
    </row>
    <row r="253" ht="14.25" spans="1:6">
      <c r="A253" s="93" t="s">
        <v>288</v>
      </c>
      <c r="B253" s="97" t="s">
        <v>2630</v>
      </c>
      <c r="C253" s="98">
        <v>0.15</v>
      </c>
      <c r="D253" s="98">
        <v>0.15</v>
      </c>
      <c r="E253" s="98">
        <v>0.15</v>
      </c>
      <c r="F253" s="99">
        <v>0.1</v>
      </c>
    </row>
    <row r="254" ht="14.25" spans="1:6">
      <c r="A254" s="93" t="s">
        <v>288</v>
      </c>
      <c r="B254" s="97" t="s">
        <v>2640</v>
      </c>
      <c r="C254" s="107"/>
      <c r="D254" s="107"/>
      <c r="E254" s="107"/>
      <c r="F254" s="99">
        <v>0.15</v>
      </c>
    </row>
    <row r="255" ht="14.25" spans="1:6">
      <c r="A255" s="93" t="s">
        <v>288</v>
      </c>
      <c r="B255" s="97" t="s">
        <v>2650</v>
      </c>
      <c r="C255" s="107"/>
      <c r="D255" s="107"/>
      <c r="E255" s="107"/>
      <c r="F255" s="99">
        <v>0.143</v>
      </c>
    </row>
    <row r="256" ht="14.25" spans="1:6">
      <c r="A256" s="93" t="s">
        <v>288</v>
      </c>
      <c r="B256" s="97" t="s">
        <v>2660</v>
      </c>
      <c r="C256" s="98">
        <v>0.146</v>
      </c>
      <c r="D256" s="98">
        <v>0.147</v>
      </c>
      <c r="E256" s="98">
        <v>0.15</v>
      </c>
      <c r="F256" s="99">
        <v>0.132</v>
      </c>
    </row>
    <row r="257" ht="14.25" spans="1:6">
      <c r="A257" s="93" t="s">
        <v>288</v>
      </c>
      <c r="B257" s="97" t="s">
        <v>2670</v>
      </c>
      <c r="C257" s="98">
        <v>0.15</v>
      </c>
      <c r="D257" s="98">
        <v>0.15</v>
      </c>
      <c r="E257" s="98">
        <v>0.15</v>
      </c>
      <c r="F257" s="99">
        <v>0.139</v>
      </c>
    </row>
    <row r="258" ht="14.25" spans="1:6">
      <c r="A258" s="93" t="s">
        <v>288</v>
      </c>
      <c r="B258" s="97" t="s">
        <v>2680</v>
      </c>
      <c r="C258" s="98">
        <v>0.15</v>
      </c>
      <c r="D258" s="98">
        <v>0.15</v>
      </c>
      <c r="E258" s="98">
        <v>0.15</v>
      </c>
      <c r="F258" s="99">
        <v>0.13</v>
      </c>
    </row>
    <row r="259" ht="14.25" spans="1:6">
      <c r="A259" s="93" t="s">
        <v>288</v>
      </c>
      <c r="B259" s="97" t="s">
        <v>2689</v>
      </c>
      <c r="C259" s="98">
        <v>0.148</v>
      </c>
      <c r="D259" s="98">
        <v>0.149</v>
      </c>
      <c r="E259" s="98">
        <v>0.15</v>
      </c>
      <c r="F259" s="99">
        <v>0.137</v>
      </c>
    </row>
    <row r="260" ht="14.25" spans="1:6">
      <c r="A260" s="93" t="s">
        <v>288</v>
      </c>
      <c r="B260" s="97" t="s">
        <v>2699</v>
      </c>
      <c r="C260" s="98">
        <v>0.15</v>
      </c>
      <c r="D260" s="98">
        <v>0.15</v>
      </c>
      <c r="E260" s="98">
        <v>0.15</v>
      </c>
      <c r="F260" s="99">
        <v>0.142</v>
      </c>
    </row>
    <row r="261" ht="14.25" spans="1:6">
      <c r="A261" s="93" t="s">
        <v>288</v>
      </c>
      <c r="B261" s="97" t="s">
        <v>2709</v>
      </c>
      <c r="C261" s="98">
        <v>0.15</v>
      </c>
      <c r="D261" s="98">
        <v>0.15</v>
      </c>
      <c r="E261" s="98">
        <v>0.149</v>
      </c>
      <c r="F261" s="99">
        <v>0.148</v>
      </c>
    </row>
    <row r="262" ht="14.25" spans="1:6">
      <c r="A262" s="93" t="s">
        <v>288</v>
      </c>
      <c r="B262" s="97" t="s">
        <v>2719</v>
      </c>
      <c r="C262" s="98">
        <v>0.15</v>
      </c>
      <c r="D262" s="98">
        <v>0.15</v>
      </c>
      <c r="E262" s="98">
        <v>0.15</v>
      </c>
      <c r="F262" s="106"/>
    </row>
    <row r="263" ht="14.25" spans="1:6">
      <c r="A263" s="93" t="s">
        <v>288</v>
      </c>
      <c r="B263" s="97" t="s">
        <v>2729</v>
      </c>
      <c r="C263" s="98">
        <v>0.149</v>
      </c>
      <c r="D263" s="98">
        <v>0.149</v>
      </c>
      <c r="E263" s="98">
        <v>0.15</v>
      </c>
      <c r="F263" s="99">
        <v>0.13</v>
      </c>
    </row>
    <row r="264" ht="14.25" spans="1:6">
      <c r="A264" s="93" t="s">
        <v>288</v>
      </c>
      <c r="B264" s="97" t="s">
        <v>2738</v>
      </c>
      <c r="C264" s="98">
        <v>0.148</v>
      </c>
      <c r="D264" s="98">
        <v>0.147</v>
      </c>
      <c r="E264" s="98">
        <v>0.15</v>
      </c>
      <c r="F264" s="99">
        <v>0.078</v>
      </c>
    </row>
    <row r="265" ht="14.25" spans="1:6">
      <c r="A265" s="93" t="s">
        <v>288</v>
      </c>
      <c r="B265" s="97" t="s">
        <v>2746</v>
      </c>
      <c r="C265" s="98">
        <v>0.15</v>
      </c>
      <c r="D265" s="98">
        <v>0.15</v>
      </c>
      <c r="E265" s="98">
        <v>0.15</v>
      </c>
      <c r="F265" s="99">
        <v>0.074</v>
      </c>
    </row>
    <row r="266" ht="14.25" spans="1:6">
      <c r="A266" s="93" t="s">
        <v>288</v>
      </c>
      <c r="B266" s="97" t="s">
        <v>2754</v>
      </c>
      <c r="C266" s="98">
        <v>0.147</v>
      </c>
      <c r="D266" s="98">
        <v>0.147</v>
      </c>
      <c r="E266" s="98">
        <v>0.15</v>
      </c>
      <c r="F266" s="99">
        <v>0.143</v>
      </c>
    </row>
    <row r="267" ht="14.25" spans="1:6">
      <c r="A267" s="93" t="s">
        <v>288</v>
      </c>
      <c r="B267" s="97" t="s">
        <v>2761</v>
      </c>
      <c r="C267" s="98">
        <v>0.142</v>
      </c>
      <c r="D267" s="98">
        <v>0.143</v>
      </c>
      <c r="E267" s="98">
        <v>0.15</v>
      </c>
      <c r="F267" s="106"/>
    </row>
    <row r="268" ht="14.25" spans="1:6">
      <c r="A268" s="93" t="s">
        <v>288</v>
      </c>
      <c r="B268" s="97" t="s">
        <v>2768</v>
      </c>
      <c r="C268" s="98">
        <v>0.15</v>
      </c>
      <c r="D268" s="98">
        <v>0.15</v>
      </c>
      <c r="E268" s="98">
        <v>0.15</v>
      </c>
      <c r="F268" s="99">
        <v>0.13</v>
      </c>
    </row>
    <row r="269" ht="14.25" spans="1:6">
      <c r="A269" s="93" t="s">
        <v>288</v>
      </c>
      <c r="B269" s="97" t="s">
        <v>2775</v>
      </c>
      <c r="C269" s="98">
        <v>0.15</v>
      </c>
      <c r="D269" s="98">
        <v>0.15</v>
      </c>
      <c r="E269" s="98">
        <v>0.15</v>
      </c>
      <c r="F269" s="99">
        <v>0.143</v>
      </c>
    </row>
    <row r="270" ht="14.25" spans="1:6">
      <c r="A270" s="93" t="s">
        <v>288</v>
      </c>
      <c r="B270" s="97" t="s">
        <v>2782</v>
      </c>
      <c r="C270" s="98">
        <v>0.145</v>
      </c>
      <c r="D270" s="98">
        <v>0.145</v>
      </c>
      <c r="E270" s="98">
        <v>0.15</v>
      </c>
      <c r="F270" s="99">
        <v>0.147</v>
      </c>
    </row>
    <row r="271" ht="14.25" spans="1:6">
      <c r="A271" s="93" t="s">
        <v>288</v>
      </c>
      <c r="B271" s="97" t="s">
        <v>2789</v>
      </c>
      <c r="C271" s="98">
        <v>0.15</v>
      </c>
      <c r="D271" s="98">
        <v>0.15</v>
      </c>
      <c r="E271" s="98">
        <v>0.15</v>
      </c>
      <c r="F271" s="99">
        <v>0.138</v>
      </c>
    </row>
    <row r="272" ht="14.25" spans="1:6">
      <c r="A272" s="93" t="s">
        <v>288</v>
      </c>
      <c r="B272" s="97" t="s">
        <v>2794</v>
      </c>
      <c r="C272" s="107"/>
      <c r="D272" s="107"/>
      <c r="E272" s="107"/>
      <c r="F272" s="99">
        <v>0.14</v>
      </c>
    </row>
    <row r="273" ht="14.25" spans="1:6">
      <c r="A273" s="93" t="s">
        <v>288</v>
      </c>
      <c r="B273" s="97" t="s">
        <v>2799</v>
      </c>
      <c r="C273" s="98">
        <v>0.142</v>
      </c>
      <c r="D273" s="98">
        <v>0.143</v>
      </c>
      <c r="E273" s="98">
        <v>0.15</v>
      </c>
      <c r="F273" s="99">
        <v>0.1</v>
      </c>
    </row>
    <row r="274" ht="14.25" spans="1:6">
      <c r="A274" s="93" t="s">
        <v>288</v>
      </c>
      <c r="B274" s="97" t="s">
        <v>2804</v>
      </c>
      <c r="C274" s="98">
        <v>0.148</v>
      </c>
      <c r="D274" s="98">
        <v>0.148</v>
      </c>
      <c r="E274" s="98">
        <v>0.15</v>
      </c>
      <c r="F274" s="99">
        <v>0.067</v>
      </c>
    </row>
    <row r="275" ht="14.25" spans="1:6">
      <c r="A275" s="93" t="s">
        <v>288</v>
      </c>
      <c r="B275" s="97" t="s">
        <v>2809</v>
      </c>
      <c r="C275" s="98">
        <v>0.15</v>
      </c>
      <c r="D275" s="98">
        <v>0.15</v>
      </c>
      <c r="E275" s="98">
        <v>0.15</v>
      </c>
      <c r="F275" s="99">
        <v>0.15</v>
      </c>
    </row>
    <row r="276" ht="14.25" spans="1:6">
      <c r="A276" s="93" t="s">
        <v>288</v>
      </c>
      <c r="B276" s="97" t="s">
        <v>2814</v>
      </c>
      <c r="C276" s="98">
        <v>0.145</v>
      </c>
      <c r="D276" s="98">
        <v>0.143</v>
      </c>
      <c r="E276" s="98">
        <v>0.15</v>
      </c>
      <c r="F276" s="99">
        <v>0.059</v>
      </c>
    </row>
    <row r="277" ht="14.25" spans="1:6">
      <c r="A277" s="93" t="s">
        <v>288</v>
      </c>
      <c r="B277" s="97" t="s">
        <v>2819</v>
      </c>
      <c r="C277" s="98">
        <v>0.15</v>
      </c>
      <c r="D277" s="98">
        <v>0.15</v>
      </c>
      <c r="E277" s="98">
        <v>0.15</v>
      </c>
      <c r="F277" s="99">
        <v>0.121</v>
      </c>
    </row>
    <row r="278" ht="14.25" spans="1:6">
      <c r="A278" s="93" t="s">
        <v>288</v>
      </c>
      <c r="B278" s="97" t="s">
        <v>2824</v>
      </c>
      <c r="C278" s="98">
        <v>0.15</v>
      </c>
      <c r="D278" s="98">
        <v>0.15</v>
      </c>
      <c r="E278" s="98">
        <v>0.15</v>
      </c>
      <c r="F278" s="99">
        <v>0.138</v>
      </c>
    </row>
    <row r="279" ht="24.75" spans="1:6">
      <c r="A279" s="93" t="s">
        <v>288</v>
      </c>
      <c r="B279" s="97" t="s">
        <v>2828</v>
      </c>
      <c r="C279" s="107"/>
      <c r="D279" s="107"/>
      <c r="E279" s="107"/>
      <c r="F279" s="99">
        <v>0.05</v>
      </c>
    </row>
    <row r="280" ht="24.75" spans="1:6">
      <c r="A280" s="93" t="s">
        <v>288</v>
      </c>
      <c r="B280" s="97" t="s">
        <v>2832</v>
      </c>
      <c r="C280" s="107"/>
      <c r="D280" s="107"/>
      <c r="E280" s="107"/>
      <c r="F280" s="99">
        <v>0.05</v>
      </c>
    </row>
    <row r="281" ht="24.75" spans="1:6">
      <c r="A281" s="93" t="s">
        <v>288</v>
      </c>
      <c r="B281" s="97" t="s">
        <v>2836</v>
      </c>
      <c r="C281" s="107"/>
      <c r="D281" s="107"/>
      <c r="E281" s="107"/>
      <c r="F281" s="99">
        <v>0.05</v>
      </c>
    </row>
    <row r="282" ht="24.75" spans="1:6">
      <c r="A282" s="93" t="s">
        <v>288</v>
      </c>
      <c r="B282" s="97" t="s">
        <v>2840</v>
      </c>
      <c r="C282" s="107"/>
      <c r="D282" s="107"/>
      <c r="E282" s="107"/>
      <c r="F282" s="99">
        <v>0.05</v>
      </c>
    </row>
    <row r="283" ht="24.75" spans="1:6">
      <c r="A283" s="93" t="s">
        <v>288</v>
      </c>
      <c r="B283" s="97" t="s">
        <v>2844</v>
      </c>
      <c r="C283" s="107"/>
      <c r="D283" s="107"/>
      <c r="E283" s="107"/>
      <c r="F283" s="99">
        <v>0.05</v>
      </c>
    </row>
    <row r="284" ht="24.75" spans="1:6">
      <c r="A284" s="93" t="s">
        <v>288</v>
      </c>
      <c r="B284" s="97" t="s">
        <v>2847</v>
      </c>
      <c r="C284" s="107"/>
      <c r="D284" s="107"/>
      <c r="E284" s="107"/>
      <c r="F284" s="99">
        <v>0.05</v>
      </c>
    </row>
    <row r="285" ht="24.75" spans="1:6">
      <c r="A285" s="93" t="s">
        <v>288</v>
      </c>
      <c r="B285" s="97" t="s">
        <v>2850</v>
      </c>
      <c r="C285" s="107"/>
      <c r="D285" s="107"/>
      <c r="E285" s="107"/>
      <c r="F285" s="99">
        <v>0.05</v>
      </c>
    </row>
    <row r="286" ht="24.75" spans="1:6">
      <c r="A286" s="93" t="s">
        <v>288</v>
      </c>
      <c r="B286" s="97" t="s">
        <v>2853</v>
      </c>
      <c r="C286" s="107"/>
      <c r="D286" s="107"/>
      <c r="E286" s="107"/>
      <c r="F286" s="99">
        <v>0.05</v>
      </c>
    </row>
    <row r="287" ht="24.75" spans="1:6">
      <c r="A287" s="93" t="s">
        <v>288</v>
      </c>
      <c r="B287" s="97" t="s">
        <v>2856</v>
      </c>
      <c r="C287" s="107"/>
      <c r="D287" s="107"/>
      <c r="E287" s="107"/>
      <c r="F287" s="99">
        <v>0.05</v>
      </c>
    </row>
    <row r="288" ht="24.75" spans="1:6">
      <c r="A288" s="93" t="s">
        <v>288</v>
      </c>
      <c r="B288" s="97" t="s">
        <v>2859</v>
      </c>
      <c r="C288" s="107"/>
      <c r="D288" s="107"/>
      <c r="E288" s="107"/>
      <c r="F288" s="99">
        <v>0.05</v>
      </c>
    </row>
    <row r="289" ht="24.75" spans="1:6">
      <c r="A289" s="101" t="s">
        <v>288</v>
      </c>
      <c r="B289" s="108" t="s">
        <v>2862</v>
      </c>
      <c r="C289" s="104"/>
      <c r="D289" s="104"/>
      <c r="E289" s="104"/>
      <c r="F289" s="109">
        <v>0.05</v>
      </c>
    </row>
    <row r="290" ht="14.25" spans="1:6">
      <c r="A290" s="93" t="s">
        <v>291</v>
      </c>
      <c r="B290" s="94" t="s">
        <v>2537</v>
      </c>
      <c r="C290" s="95">
        <v>0.15</v>
      </c>
      <c r="D290" s="95">
        <v>0.15</v>
      </c>
      <c r="E290" s="95">
        <v>0.15</v>
      </c>
      <c r="F290" s="117"/>
    </row>
    <row r="291" ht="14.25" spans="1:6">
      <c r="A291" s="93" t="s">
        <v>291</v>
      </c>
      <c r="B291" s="97" t="s">
        <v>2550</v>
      </c>
      <c r="C291" s="98">
        <v>0.15</v>
      </c>
      <c r="D291" s="98">
        <v>0.15</v>
      </c>
      <c r="E291" s="98">
        <v>0.15</v>
      </c>
      <c r="F291" s="106"/>
    </row>
    <row r="292" ht="14.25" spans="1:6">
      <c r="A292" s="93" t="s">
        <v>291</v>
      </c>
      <c r="B292" s="97" t="s">
        <v>2564</v>
      </c>
      <c r="C292" s="98">
        <v>0.15</v>
      </c>
      <c r="D292" s="98">
        <v>0.15</v>
      </c>
      <c r="E292" s="98">
        <v>0.15</v>
      </c>
      <c r="F292" s="99">
        <v>0.147</v>
      </c>
    </row>
    <row r="293" ht="14.25" spans="1:6">
      <c r="A293" s="93" t="s">
        <v>291</v>
      </c>
      <c r="B293" s="97" t="s">
        <v>2869</v>
      </c>
      <c r="C293" s="107"/>
      <c r="D293" s="107"/>
      <c r="E293" s="107"/>
      <c r="F293" s="99">
        <v>0.1</v>
      </c>
    </row>
    <row r="294" ht="14.25" spans="1:6">
      <c r="A294" s="93" t="s">
        <v>291</v>
      </c>
      <c r="B294" s="97" t="s">
        <v>2576</v>
      </c>
      <c r="C294" s="98">
        <v>0.15</v>
      </c>
      <c r="D294" s="98">
        <v>0.15</v>
      </c>
      <c r="E294" s="98">
        <v>0.15</v>
      </c>
      <c r="F294" s="99">
        <v>0.15</v>
      </c>
    </row>
    <row r="295" ht="14.25" spans="1:6">
      <c r="A295" s="93" t="s">
        <v>291</v>
      </c>
      <c r="B295" s="97" t="s">
        <v>2588</v>
      </c>
      <c r="C295" s="98">
        <v>0.15</v>
      </c>
      <c r="D295" s="98">
        <v>0.15</v>
      </c>
      <c r="E295" s="98">
        <v>0.15</v>
      </c>
      <c r="F295" s="99">
        <v>0.15</v>
      </c>
    </row>
    <row r="296" ht="14.25" spans="1:6">
      <c r="A296" s="93" t="s">
        <v>291</v>
      </c>
      <c r="B296" s="97" t="s">
        <v>2599</v>
      </c>
      <c r="C296" s="98">
        <v>0.15</v>
      </c>
      <c r="D296" s="98">
        <v>0.15</v>
      </c>
      <c r="E296" s="98">
        <v>0.15</v>
      </c>
      <c r="F296" s="99">
        <v>0.15</v>
      </c>
    </row>
    <row r="297" ht="14.25" spans="1:6">
      <c r="A297" s="93" t="s">
        <v>291</v>
      </c>
      <c r="B297" s="97" t="s">
        <v>2610</v>
      </c>
      <c r="C297" s="98">
        <v>0.148</v>
      </c>
      <c r="D297" s="98">
        <v>0.149</v>
      </c>
      <c r="E297" s="98">
        <v>0.15</v>
      </c>
      <c r="F297" s="99">
        <v>0.137</v>
      </c>
    </row>
    <row r="298" ht="14.25" spans="1:6">
      <c r="A298" s="93" t="s">
        <v>291</v>
      </c>
      <c r="B298" s="97" t="s">
        <v>2621</v>
      </c>
      <c r="C298" s="98">
        <v>0.134</v>
      </c>
      <c r="D298" s="98">
        <v>0.134</v>
      </c>
      <c r="E298" s="98">
        <v>0.145</v>
      </c>
      <c r="F298" s="99">
        <v>0.148</v>
      </c>
    </row>
    <row r="299" ht="14.25" spans="1:6">
      <c r="A299" s="93" t="s">
        <v>291</v>
      </c>
      <c r="B299" s="97" t="s">
        <v>2631</v>
      </c>
      <c r="C299" s="98">
        <v>0.15</v>
      </c>
      <c r="D299" s="98">
        <v>0.15</v>
      </c>
      <c r="E299" s="98">
        <v>0.15</v>
      </c>
      <c r="F299" s="106"/>
    </row>
    <row r="300" ht="14.25" spans="1:6">
      <c r="A300" s="93" t="s">
        <v>291</v>
      </c>
      <c r="B300" s="97" t="s">
        <v>2641</v>
      </c>
      <c r="C300" s="98">
        <v>0.15</v>
      </c>
      <c r="D300" s="98">
        <v>0.15</v>
      </c>
      <c r="E300" s="98">
        <v>0.15</v>
      </c>
      <c r="F300" s="99">
        <v>0.15</v>
      </c>
    </row>
    <row r="301" ht="14.25" spans="1:6">
      <c r="A301" s="93" t="s">
        <v>291</v>
      </c>
      <c r="B301" s="97" t="s">
        <v>2651</v>
      </c>
      <c r="C301" s="98">
        <v>0.15</v>
      </c>
      <c r="D301" s="98">
        <v>0.15</v>
      </c>
      <c r="E301" s="98">
        <v>0.15</v>
      </c>
      <c r="F301" s="106"/>
    </row>
    <row r="302" ht="14.25" spans="1:6">
      <c r="A302" s="93" t="s">
        <v>291</v>
      </c>
      <c r="B302" s="97" t="s">
        <v>2661</v>
      </c>
      <c r="C302" s="98">
        <v>0.15</v>
      </c>
      <c r="D302" s="98">
        <v>0.15</v>
      </c>
      <c r="E302" s="98">
        <v>0.15</v>
      </c>
      <c r="F302" s="99">
        <v>0.15</v>
      </c>
    </row>
    <row r="303" ht="14.25" spans="1:6">
      <c r="A303" s="93" t="s">
        <v>291</v>
      </c>
      <c r="B303" s="97" t="s">
        <v>2671</v>
      </c>
      <c r="C303" s="98">
        <v>0.15</v>
      </c>
      <c r="D303" s="98">
        <v>0.15</v>
      </c>
      <c r="E303" s="98">
        <v>0.15</v>
      </c>
      <c r="F303" s="99">
        <v>0.15</v>
      </c>
    </row>
    <row r="304" ht="14.25" spans="1:6">
      <c r="A304" s="93" t="s">
        <v>291</v>
      </c>
      <c r="B304" s="97" t="s">
        <v>2681</v>
      </c>
      <c r="C304" s="98">
        <v>0.15</v>
      </c>
      <c r="D304" s="98">
        <v>0.15</v>
      </c>
      <c r="E304" s="98">
        <v>0.15</v>
      </c>
      <c r="F304" s="106"/>
    </row>
    <row r="305" ht="14.25" spans="1:6">
      <c r="A305" s="93" t="s">
        <v>291</v>
      </c>
      <c r="B305" s="97" t="s">
        <v>2690</v>
      </c>
      <c r="C305" s="98">
        <v>0.15</v>
      </c>
      <c r="D305" s="98">
        <v>0.15</v>
      </c>
      <c r="E305" s="98">
        <v>0.15</v>
      </c>
      <c r="F305" s="99">
        <v>0.14</v>
      </c>
    </row>
    <row r="306" ht="14.25" spans="1:6">
      <c r="A306" s="93" t="s">
        <v>291</v>
      </c>
      <c r="B306" s="97" t="s">
        <v>2700</v>
      </c>
      <c r="C306" s="98">
        <v>0.15</v>
      </c>
      <c r="D306" s="98">
        <v>0.15</v>
      </c>
      <c r="E306" s="98">
        <v>0.15</v>
      </c>
      <c r="F306" s="106"/>
    </row>
    <row r="307" ht="14.25" spans="1:6">
      <c r="A307" s="93" t="s">
        <v>291</v>
      </c>
      <c r="B307" s="97" t="s">
        <v>2710</v>
      </c>
      <c r="C307" s="98">
        <v>0.15</v>
      </c>
      <c r="D307" s="98">
        <v>0.15</v>
      </c>
      <c r="E307" s="98">
        <v>0.15</v>
      </c>
      <c r="F307" s="99">
        <v>0.143</v>
      </c>
    </row>
    <row r="308" ht="14.25" spans="1:6">
      <c r="A308" s="93" t="s">
        <v>291</v>
      </c>
      <c r="B308" s="97" t="s">
        <v>2720</v>
      </c>
      <c r="C308" s="98">
        <v>0.15</v>
      </c>
      <c r="D308" s="98">
        <v>0.15</v>
      </c>
      <c r="E308" s="98">
        <v>0.15</v>
      </c>
      <c r="F308" s="99">
        <v>0.15</v>
      </c>
    </row>
    <row r="309" ht="14.25" spans="1:6">
      <c r="A309" s="93" t="s">
        <v>291</v>
      </c>
      <c r="B309" s="97" t="s">
        <v>2730</v>
      </c>
      <c r="C309" s="98">
        <v>0.15</v>
      </c>
      <c r="D309" s="98">
        <v>0.15</v>
      </c>
      <c r="E309" s="98">
        <v>0.15</v>
      </c>
      <c r="F309" s="106"/>
    </row>
    <row r="310" ht="14.25" spans="1:6">
      <c r="A310" s="93" t="s">
        <v>291</v>
      </c>
      <c r="B310" s="97" t="s">
        <v>2739</v>
      </c>
      <c r="C310" s="98">
        <v>0.15</v>
      </c>
      <c r="D310" s="98">
        <v>0.15</v>
      </c>
      <c r="E310" s="98">
        <v>0.15</v>
      </c>
      <c r="F310" s="99">
        <v>0.137</v>
      </c>
    </row>
    <row r="311" ht="14.25" spans="1:6">
      <c r="A311" s="93" t="s">
        <v>291</v>
      </c>
      <c r="B311" s="97" t="s">
        <v>2747</v>
      </c>
      <c r="C311" s="98">
        <v>0.15</v>
      </c>
      <c r="D311" s="98">
        <v>0.15</v>
      </c>
      <c r="E311" s="98">
        <v>0.15</v>
      </c>
      <c r="F311" s="99">
        <v>0.15</v>
      </c>
    </row>
    <row r="312" ht="14.25" spans="1:6">
      <c r="A312" s="93" t="s">
        <v>291</v>
      </c>
      <c r="B312" s="97" t="s">
        <v>2755</v>
      </c>
      <c r="C312" s="98">
        <v>0.15</v>
      </c>
      <c r="D312" s="98">
        <v>0.15</v>
      </c>
      <c r="E312" s="98">
        <v>0.15</v>
      </c>
      <c r="F312" s="99">
        <v>0.1</v>
      </c>
    </row>
    <row r="313" ht="14.25" spans="1:6">
      <c r="A313" s="93" t="s">
        <v>291</v>
      </c>
      <c r="B313" s="97" t="s">
        <v>2762</v>
      </c>
      <c r="C313" s="98">
        <v>0.15</v>
      </c>
      <c r="D313" s="98">
        <v>0.15</v>
      </c>
      <c r="E313" s="98">
        <v>0.15</v>
      </c>
      <c r="F313" s="99">
        <v>0.15</v>
      </c>
    </row>
    <row r="314" ht="24.75" spans="1:6">
      <c r="A314" s="93" t="s">
        <v>291</v>
      </c>
      <c r="B314" s="97" t="s">
        <v>2769</v>
      </c>
      <c r="C314" s="107"/>
      <c r="D314" s="107"/>
      <c r="E314" s="107"/>
      <c r="F314" s="99">
        <v>0.05</v>
      </c>
    </row>
    <row r="315" ht="24.75" spans="1:6">
      <c r="A315" s="93" t="s">
        <v>291</v>
      </c>
      <c r="B315" s="97" t="s">
        <v>2776</v>
      </c>
      <c r="C315" s="107"/>
      <c r="D315" s="107"/>
      <c r="E315" s="107"/>
      <c r="F315" s="99">
        <v>0.05</v>
      </c>
    </row>
    <row r="316" ht="24.75" spans="1:6">
      <c r="A316" s="101" t="s">
        <v>291</v>
      </c>
      <c r="B316" s="108" t="s">
        <v>2783</v>
      </c>
      <c r="C316" s="104"/>
      <c r="D316" s="104"/>
      <c r="E316" s="104"/>
      <c r="F316" s="109">
        <v>0.05</v>
      </c>
    </row>
    <row r="317" ht="14.25" spans="1:6">
      <c r="A317" s="93" t="s">
        <v>294</v>
      </c>
      <c r="B317" s="94" t="s">
        <v>2538</v>
      </c>
      <c r="C317" s="95">
        <v>0.15</v>
      </c>
      <c r="D317" s="95">
        <v>0.15</v>
      </c>
      <c r="E317" s="95">
        <v>0.15</v>
      </c>
      <c r="F317" s="96">
        <v>0.15</v>
      </c>
    </row>
    <row r="318" ht="14.25" spans="1:6">
      <c r="A318" s="93" t="s">
        <v>294</v>
      </c>
      <c r="B318" s="97" t="s">
        <v>2551</v>
      </c>
      <c r="C318" s="98">
        <v>0.107</v>
      </c>
      <c r="D318" s="98">
        <v>0.11</v>
      </c>
      <c r="E318" s="98">
        <v>0.112</v>
      </c>
      <c r="F318" s="106"/>
    </row>
    <row r="319" ht="14.25" spans="1:6">
      <c r="A319" s="93" t="s">
        <v>294</v>
      </c>
      <c r="B319" s="97" t="s">
        <v>2565</v>
      </c>
      <c r="C319" s="98">
        <v>0.15</v>
      </c>
      <c r="D319" s="98">
        <v>0.15</v>
      </c>
      <c r="E319" s="98">
        <v>0.15</v>
      </c>
      <c r="F319" s="99">
        <v>0.15</v>
      </c>
    </row>
    <row r="320" ht="14.25" spans="1:6">
      <c r="A320" s="93" t="s">
        <v>294</v>
      </c>
      <c r="B320" s="97" t="s">
        <v>2577</v>
      </c>
      <c r="C320" s="98">
        <v>0.15</v>
      </c>
      <c r="D320" s="98">
        <v>0.15</v>
      </c>
      <c r="E320" s="98">
        <v>0.15</v>
      </c>
      <c r="F320" s="106"/>
    </row>
    <row r="321" ht="14.25" spans="1:6">
      <c r="A321" s="93" t="s">
        <v>294</v>
      </c>
      <c r="B321" s="97" t="s">
        <v>2589</v>
      </c>
      <c r="C321" s="98">
        <v>0.15</v>
      </c>
      <c r="D321" s="98">
        <v>0.15</v>
      </c>
      <c r="E321" s="98">
        <v>0.15</v>
      </c>
      <c r="F321" s="106"/>
    </row>
    <row r="322" ht="14.25" spans="1:6">
      <c r="A322" s="93" t="s">
        <v>294</v>
      </c>
      <c r="B322" s="97" t="s">
        <v>2600</v>
      </c>
      <c r="C322" s="98">
        <v>0.15</v>
      </c>
      <c r="D322" s="98">
        <v>0.15</v>
      </c>
      <c r="E322" s="98">
        <v>0.15</v>
      </c>
      <c r="F322" s="99">
        <v>0.15</v>
      </c>
    </row>
    <row r="323" ht="14.25" spans="1:6">
      <c r="A323" s="93" t="s">
        <v>294</v>
      </c>
      <c r="B323" s="97" t="s">
        <v>2611</v>
      </c>
      <c r="C323" s="98">
        <v>0.15</v>
      </c>
      <c r="D323" s="98">
        <v>0.15</v>
      </c>
      <c r="E323" s="98">
        <v>0.15</v>
      </c>
      <c r="F323" s="106"/>
    </row>
    <row r="324" ht="14.25" spans="1:6">
      <c r="A324" s="93" t="s">
        <v>294</v>
      </c>
      <c r="B324" s="97" t="s">
        <v>2622</v>
      </c>
      <c r="C324" s="98">
        <v>0.15</v>
      </c>
      <c r="D324" s="98">
        <v>0.15</v>
      </c>
      <c r="E324" s="98">
        <v>0.15</v>
      </c>
      <c r="F324" s="106"/>
    </row>
    <row r="325" ht="14.25" spans="1:6">
      <c r="A325" s="93" t="s">
        <v>294</v>
      </c>
      <c r="B325" s="97" t="s">
        <v>2632</v>
      </c>
      <c r="C325" s="98">
        <v>0.15</v>
      </c>
      <c r="D325" s="98">
        <v>0.15</v>
      </c>
      <c r="E325" s="98">
        <v>0.15</v>
      </c>
      <c r="F325" s="99">
        <v>0.147</v>
      </c>
    </row>
    <row r="326" ht="14.25" spans="1:6">
      <c r="A326" s="93" t="s">
        <v>294</v>
      </c>
      <c r="B326" s="97" t="s">
        <v>2642</v>
      </c>
      <c r="C326" s="98">
        <v>0.15</v>
      </c>
      <c r="D326" s="98">
        <v>0.15</v>
      </c>
      <c r="E326" s="98">
        <v>0.15</v>
      </c>
      <c r="F326" s="106"/>
    </row>
    <row r="327" ht="14.25" spans="1:6">
      <c r="A327" s="93" t="s">
        <v>294</v>
      </c>
      <c r="B327" s="97" t="s">
        <v>2652</v>
      </c>
      <c r="C327" s="98">
        <v>0.15</v>
      </c>
      <c r="D327" s="98">
        <v>0.15</v>
      </c>
      <c r="E327" s="98">
        <v>0.15</v>
      </c>
      <c r="F327" s="99">
        <v>0.15</v>
      </c>
    </row>
    <row r="328" ht="14.25" spans="1:6">
      <c r="A328" s="93" t="s">
        <v>294</v>
      </c>
      <c r="B328" s="97" t="s">
        <v>2662</v>
      </c>
      <c r="C328" s="98">
        <v>0.15</v>
      </c>
      <c r="D328" s="98">
        <v>0.15</v>
      </c>
      <c r="E328" s="98">
        <v>0.15</v>
      </c>
      <c r="F328" s="99">
        <v>0.141</v>
      </c>
    </row>
    <row r="329" ht="14.25" spans="1:6">
      <c r="A329" s="93" t="s">
        <v>294</v>
      </c>
      <c r="B329" s="97" t="s">
        <v>2672</v>
      </c>
      <c r="C329" s="98">
        <v>0.15</v>
      </c>
      <c r="D329" s="98">
        <v>0.15</v>
      </c>
      <c r="E329" s="98">
        <v>0.15</v>
      </c>
      <c r="F329" s="99">
        <v>0.15</v>
      </c>
    </row>
    <row r="330" ht="14.25" spans="1:6">
      <c r="A330" s="93" t="s">
        <v>294</v>
      </c>
      <c r="B330" s="97" t="s">
        <v>2682</v>
      </c>
      <c r="C330" s="98">
        <v>0.15</v>
      </c>
      <c r="D330" s="98">
        <v>0.15</v>
      </c>
      <c r="E330" s="98">
        <v>0.15</v>
      </c>
      <c r="F330" s="106"/>
    </row>
    <row r="331" ht="14.25" spans="1:6">
      <c r="A331" s="93" t="s">
        <v>294</v>
      </c>
      <c r="B331" s="97" t="s">
        <v>2691</v>
      </c>
      <c r="C331" s="98">
        <v>0.15</v>
      </c>
      <c r="D331" s="98">
        <v>0.15</v>
      </c>
      <c r="E331" s="98">
        <v>0.15</v>
      </c>
      <c r="F331" s="99">
        <v>0.15</v>
      </c>
    </row>
    <row r="332" ht="14.25" spans="1:6">
      <c r="A332" s="93" t="s">
        <v>294</v>
      </c>
      <c r="B332" s="97" t="s">
        <v>2701</v>
      </c>
      <c r="C332" s="98">
        <v>0.15</v>
      </c>
      <c r="D332" s="98">
        <v>0.15</v>
      </c>
      <c r="E332" s="98">
        <v>0.15</v>
      </c>
      <c r="F332" s="99">
        <v>0.15</v>
      </c>
    </row>
    <row r="333" ht="14.25" spans="1:6">
      <c r="A333" s="93" t="s">
        <v>294</v>
      </c>
      <c r="B333" s="97" t="s">
        <v>2711</v>
      </c>
      <c r="C333" s="98">
        <v>0.15</v>
      </c>
      <c r="D333" s="98">
        <v>0.15</v>
      </c>
      <c r="E333" s="98">
        <v>0.15</v>
      </c>
      <c r="F333" s="99">
        <v>0.141</v>
      </c>
    </row>
    <row r="334" ht="14.25" spans="1:6">
      <c r="A334" s="93" t="s">
        <v>294</v>
      </c>
      <c r="B334" s="97" t="s">
        <v>2721</v>
      </c>
      <c r="C334" s="98">
        <v>0.15</v>
      </c>
      <c r="D334" s="98">
        <v>0.15</v>
      </c>
      <c r="E334" s="98">
        <v>0.15</v>
      </c>
      <c r="F334" s="99">
        <v>0.15</v>
      </c>
    </row>
    <row r="335" ht="14.25" spans="1:6">
      <c r="A335" s="93" t="s">
        <v>294</v>
      </c>
      <c r="B335" s="97" t="s">
        <v>2731</v>
      </c>
      <c r="C335" s="98">
        <v>0.15</v>
      </c>
      <c r="D335" s="98">
        <v>0.15</v>
      </c>
      <c r="E335" s="98">
        <v>0.15</v>
      </c>
      <c r="F335" s="106"/>
    </row>
    <row r="336" ht="14.25" spans="1:6">
      <c r="A336" s="93" t="s">
        <v>294</v>
      </c>
      <c r="B336" s="97" t="s">
        <v>2740</v>
      </c>
      <c r="C336" s="98">
        <v>0.15</v>
      </c>
      <c r="D336" s="98">
        <v>0.15</v>
      </c>
      <c r="E336" s="98">
        <v>0.15</v>
      </c>
      <c r="F336" s="99">
        <v>0.118</v>
      </c>
    </row>
    <row r="337" ht="14.25" spans="1:6">
      <c r="A337" s="101" t="s">
        <v>294</v>
      </c>
      <c r="B337" s="108" t="s">
        <v>2748</v>
      </c>
      <c r="C337" s="104"/>
      <c r="D337" s="104"/>
      <c r="E337" s="104"/>
      <c r="F337" s="109">
        <v>0.143</v>
      </c>
    </row>
    <row r="338" ht="14.25" spans="1:6">
      <c r="A338" s="93" t="s">
        <v>297</v>
      </c>
      <c r="B338" s="94" t="s">
        <v>2539</v>
      </c>
      <c r="C338" s="95">
        <v>0.15</v>
      </c>
      <c r="D338" s="95">
        <v>0.15</v>
      </c>
      <c r="E338" s="95">
        <v>0.15</v>
      </c>
      <c r="F338" s="117"/>
    </row>
    <row r="339" ht="14.25" spans="1:6">
      <c r="A339" s="93" t="s">
        <v>297</v>
      </c>
      <c r="B339" s="97" t="s">
        <v>2552</v>
      </c>
      <c r="C339" s="98">
        <v>0.15</v>
      </c>
      <c r="D339" s="98">
        <v>0.15</v>
      </c>
      <c r="E339" s="98">
        <v>0.15</v>
      </c>
      <c r="F339" s="106"/>
    </row>
    <row r="340" ht="14.25" spans="1:6">
      <c r="A340" s="93" t="s">
        <v>297</v>
      </c>
      <c r="B340" s="97" t="s">
        <v>2566</v>
      </c>
      <c r="C340" s="98">
        <v>0.15</v>
      </c>
      <c r="D340" s="98">
        <v>0.15</v>
      </c>
      <c r="E340" s="98">
        <v>0.15</v>
      </c>
      <c r="F340" s="106"/>
    </row>
    <row r="341" ht="14.25" spans="1:6">
      <c r="A341" s="93" t="s">
        <v>297</v>
      </c>
      <c r="B341" s="97" t="s">
        <v>2578</v>
      </c>
      <c r="C341" s="98">
        <v>0.15</v>
      </c>
      <c r="D341" s="98">
        <v>0.15</v>
      </c>
      <c r="E341" s="98">
        <v>0.15</v>
      </c>
      <c r="F341" s="99">
        <v>0.15</v>
      </c>
    </row>
    <row r="342" ht="14.25" spans="1:6">
      <c r="A342" s="93" t="s">
        <v>297</v>
      </c>
      <c r="B342" s="97" t="s">
        <v>2590</v>
      </c>
      <c r="C342" s="98">
        <v>0.15</v>
      </c>
      <c r="D342" s="98">
        <v>0.15</v>
      </c>
      <c r="E342" s="98">
        <v>0.15</v>
      </c>
      <c r="F342" s="99">
        <v>0.15</v>
      </c>
    </row>
    <row r="343" ht="14.25" spans="1:6">
      <c r="A343" s="93" t="s">
        <v>297</v>
      </c>
      <c r="B343" s="97" t="s">
        <v>2601</v>
      </c>
      <c r="C343" s="98">
        <v>0.15</v>
      </c>
      <c r="D343" s="98">
        <v>0.15</v>
      </c>
      <c r="E343" s="98">
        <v>0.15</v>
      </c>
      <c r="F343" s="99">
        <v>0.15</v>
      </c>
    </row>
    <row r="344" ht="14.25" spans="1:6">
      <c r="A344" s="101" t="s">
        <v>297</v>
      </c>
      <c r="B344" s="108" t="s">
        <v>2612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2872</v>
      </c>
      <c r="C1" s="21">
        <f>项目基本情况!D3</f>
        <v>44461</v>
      </c>
      <c r="D1" s="20" t="s">
        <v>2873</v>
      </c>
      <c r="E1" s="22">
        <f>'数据-取费表'!B22</f>
        <v>2</v>
      </c>
      <c r="F1" s="20" t="s">
        <v>2874</v>
      </c>
      <c r="G1" s="23">
        <f ca="1">INDIRECT("d"&amp;$K$1)/100</f>
        <v>0.0385</v>
      </c>
      <c r="H1" s="20" t="s">
        <v>2875</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2874</v>
      </c>
      <c r="E2" s="24"/>
      <c r="F2" s="24" t="s">
        <v>2876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2877</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2878</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2879</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2880</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2881</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2882</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2883</v>
      </c>
      <c r="C10" s="48"/>
      <c r="D10" s="48"/>
      <c r="E10" s="48"/>
      <c r="F10" s="48"/>
      <c r="G10" s="48"/>
      <c r="H10" s="48"/>
      <c r="I10" s="16"/>
      <c r="J10" s="16"/>
      <c r="K10" s="48"/>
      <c r="L10" s="49" t="s">
        <v>2884</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2885</v>
      </c>
      <c r="C11" s="52" t="s">
        <v>2886</v>
      </c>
      <c r="D11" s="53" t="s">
        <v>2887</v>
      </c>
      <c r="E11" s="54"/>
      <c r="F11" s="53" t="s">
        <v>2888</v>
      </c>
      <c r="G11" s="55"/>
      <c r="H11" s="54"/>
      <c r="I11" s="53" t="s">
        <v>2889</v>
      </c>
      <c r="J11" s="54"/>
      <c r="K11" s="50"/>
      <c r="L11" s="51" t="s">
        <v>2885</v>
      </c>
      <c r="M11" s="52" t="s">
        <v>2886</v>
      </c>
      <c r="N11" s="51" t="s">
        <v>2890</v>
      </c>
      <c r="O11" s="53" t="s">
        <v>2891</v>
      </c>
      <c r="P11" s="55"/>
      <c r="Q11" s="55"/>
      <c r="R11" s="55"/>
      <c r="S11" s="55"/>
      <c r="T11" s="54"/>
      <c r="U11" s="53" t="s">
        <v>2892</v>
      </c>
      <c r="V11" s="55"/>
      <c r="W11" s="54"/>
      <c r="X11" s="51" t="s">
        <v>2893</v>
      </c>
      <c r="Y11" s="51" t="s">
        <v>2894</v>
      </c>
      <c r="Z11" s="51" t="s">
        <v>2895</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2896</v>
      </c>
      <c r="E12" s="59" t="s">
        <v>2878</v>
      </c>
      <c r="F12" s="59" t="s">
        <v>2879</v>
      </c>
      <c r="G12" s="59" t="s">
        <v>2880</v>
      </c>
      <c r="H12" s="59" t="s">
        <v>2881</v>
      </c>
      <c r="I12" s="75" t="s">
        <v>2897</v>
      </c>
      <c r="J12" s="75" t="s">
        <v>2897</v>
      </c>
      <c r="K12" s="56"/>
      <c r="L12" s="57"/>
      <c r="M12" s="58"/>
      <c r="N12" s="57"/>
      <c r="O12" s="75" t="s">
        <v>2898</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2899</v>
      </c>
      <c r="C13" s="62">
        <v>43941</v>
      </c>
      <c r="D13" s="63">
        <v>3.85</v>
      </c>
      <c r="E13" s="63">
        <v>3.85</v>
      </c>
      <c r="F13" s="63">
        <v>3.85</v>
      </c>
      <c r="G13" s="63">
        <v>3.85</v>
      </c>
      <c r="H13" s="63">
        <v>4.65</v>
      </c>
      <c r="I13" s="63"/>
      <c r="J13" s="63"/>
      <c r="K13" s="60"/>
      <c r="L13" s="61" t="s">
        <v>2899</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2900</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2901</v>
      </c>
      <c r="Y42" s="64" t="s">
        <v>2901</v>
      </c>
      <c r="Z42" s="64" t="s">
        <v>2901</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2901</v>
      </c>
      <c r="Y43" s="64" t="s">
        <v>2901</v>
      </c>
      <c r="Z43" s="64" t="s">
        <v>2901</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2901</v>
      </c>
      <c r="Y44" s="64" t="s">
        <v>2901</v>
      </c>
      <c r="Z44" s="64" t="s">
        <v>2901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2901</v>
      </c>
      <c r="Y45" s="64" t="s">
        <v>2901</v>
      </c>
      <c r="Z45" s="64" t="s">
        <v>2901</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2901</v>
      </c>
      <c r="Y46" s="64" t="s">
        <v>2901</v>
      </c>
      <c r="Z46" s="64" t="s">
        <v>2901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2901</v>
      </c>
      <c r="Y47" s="64" t="s">
        <v>2901</v>
      </c>
      <c r="Z47" s="64" t="s">
        <v>2901</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2901</v>
      </c>
      <c r="Y48" s="64" t="s">
        <v>2901</v>
      </c>
      <c r="Z48" s="64" t="s">
        <v>2901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2901</v>
      </c>
      <c r="Y49" s="64" t="s">
        <v>2901</v>
      </c>
      <c r="Z49" s="64" t="s">
        <v>2901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2901</v>
      </c>
      <c r="Y50" s="64" t="s">
        <v>2901</v>
      </c>
      <c r="Z50" s="64" t="s">
        <v>2901</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2901</v>
      </c>
      <c r="V51" s="64" t="s">
        <v>2901</v>
      </c>
      <c r="W51" s="64" t="s">
        <v>2901</v>
      </c>
      <c r="X51" s="64" t="s">
        <v>2901</v>
      </c>
      <c r="Y51" s="64" t="s">
        <v>2901</v>
      </c>
      <c r="Z51" s="64" t="s">
        <v>2901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2901</v>
      </c>
      <c r="J60" s="64" t="s">
        <v>2901</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380" customWidth="1"/>
    <col min="2" max="3" width="22.3333333333333" style="380" customWidth="1"/>
    <col min="4" max="4" width="23" style="380" customWidth="1"/>
    <col min="5" max="16384" width="9" style="380"/>
  </cols>
  <sheetData>
    <row r="1" ht="18.75" spans="1:4">
      <c r="A1" s="3564" t="s">
        <v>114</v>
      </c>
      <c r="B1" s="3564"/>
      <c r="C1" s="3564"/>
      <c r="D1" s="3564"/>
    </row>
    <row r="2" ht="18" spans="1:4">
      <c r="A2" s="3565" t="s">
        <v>115</v>
      </c>
      <c r="B2" s="3565"/>
      <c r="C2" s="3565"/>
      <c r="D2" s="3565"/>
    </row>
    <row r="3" ht="18.75" spans="1:4">
      <c r="A3" s="3566" t="s">
        <v>116</v>
      </c>
      <c r="B3" s="3566" t="s">
        <v>117</v>
      </c>
      <c r="C3" s="3566" t="s">
        <v>118</v>
      </c>
      <c r="D3" s="3566" t="s">
        <v>119</v>
      </c>
    </row>
    <row r="4" ht="56.25" customHeight="1" spans="1:4">
      <c r="A4" s="3567" t="str">
        <f>项目基本情况!B4</f>
        <v>陈颖</v>
      </c>
      <c r="B4" s="3568">
        <f ca="1">项目基本情况!C4</f>
        <v>1120060040</v>
      </c>
      <c r="C4" s="3569"/>
      <c r="D4" s="3570" t="s">
        <v>120</v>
      </c>
    </row>
    <row r="5" ht="56.25" customHeight="1" spans="1:4">
      <c r="A5" s="3567">
        <f>项目基本情况!D4</f>
        <v>0</v>
      </c>
      <c r="B5" s="3568">
        <f ca="1">项目基本情况!E4</f>
        <v>0</v>
      </c>
      <c r="C5" s="3571"/>
      <c r="D5" s="3570" t="s">
        <v>120</v>
      </c>
    </row>
    <row r="6" ht="18" spans="1:4">
      <c r="A6" s="3565" t="s">
        <v>121</v>
      </c>
      <c r="B6" s="3565"/>
      <c r="C6" s="3565"/>
      <c r="D6" s="3565"/>
    </row>
    <row r="7" ht="18.75" spans="1:4">
      <c r="A7" s="3566" t="s">
        <v>116</v>
      </c>
      <c r="B7" s="3568" t="s">
        <v>122</v>
      </c>
      <c r="C7" s="3566" t="s">
        <v>118</v>
      </c>
      <c r="D7" s="3566" t="s">
        <v>119</v>
      </c>
    </row>
    <row r="8" ht="56.25" customHeight="1" spans="1:4">
      <c r="A8" s="3572" t="s">
        <v>123</v>
      </c>
      <c r="B8" s="3572" t="s">
        <v>124</v>
      </c>
      <c r="C8" s="3569"/>
      <c r="D8" s="3570" t="s">
        <v>120</v>
      </c>
    </row>
    <row r="9" spans="1:4">
      <c r="A9" s="3573"/>
      <c r="B9" s="3573"/>
      <c r="C9" s="3573"/>
      <c r="D9" s="3573"/>
    </row>
    <row r="10" ht="18.75" spans="1:4">
      <c r="A10" s="3564" t="s">
        <v>125</v>
      </c>
      <c r="B10" s="3573"/>
      <c r="C10" s="3573"/>
      <c r="D10" s="3573"/>
    </row>
    <row r="11" ht="30" customHeight="1" spans="1:4">
      <c r="A11" s="3574" t="s">
        <v>126</v>
      </c>
      <c r="B11" s="3575"/>
      <c r="C11" s="3575"/>
      <c r="D11" s="3575"/>
    </row>
    <row r="12" ht="15" spans="1:4">
      <c r="A12" s="35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6"/>
      <c r="C12" s="3576"/>
      <c r="D12" s="3576"/>
    </row>
    <row r="13" ht="30" customHeight="1" spans="1:4">
      <c r="A13" s="3575" t="str">
        <f>IF(项目基本情况!B8="抵押","3.抵押双方在办理抵押登记手续时，应使用本公司出具的正式《房地产评估报告》，特提醒报告使用者注意。","——")</f>
        <v>——</v>
      </c>
      <c r="B13" s="3576"/>
      <c r="C13" s="3576"/>
      <c r="D13" s="3576"/>
    </row>
    <row r="14" ht="15.75" customHeight="1" spans="1:4">
      <c r="A14" s="3575" t="str">
        <f>IF(项目基本情况!B8="抵押","4.本次评估估价师所知悉的法定优先受偿款情况说明如下：","——")</f>
        <v>——</v>
      </c>
      <c r="B14" s="3576"/>
      <c r="C14" s="3576"/>
      <c r="D14" s="3576"/>
    </row>
    <row r="15" ht="42" customHeight="1" spans="1:4">
      <c r="A15" s="3575" t="str">
        <f>IF(项目基本情况!B8="抵押","（1）"&amp;CONCATENATE(项目基本情况!L20,项目基本情况!L21,项目基本情况!L22),"——")</f>
        <v>——</v>
      </c>
      <c r="B15" s="3575"/>
      <c r="C15" s="3575"/>
      <c r="D15" s="3575"/>
    </row>
    <row r="16" ht="30" customHeight="1" spans="1:4">
      <c r="A16" s="3577" t="s">
        <v>127</v>
      </c>
      <c r="B16" s="3577"/>
      <c r="C16" s="3577"/>
      <c r="D16" s="3577"/>
    </row>
    <row r="17" ht="144" customHeight="1" spans="1:4">
      <c r="A17" s="3577" t="s">
        <v>128</v>
      </c>
      <c r="B17" s="3577"/>
      <c r="C17" s="3577"/>
      <c r="D17" s="3577"/>
    </row>
    <row r="18" ht="15.75" customHeight="1" spans="1:4">
      <c r="A18" s="3575" t="str">
        <f>IF(项目基本情况!B8="抵押",'结果表--商业'!K120,"——")</f>
        <v>——</v>
      </c>
      <c r="B18" s="3575"/>
      <c r="C18" s="3575"/>
      <c r="D18" s="3575"/>
    </row>
    <row r="19" ht="46.5" customHeight="1" spans="1:4">
      <c r="A19" s="35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5"/>
      <c r="C19" s="3575"/>
      <c r="D19" s="3575"/>
    </row>
    <row r="20" ht="57.75" customHeight="1" spans="1:4">
      <c r="A20" s="3575"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5"/>
      <c r="C20" s="3575"/>
      <c r="D20" s="3575"/>
    </row>
    <row r="21" ht="57.75" customHeight="1" spans="1:4">
      <c r="A21" s="3578"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8"/>
      <c r="C21" s="3578"/>
      <c r="D21" s="3578"/>
    </row>
    <row r="22" ht="18.75" customHeight="1" spans="1:4">
      <c r="A22" s="3579" t="s">
        <v>129</v>
      </c>
      <c r="B22" s="3579"/>
      <c r="C22" s="3579"/>
      <c r="D22" s="3579"/>
    </row>
    <row r="23" spans="1:4">
      <c r="A23" s="3580"/>
      <c r="B23" s="1500"/>
      <c r="C23" s="1500"/>
      <c r="D23" s="1500"/>
    </row>
    <row r="24" spans="1:4">
      <c r="A24" s="3580"/>
      <c r="B24" s="1500"/>
      <c r="C24" s="1500"/>
      <c r="D24" s="1500"/>
    </row>
    <row r="25" ht="18.75" spans="1:1">
      <c r="A25" s="3581" t="s">
        <v>130</v>
      </c>
    </row>
    <row r="26" ht="18" spans="1:1">
      <c r="A26" s="3582"/>
    </row>
    <row r="27" ht="18.75" spans="1:1">
      <c r="A27" s="3582" t="s">
        <v>131</v>
      </c>
    </row>
    <row r="30" ht="18.75" spans="4:4">
      <c r="D30" s="3581" t="s">
        <v>132</v>
      </c>
    </row>
    <row r="31" ht="13.5" customHeight="1" spans="3:4">
      <c r="C31" s="3583">
        <v>42551</v>
      </c>
      <c r="D31" s="358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2902</v>
      </c>
      <c r="E1" s="2" t="s">
        <v>2903</v>
      </c>
      <c r="F1" s="3" t="s">
        <v>2904</v>
      </c>
    </row>
    <row r="2" ht="20.25" spans="1:1">
      <c r="A2" s="4" t="s">
        <v>2905</v>
      </c>
    </row>
    <row r="3" ht="16.5" spans="1:1">
      <c r="A3" s="5" t="s">
        <v>2906</v>
      </c>
    </row>
    <row r="4" ht="14.25" spans="1:13">
      <c r="A4" s="6" t="s">
        <v>2142</v>
      </c>
      <c r="B4" s="7" t="s">
        <v>459</v>
      </c>
      <c r="C4" s="8"/>
      <c r="D4" s="9"/>
      <c r="E4" s="7" t="s">
        <v>2137</v>
      </c>
      <c r="F4" s="8"/>
      <c r="G4" s="9"/>
      <c r="H4" s="7" t="s">
        <v>2173</v>
      </c>
      <c r="I4" s="8"/>
      <c r="J4" s="9"/>
      <c r="K4" s="7" t="s">
        <v>2139</v>
      </c>
      <c r="L4" s="8"/>
      <c r="M4" s="9"/>
    </row>
    <row r="5" ht="14.25" spans="1:13">
      <c r="A5" s="10" t="s">
        <v>210</v>
      </c>
      <c r="B5" s="6" t="s">
        <v>2907</v>
      </c>
      <c r="C5" s="6" t="s">
        <v>2908</v>
      </c>
      <c r="D5" s="6" t="s">
        <v>2909</v>
      </c>
      <c r="E5" s="6" t="s">
        <v>2907</v>
      </c>
      <c r="F5" s="6" t="s">
        <v>2908</v>
      </c>
      <c r="G5" s="6" t="s">
        <v>2909</v>
      </c>
      <c r="H5" s="6" t="s">
        <v>2907</v>
      </c>
      <c r="I5" s="6" t="s">
        <v>2908</v>
      </c>
      <c r="J5" s="6" t="s">
        <v>2909</v>
      </c>
      <c r="K5" s="6" t="s">
        <v>2907</v>
      </c>
      <c r="L5" s="6" t="s">
        <v>2908</v>
      </c>
      <c r="M5" s="6" t="s">
        <v>2909</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60" customWidth="1"/>
    <col min="3" max="10" width="12.4416666666667" style="3560" customWidth="1"/>
    <col min="11" max="16384" width="9" style="3560"/>
  </cols>
  <sheetData>
    <row r="1" ht="18.75" spans="1:10">
      <c r="A1" s="3561" t="s">
        <v>133</v>
      </c>
      <c r="B1" s="3562"/>
      <c r="C1" s="3562"/>
      <c r="D1" s="3562"/>
      <c r="E1" s="3562"/>
      <c r="F1" s="3562"/>
      <c r="G1" s="3562"/>
      <c r="H1" s="3562"/>
      <c r="I1" s="3562"/>
      <c r="J1" s="3562"/>
    </row>
    <row r="2" ht="18.75" spans="1:10">
      <c r="A2" s="3563"/>
      <c r="B2" s="3562"/>
      <c r="C2" s="3562"/>
      <c r="D2" s="3562"/>
      <c r="E2" s="3562"/>
      <c r="F2" s="3562"/>
      <c r="G2" s="3562"/>
      <c r="H2" s="3562"/>
      <c r="I2" s="3562"/>
      <c r="J2" s="3562"/>
    </row>
    <row r="3" spans="1:10">
      <c r="A3" s="3562"/>
      <c r="B3" s="3562"/>
      <c r="C3" s="3562"/>
      <c r="D3" s="3562"/>
      <c r="E3" s="3562"/>
      <c r="F3" s="3562"/>
      <c r="G3" s="3562"/>
      <c r="H3" s="3562"/>
      <c r="I3" s="3562"/>
      <c r="J3" s="3562"/>
    </row>
    <row r="4" spans="1:10">
      <c r="A4" s="3562"/>
      <c r="B4" s="3562"/>
      <c r="C4" s="3562"/>
      <c r="D4" s="3562"/>
      <c r="E4" s="3562"/>
      <c r="F4" s="3562"/>
      <c r="G4" s="3562"/>
      <c r="H4" s="3562"/>
      <c r="I4" s="3562"/>
      <c r="J4" s="3562"/>
    </row>
    <row r="5" spans="1:10">
      <c r="A5" s="3562"/>
      <c r="B5" s="3562"/>
      <c r="C5" s="3562"/>
      <c r="D5" s="3562"/>
      <c r="E5" s="3562"/>
      <c r="F5" s="3562"/>
      <c r="G5" s="3562"/>
      <c r="H5" s="3562"/>
      <c r="I5" s="3562"/>
      <c r="J5" s="3562"/>
    </row>
    <row r="6" spans="1:10">
      <c r="A6" s="3562"/>
      <c r="B6" s="3562"/>
      <c r="C6" s="3562"/>
      <c r="D6" s="3562"/>
      <c r="E6" s="3562"/>
      <c r="F6" s="3562"/>
      <c r="G6" s="3562"/>
      <c r="H6" s="3562"/>
      <c r="I6" s="3562"/>
      <c r="J6" s="3562"/>
    </row>
    <row r="7" spans="1:10">
      <c r="A7" s="3562"/>
      <c r="B7" s="3562"/>
      <c r="C7" s="3562"/>
      <c r="D7" s="3562"/>
      <c r="E7" s="3562"/>
      <c r="F7" s="3562"/>
      <c r="G7" s="3562"/>
      <c r="H7" s="3562"/>
      <c r="I7" s="3562"/>
      <c r="J7" s="3562"/>
    </row>
    <row r="8" spans="1:10">
      <c r="A8" s="3562"/>
      <c r="B8" s="3562"/>
      <c r="C8" s="3562"/>
      <c r="D8" s="3562"/>
      <c r="E8" s="3562"/>
      <c r="F8" s="3562"/>
      <c r="G8" s="3562"/>
      <c r="H8" s="3562"/>
      <c r="I8" s="3562"/>
      <c r="J8" s="3562"/>
    </row>
    <row r="9" spans="1:10">
      <c r="A9" s="3562"/>
      <c r="B9" s="3562"/>
      <c r="C9" s="3562"/>
      <c r="D9" s="3562"/>
      <c r="E9" s="3562"/>
      <c r="F9" s="3562"/>
      <c r="G9" s="3562"/>
      <c r="H9" s="3562"/>
      <c r="I9" s="3562"/>
      <c r="J9" s="3562"/>
    </row>
    <row r="10" spans="1:10">
      <c r="A10" s="3562"/>
      <c r="B10" s="3562"/>
      <c r="C10" s="3562"/>
      <c r="D10" s="3562"/>
      <c r="E10" s="3562"/>
      <c r="F10" s="3562"/>
      <c r="G10" s="3562"/>
      <c r="H10" s="3562"/>
      <c r="I10" s="3562"/>
      <c r="J10" s="3562"/>
    </row>
    <row r="11" spans="1:10">
      <c r="A11" s="3562"/>
      <c r="B11" s="3562"/>
      <c r="C11" s="3562"/>
      <c r="D11" s="3562"/>
      <c r="E11" s="3562"/>
      <c r="F11" s="3562"/>
      <c r="G11" s="3562"/>
      <c r="H11" s="3562"/>
      <c r="I11" s="3562"/>
      <c r="J11" s="3562"/>
    </row>
    <row r="12" spans="1:10">
      <c r="A12" s="3562"/>
      <c r="B12" s="3562"/>
      <c r="C12" s="3562"/>
      <c r="D12" s="3562"/>
      <c r="E12" s="3562"/>
      <c r="F12" s="3562"/>
      <c r="G12" s="3562"/>
      <c r="H12" s="3562"/>
      <c r="I12" s="3562"/>
      <c r="J12" s="3562"/>
    </row>
    <row r="13" spans="1:10">
      <c r="A13" s="3562"/>
      <c r="B13" s="3562"/>
      <c r="C13" s="3562"/>
      <c r="D13" s="3562"/>
      <c r="E13" s="3562"/>
      <c r="F13" s="3562"/>
      <c r="G13" s="3562"/>
      <c r="H13" s="3562"/>
      <c r="I13" s="3562"/>
      <c r="J13" s="3562"/>
    </row>
    <row r="14" spans="1:10">
      <c r="A14" s="3562"/>
      <c r="B14" s="3562"/>
      <c r="C14" s="3562"/>
      <c r="D14" s="3562"/>
      <c r="E14" s="3562"/>
      <c r="F14" s="3562"/>
      <c r="G14" s="3562"/>
      <c r="H14" s="3562"/>
      <c r="I14" s="3562"/>
      <c r="J14" s="3562"/>
    </row>
    <row r="15" spans="1:10">
      <c r="A15" s="3562"/>
      <c r="B15" s="3562"/>
      <c r="C15" s="3562"/>
      <c r="D15" s="3562"/>
      <c r="E15" s="3562"/>
      <c r="F15" s="3562"/>
      <c r="G15" s="3562"/>
      <c r="H15" s="3562"/>
      <c r="I15" s="3562"/>
      <c r="J15" s="3562"/>
    </row>
    <row r="16" spans="1:10">
      <c r="A16" s="3562"/>
      <c r="B16" s="3562"/>
      <c r="C16" s="3562"/>
      <c r="D16" s="3562"/>
      <c r="E16" s="3562"/>
      <c r="F16" s="3562"/>
      <c r="G16" s="3562"/>
      <c r="H16" s="3562"/>
      <c r="I16" s="3562"/>
      <c r="J16" s="3562"/>
    </row>
    <row r="17" spans="1:10">
      <c r="A17" s="3562"/>
      <c r="B17" s="3562"/>
      <c r="C17" s="3562"/>
      <c r="D17" s="3562"/>
      <c r="E17" s="3562"/>
      <c r="F17" s="3562"/>
      <c r="G17" s="3562"/>
      <c r="H17" s="3562"/>
      <c r="I17" s="3562"/>
      <c r="J17" s="3562"/>
    </row>
    <row r="18" spans="1:10">
      <c r="A18" s="3562"/>
      <c r="B18" s="3562"/>
      <c r="C18" s="3562"/>
      <c r="D18" s="3562"/>
      <c r="E18" s="3562"/>
      <c r="F18" s="3562"/>
      <c r="G18" s="3562"/>
      <c r="H18" s="3562"/>
      <c r="I18" s="3562"/>
      <c r="J18" s="3562"/>
    </row>
    <row r="19" spans="1:10">
      <c r="A19" s="3562"/>
      <c r="B19" s="3562"/>
      <c r="C19" s="3562"/>
      <c r="D19" s="3562"/>
      <c r="E19" s="3562"/>
      <c r="F19" s="3562"/>
      <c r="G19" s="3562"/>
      <c r="H19" s="3562"/>
      <c r="I19" s="3562"/>
      <c r="J19" s="3562"/>
    </row>
    <row r="20" spans="1:10">
      <c r="A20" s="3562"/>
      <c r="B20" s="3562"/>
      <c r="C20" s="3562"/>
      <c r="D20" s="3562"/>
      <c r="E20" s="3562"/>
      <c r="F20" s="3562"/>
      <c r="G20" s="3562"/>
      <c r="H20" s="3562"/>
      <c r="I20" s="3562"/>
      <c r="J20" s="3562"/>
    </row>
    <row r="21" spans="1:10">
      <c r="A21" s="3562"/>
      <c r="B21" s="3562"/>
      <c r="C21" s="3562"/>
      <c r="D21" s="3562"/>
      <c r="E21" s="3562"/>
      <c r="F21" s="3562"/>
      <c r="G21" s="3562"/>
      <c r="H21" s="3562"/>
      <c r="I21" s="3562"/>
      <c r="J21" s="3562"/>
    </row>
    <row r="22" spans="1:10">
      <c r="A22" s="3562"/>
      <c r="B22" s="3562"/>
      <c r="C22" s="3562"/>
      <c r="D22" s="3562"/>
      <c r="E22" s="3562"/>
      <c r="F22" s="3562"/>
      <c r="G22" s="3562"/>
      <c r="H22" s="3562"/>
      <c r="I22" s="3562"/>
      <c r="J22" s="3562"/>
    </row>
    <row r="23" spans="1:10">
      <c r="A23" s="3562"/>
      <c r="B23" s="3562"/>
      <c r="C23" s="3562"/>
      <c r="D23" s="3562"/>
      <c r="E23" s="3562"/>
      <c r="F23" s="3562"/>
      <c r="G23" s="3562"/>
      <c r="H23" s="3562"/>
      <c r="I23" s="3562"/>
      <c r="J23" s="3562"/>
    </row>
    <row r="24" spans="1:10">
      <c r="A24" s="3562"/>
      <c r="B24" s="3562"/>
      <c r="C24" s="3562"/>
      <c r="D24" s="3562"/>
      <c r="E24" s="3562"/>
      <c r="F24" s="3562"/>
      <c r="G24" s="3562"/>
      <c r="H24" s="3562"/>
      <c r="I24" s="3562"/>
      <c r="J24" s="3562"/>
    </row>
    <row r="25" spans="1:10">
      <c r="A25" s="3562"/>
      <c r="B25" s="3562"/>
      <c r="C25" s="3562"/>
      <c r="D25" s="3562"/>
      <c r="E25" s="3562"/>
      <c r="F25" s="3562"/>
      <c r="G25" s="3562"/>
      <c r="H25" s="3562"/>
      <c r="I25" s="3562"/>
      <c r="J25" s="3562"/>
    </row>
    <row r="26" spans="1:10">
      <c r="A26" s="3562"/>
      <c r="B26" s="3562"/>
      <c r="C26" s="3562"/>
      <c r="D26" s="3562"/>
      <c r="E26" s="3562"/>
      <c r="F26" s="3562"/>
      <c r="G26" s="3562"/>
      <c r="H26" s="3562"/>
      <c r="I26" s="3562"/>
      <c r="J26" s="3562"/>
    </row>
    <row r="27" spans="1:10">
      <c r="A27" s="3562"/>
      <c r="B27" s="3562"/>
      <c r="C27" s="3562"/>
      <c r="D27" s="3562"/>
      <c r="E27" s="3562"/>
      <c r="F27" s="3562"/>
      <c r="G27" s="3562"/>
      <c r="H27" s="3562"/>
      <c r="I27" s="3562"/>
      <c r="J27" s="3562"/>
    </row>
    <row r="28" spans="1:10">
      <c r="A28" s="3562"/>
      <c r="B28" s="3562"/>
      <c r="C28" s="3562"/>
      <c r="D28" s="3562"/>
      <c r="E28" s="3562"/>
      <c r="F28" s="3562"/>
      <c r="G28" s="3562"/>
      <c r="H28" s="3562"/>
      <c r="I28" s="3562"/>
      <c r="J28" s="3562"/>
    </row>
    <row r="29" spans="1:10">
      <c r="A29" s="3562"/>
      <c r="B29" s="3562"/>
      <c r="C29" s="3562"/>
      <c r="D29" s="3562"/>
      <c r="E29" s="3562"/>
      <c r="F29" s="3562"/>
      <c r="G29" s="3562"/>
      <c r="H29" s="3562"/>
      <c r="I29" s="3562"/>
      <c r="J29" s="3562"/>
    </row>
    <row r="30" spans="1:10">
      <c r="A30" s="3562"/>
      <c r="B30" s="3562"/>
      <c r="C30" s="3562"/>
      <c r="D30" s="3562"/>
      <c r="E30" s="3562"/>
      <c r="F30" s="3562"/>
      <c r="G30" s="3562"/>
      <c r="H30" s="3562"/>
      <c r="I30" s="3562"/>
      <c r="J30" s="3562"/>
    </row>
    <row r="31" spans="1:10">
      <c r="A31" s="3562"/>
      <c r="B31" s="3562"/>
      <c r="C31" s="3562"/>
      <c r="D31" s="3562"/>
      <c r="E31" s="3562"/>
      <c r="F31" s="3562"/>
      <c r="G31" s="3562"/>
      <c r="H31" s="3562"/>
      <c r="I31" s="3562"/>
      <c r="J31" s="356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36" customWidth="1"/>
    <col min="2" max="16384" width="14.4416666666667" style="3484"/>
  </cols>
  <sheetData>
    <row r="1" s="3535" customFormat="1" ht="18.75" spans="1:1">
      <c r="A1" s="3537" t="s">
        <v>134</v>
      </c>
    </row>
    <row r="3" spans="1:7">
      <c r="A3" s="3538" t="s">
        <v>135</v>
      </c>
      <c r="B3" s="3484" t="s">
        <v>136</v>
      </c>
      <c r="G3" s="3539"/>
    </row>
    <row r="4" spans="7:7">
      <c r="G4" s="3539"/>
    </row>
    <row r="5" spans="1:7">
      <c r="A5" s="3540" t="s">
        <v>137</v>
      </c>
      <c r="B5" s="3484" t="s">
        <v>138</v>
      </c>
      <c r="G5" s="3539"/>
    </row>
    <row r="6" spans="7:7">
      <c r="G6" s="3539"/>
    </row>
    <row r="7" spans="1:7">
      <c r="A7" s="3541" t="s">
        <v>139</v>
      </c>
      <c r="B7" s="3484" t="s">
        <v>140</v>
      </c>
      <c r="G7" s="3539"/>
    </row>
    <row r="8" spans="7:7">
      <c r="G8" s="3539"/>
    </row>
    <row r="9" spans="1:2">
      <c r="A9" s="3542" t="s">
        <v>141</v>
      </c>
      <c r="B9" s="3484" t="s">
        <v>142</v>
      </c>
    </row>
    <row r="11" spans="1:2">
      <c r="A11" s="3543" t="s">
        <v>143</v>
      </c>
      <c r="B11" s="3544" t="s">
        <v>144</v>
      </c>
    </row>
    <row r="13" spans="1:1">
      <c r="A13" s="3545" t="s">
        <v>145</v>
      </c>
    </row>
    <row r="15" ht="13.5" spans="1:3">
      <c r="A15" s="3546" t="s">
        <v>146</v>
      </c>
      <c r="B15" s="3547" t="s">
        <v>147</v>
      </c>
      <c r="C15" s="3548"/>
    </row>
    <row r="16" ht="13.5" spans="1:3">
      <c r="A16" s="3549"/>
      <c r="B16" s="3547" t="s">
        <v>148</v>
      </c>
      <c r="C16" s="3548"/>
    </row>
    <row r="17" ht="13.5" spans="1:3">
      <c r="A17" s="3549"/>
      <c r="B17" s="3550" t="s">
        <v>149</v>
      </c>
      <c r="C17" s="3550" t="s">
        <v>146</v>
      </c>
    </row>
    <row r="18" ht="13.5" spans="1:3">
      <c r="A18" s="3549"/>
      <c r="B18" s="3550"/>
      <c r="C18" s="3550" t="s">
        <v>150</v>
      </c>
    </row>
    <row r="19" ht="13.5" spans="1:3">
      <c r="A19" s="3549"/>
      <c r="B19" s="3550"/>
      <c r="C19" s="3550" t="s">
        <v>151</v>
      </c>
    </row>
    <row r="20" ht="13.5" spans="1:3">
      <c r="A20" s="3551"/>
      <c r="B20" s="3552" t="s">
        <v>152</v>
      </c>
      <c r="C20" s="3548"/>
    </row>
    <row r="21" ht="13.5" spans="1:3">
      <c r="A21" s="3553" t="s">
        <v>153</v>
      </c>
      <c r="B21" s="3554"/>
      <c r="C21" s="3555"/>
    </row>
    <row r="22" ht="13.5" spans="1:3">
      <c r="A22" s="3556" t="s">
        <v>154</v>
      </c>
      <c r="B22" s="3552" t="s">
        <v>155</v>
      </c>
      <c r="C22" s="3548"/>
    </row>
    <row r="23" ht="13.5" spans="1:3">
      <c r="A23" s="3556"/>
      <c r="B23" s="3552" t="s">
        <v>156</v>
      </c>
      <c r="C23" s="3548"/>
    </row>
    <row r="24" ht="13.5" spans="1:3">
      <c r="A24" s="3556"/>
      <c r="B24" s="3552" t="s">
        <v>157</v>
      </c>
      <c r="C24" s="3548"/>
    </row>
    <row r="25" ht="13.5" spans="1:3">
      <c r="A25" s="3556"/>
      <c r="B25" s="3550" t="s">
        <v>158</v>
      </c>
      <c r="C25" s="3550" t="s">
        <v>159</v>
      </c>
    </row>
    <row r="26" ht="13.5" spans="1:3">
      <c r="A26" s="3556"/>
      <c r="B26" s="3550"/>
      <c r="C26" s="3550" t="s">
        <v>160</v>
      </c>
    </row>
    <row r="27" ht="13.5" spans="1:3">
      <c r="A27" s="3556"/>
      <c r="B27" s="3550"/>
      <c r="C27" s="3550" t="s">
        <v>161</v>
      </c>
    </row>
    <row r="28" ht="13.5" spans="1:3">
      <c r="A28" s="3556"/>
      <c r="B28" s="3550"/>
      <c r="C28" s="3550" t="s">
        <v>162</v>
      </c>
    </row>
    <row r="29" ht="13.5" spans="1:3">
      <c r="A29" s="3556"/>
      <c r="B29" s="3550"/>
      <c r="C29" s="3550" t="s">
        <v>163</v>
      </c>
    </row>
    <row r="30" ht="13.5" spans="1:3">
      <c r="A30" s="3556"/>
      <c r="B30" s="3550"/>
      <c r="C30" s="3550" t="s">
        <v>164</v>
      </c>
    </row>
    <row r="31" ht="13.5" spans="1:3">
      <c r="A31" s="3556"/>
      <c r="B31" s="3550"/>
      <c r="C31" s="3550" t="s">
        <v>165</v>
      </c>
    </row>
    <row r="32" ht="13.5" spans="1:3">
      <c r="A32" s="3556"/>
      <c r="B32" s="3550"/>
      <c r="C32" s="3550" t="s">
        <v>166</v>
      </c>
    </row>
    <row r="33" ht="13.5" spans="1:3">
      <c r="A33" s="3556"/>
      <c r="B33" s="3550"/>
      <c r="C33" s="3550" t="s">
        <v>167</v>
      </c>
    </row>
    <row r="34" spans="1:1">
      <c r="A34" s="3557" t="s">
        <v>168</v>
      </c>
    </row>
    <row r="37" spans="1:1">
      <c r="A37" s="3557" t="s">
        <v>169</v>
      </c>
    </row>
    <row r="38" ht="13.5" spans="1:1">
      <c r="A38" s="3558" t="s">
        <v>170</v>
      </c>
    </row>
    <row r="39" ht="13.5" spans="1:1">
      <c r="A39" s="3558" t="s">
        <v>171</v>
      </c>
    </row>
    <row r="40" ht="13.5" spans="1:1">
      <c r="A40" s="3558" t="s">
        <v>172</v>
      </c>
    </row>
    <row r="41" ht="13.5" spans="1:1">
      <c r="A41" s="3559" t="s">
        <v>173</v>
      </c>
    </row>
    <row r="42" ht="13.5" spans="1:1">
      <c r="A42" s="355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03" customWidth="1"/>
    <col min="2" max="2" width="38.6666666666667" style="3503" customWidth="1"/>
    <col min="3" max="3" width="26" style="3503" customWidth="1"/>
    <col min="4" max="4" width="35" style="3503" hidden="1" customWidth="1"/>
    <col min="5" max="5" width="30.1083333333333" style="3503" customWidth="1"/>
    <col min="6" max="6" width="35.4416666666667" style="3503" customWidth="1"/>
    <col min="7" max="7" width="31" style="3503" customWidth="1"/>
    <col min="8" max="8" width="37.4416666666667" style="3503" hidden="1" customWidth="1"/>
    <col min="9" max="16384" width="22.6666666666667" style="3503"/>
  </cols>
  <sheetData>
    <row r="1" customHeight="1" spans="1:8">
      <c r="A1" s="3504"/>
      <c r="B1" s="3504"/>
      <c r="C1" s="3504"/>
      <c r="D1" s="3504"/>
      <c r="E1" s="3504"/>
      <c r="F1" s="3504"/>
      <c r="G1" s="3504"/>
      <c r="H1" s="3504"/>
    </row>
    <row r="2" customHeight="1" spans="1:8">
      <c r="A2" s="3505" t="s">
        <v>175</v>
      </c>
      <c r="B2" s="3506">
        <f ca="1">TODAY()</f>
        <v>44477</v>
      </c>
      <c r="C2" s="3507" t="s">
        <v>176</v>
      </c>
      <c r="D2" s="3507"/>
      <c r="E2" s="3507"/>
      <c r="F2" s="3504"/>
      <c r="G2" s="3504"/>
      <c r="H2" s="3504"/>
    </row>
    <row r="3" customHeight="1" spans="1:8">
      <c r="A3" s="3508" t="s">
        <v>177</v>
      </c>
      <c r="B3" s="3509" t="s">
        <v>178</v>
      </c>
      <c r="C3" s="3509" t="s">
        <v>179</v>
      </c>
      <c r="D3" s="3510" t="s">
        <v>180</v>
      </c>
      <c r="E3" s="3511" t="s">
        <v>181</v>
      </c>
      <c r="F3" s="3512" t="s">
        <v>182</v>
      </c>
      <c r="G3" s="3509" t="s">
        <v>179</v>
      </c>
      <c r="H3" s="3510" t="s">
        <v>183</v>
      </c>
    </row>
    <row r="4" customHeight="1" spans="1:8">
      <c r="A4" s="3512" t="s">
        <v>184</v>
      </c>
      <c r="B4" s="3512">
        <f ca="1">IF(C4&lt;B2,"已过期",1119970066)</f>
        <v>1119970066</v>
      </c>
      <c r="C4" s="3513">
        <v>44876</v>
      </c>
      <c r="D4" s="3514" t="str">
        <f ca="1">A4&amp;"（注册号："&amp;B4&amp;"）"</f>
        <v>梁津（注册号：1119970066）</v>
      </c>
      <c r="E4" s="3515" t="s">
        <v>184</v>
      </c>
      <c r="F4" s="3512">
        <f ca="1">IF(G4&lt;B2,"已过期",96010014)</f>
        <v>96010014</v>
      </c>
      <c r="G4" s="3516">
        <v>47118</v>
      </c>
      <c r="H4" s="3517" t="str">
        <f ca="1">E4&amp;"（注册号："&amp;F4&amp;"）"</f>
        <v>梁津（注册号：96010014）</v>
      </c>
    </row>
    <row r="5" customHeight="1" spans="1:8">
      <c r="A5" s="3512" t="s">
        <v>185</v>
      </c>
      <c r="B5" s="3512">
        <f ca="1">IF(C5&lt;B2,"已过期",1119970111)</f>
        <v>1119970111</v>
      </c>
      <c r="C5" s="3513">
        <v>44876</v>
      </c>
      <c r="D5" s="3514" t="str">
        <f ca="1" t="shared" ref="D5:D16" si="0">A5&amp;"（注册号："&amp;B5&amp;"）"</f>
        <v>叶凌（注册号：1119970111）</v>
      </c>
      <c r="E5" s="3515" t="s">
        <v>185</v>
      </c>
      <c r="F5" s="3512">
        <f ca="1">IF(G5&lt;B2,"已过期",94010078)</f>
        <v>94010078</v>
      </c>
      <c r="G5" s="3516">
        <v>46387</v>
      </c>
      <c r="H5" s="3517" t="str">
        <f ca="1" t="shared" ref="H5:H16" si="1">E5&amp;"（注册号："&amp;F5&amp;"）"</f>
        <v>叶凌（注册号：94010078）</v>
      </c>
    </row>
    <row r="6" customHeight="1" spans="1:8">
      <c r="A6" s="3512" t="s">
        <v>186</v>
      </c>
      <c r="B6" s="3512" t="str">
        <f ca="1">IF(C6&lt;B2,"已过期",1120050019)</f>
        <v>已过期</v>
      </c>
      <c r="C6" s="3513">
        <v>44395</v>
      </c>
      <c r="D6" s="3514" t="str">
        <f ca="1" t="shared" si="0"/>
        <v>王鹏（注册号：已过期）</v>
      </c>
      <c r="E6" s="3515" t="s">
        <v>186</v>
      </c>
      <c r="F6" s="3512">
        <f ca="1">IF(G6&lt;B2,"已过期",2002110030)</f>
        <v>2002110030</v>
      </c>
      <c r="G6" s="3516">
        <v>46387</v>
      </c>
      <c r="H6" s="3517" t="str">
        <f ca="1" t="shared" si="1"/>
        <v>王鹏（注册号：2002110030）</v>
      </c>
    </row>
    <row r="7" customHeight="1" spans="1:8">
      <c r="A7" s="3512" t="s">
        <v>187</v>
      </c>
      <c r="B7" s="3512">
        <f ca="1">IF(C7&lt;B2,"已过期",1120000080)</f>
        <v>1120000080</v>
      </c>
      <c r="C7" s="3513">
        <v>44876</v>
      </c>
      <c r="D7" s="3514" t="str">
        <f ca="1" t="shared" si="0"/>
        <v>欧红伟（注册号：1120000080）</v>
      </c>
      <c r="E7" s="3515" t="s">
        <v>187</v>
      </c>
      <c r="F7" s="3512">
        <f ca="1">IF(G7&lt;B2,"已过期",2000110082)</f>
        <v>2000110082</v>
      </c>
      <c r="G7" s="3516">
        <v>46387</v>
      </c>
      <c r="H7" s="3517" t="str">
        <f ca="1" t="shared" si="1"/>
        <v>欧红伟（注册号：2000110082）</v>
      </c>
    </row>
    <row r="8" customHeight="1" spans="1:8">
      <c r="A8" s="3512" t="s">
        <v>188</v>
      </c>
      <c r="B8" s="3512">
        <f ca="1">IF(C8&lt;B2,"已过期",1419970001)</f>
        <v>1419970001</v>
      </c>
      <c r="C8" s="3513">
        <v>44899</v>
      </c>
      <c r="D8" s="3514" t="str">
        <f ca="1" t="shared" si="0"/>
        <v>吴薇（注册号：1419970001）</v>
      </c>
      <c r="E8" s="3515" t="s">
        <v>188</v>
      </c>
      <c r="F8" s="3512">
        <f ca="1">IF(G8&lt;B2,"已过期",2002110125)</f>
        <v>2002110125</v>
      </c>
      <c r="G8" s="3516">
        <v>47118</v>
      </c>
      <c r="H8" s="3517" t="str">
        <f ca="1" t="shared" si="1"/>
        <v>吴薇（注册号：2002110125）</v>
      </c>
    </row>
    <row r="9" customHeight="1" spans="1:8">
      <c r="A9" s="3512" t="s">
        <v>189</v>
      </c>
      <c r="B9" s="3512">
        <f ca="1">IF(C9&lt;B2,"已过期",1120060040)</f>
        <v>1120060040</v>
      </c>
      <c r="C9" s="3518">
        <v>44554</v>
      </c>
      <c r="D9" s="3514" t="str">
        <f ca="1" t="shared" si="0"/>
        <v>陈颖（注册号：1120060040）</v>
      </c>
      <c r="E9" s="3515" t="s">
        <v>189</v>
      </c>
      <c r="F9" s="3512">
        <f ca="1">IF(G9&lt;B2,"已过期",2004110096)</f>
        <v>2004110096</v>
      </c>
      <c r="G9" s="3516">
        <v>47118</v>
      </c>
      <c r="H9" s="3517" t="str">
        <f ca="1" t="shared" si="1"/>
        <v>陈颖（注册号：2004110096）</v>
      </c>
    </row>
    <row r="10" customHeight="1" spans="1:8">
      <c r="A10" s="3512" t="s">
        <v>190</v>
      </c>
      <c r="B10" s="3512">
        <f ca="1">IF(C10&lt;B2,"已过期",1120100036)</f>
        <v>1120100036</v>
      </c>
      <c r="C10" s="3518">
        <v>44675</v>
      </c>
      <c r="D10" s="3514" t="str">
        <f ca="1" t="shared" si="0"/>
        <v>崔锴（注册号：1120100036）</v>
      </c>
      <c r="E10" s="3515" t="s">
        <v>190</v>
      </c>
      <c r="F10" s="3512">
        <f ca="1">IF(G10&lt;B2,"已过期",2010110070)</f>
        <v>2010110070</v>
      </c>
      <c r="G10" s="3516">
        <v>47907</v>
      </c>
      <c r="H10" s="3517" t="str">
        <f ca="1" t="shared" si="1"/>
        <v>崔锴（注册号：2010110070）</v>
      </c>
    </row>
    <row r="11" customHeight="1" spans="1:8">
      <c r="A11" s="3512" t="s">
        <v>191</v>
      </c>
      <c r="B11" s="3512">
        <f ca="1">IF(C11&lt;B2,"已过期",1120070131)</f>
        <v>1120070131</v>
      </c>
      <c r="C11" s="3513">
        <v>44849</v>
      </c>
      <c r="D11" s="3514" t="str">
        <f ca="1" t="shared" si="0"/>
        <v>郑燚（注册号：1120070131）</v>
      </c>
      <c r="E11" s="3515" t="s">
        <v>191</v>
      </c>
      <c r="F11" s="3512">
        <f ca="1">IF(G11&lt;B2,"已过期",2014110011)</f>
        <v>2014110011</v>
      </c>
      <c r="G11" s="3516">
        <v>49302</v>
      </c>
      <c r="H11" s="3517" t="str">
        <f ca="1" t="shared" si="1"/>
        <v>郑燚（注册号：2014110011）</v>
      </c>
    </row>
    <row r="12" customHeight="1" spans="1:8">
      <c r="A12" s="3512" t="s">
        <v>192</v>
      </c>
      <c r="B12" s="3512">
        <f ca="1">IF(C12&lt;B2,"已过期",1120040230)</f>
        <v>1120040230</v>
      </c>
      <c r="C12" s="3518">
        <v>44864</v>
      </c>
      <c r="D12" s="3514" t="str">
        <f ca="1" t="shared" si="0"/>
        <v>苏海（注册号：1120040230）</v>
      </c>
      <c r="E12" s="3515" t="s">
        <v>192</v>
      </c>
      <c r="F12" s="3512">
        <f ca="1">IF(G12&lt;B2,"已过期",98030020)</f>
        <v>98030020</v>
      </c>
      <c r="G12" s="3516">
        <v>47118</v>
      </c>
      <c r="H12" s="3517" t="str">
        <f ca="1" t="shared" si="1"/>
        <v>苏海（注册号：98030020）</v>
      </c>
    </row>
    <row r="13" customHeight="1" spans="1:8">
      <c r="A13" s="3512" t="s">
        <v>193</v>
      </c>
      <c r="B13" s="3512" t="str">
        <f ca="1">IF(C13&lt;B2,"已过期",1120020033)</f>
        <v>已过期</v>
      </c>
      <c r="C13" s="3513">
        <v>44339</v>
      </c>
      <c r="D13" s="3514" t="str">
        <f ca="1" t="shared" si="0"/>
        <v>刘敬东（注册号：已过期）</v>
      </c>
      <c r="E13" s="3515" t="s">
        <v>193</v>
      </c>
      <c r="F13" s="3512">
        <f ca="1">IF(G13&lt;B2,"已过期",2000110137)</f>
        <v>2000110137</v>
      </c>
      <c r="G13" s="3516">
        <v>46387</v>
      </c>
      <c r="H13" s="3517" t="str">
        <f ca="1" t="shared" si="1"/>
        <v>刘敬东（注册号：2000110137）</v>
      </c>
    </row>
    <row r="14" customHeight="1" spans="1:8">
      <c r="A14" s="3512" t="s">
        <v>194</v>
      </c>
      <c r="B14" s="3512">
        <f ca="1">IF(C14&lt;B2,"已过期",1119980106)</f>
        <v>1119980106</v>
      </c>
      <c r="C14" s="3518">
        <v>44969</v>
      </c>
      <c r="D14" s="3514" t="str">
        <f ca="1" t="shared" si="0"/>
        <v>刘俊财（注册号：1119980106）</v>
      </c>
      <c r="E14" s="3515" t="s">
        <v>194</v>
      </c>
      <c r="F14" s="3512">
        <f ca="1">IF(G14&lt;B2,"已过期",96010063)</f>
        <v>96010063</v>
      </c>
      <c r="G14" s="3516">
        <v>47483</v>
      </c>
      <c r="H14" s="3517" t="str">
        <f ca="1" t="shared" si="1"/>
        <v>刘俊财（注册号：96010063）</v>
      </c>
    </row>
    <row r="15" customHeight="1" spans="1:8">
      <c r="A15" s="3512"/>
      <c r="B15" s="3512"/>
      <c r="C15" s="3518"/>
      <c r="D15" s="3514" t="str">
        <f t="shared" si="0"/>
        <v>（注册号：）</v>
      </c>
      <c r="E15" s="3515" t="s">
        <v>195</v>
      </c>
      <c r="F15" s="3512">
        <f ca="1">IF(G15&lt;B2,"已过期",2011110090)</f>
        <v>2011110090</v>
      </c>
      <c r="G15" s="3516">
        <v>48302</v>
      </c>
      <c r="H15" s="3517" t="str">
        <f ca="1" t="shared" si="1"/>
        <v>赵雯（注册号：2011110090）</v>
      </c>
    </row>
    <row r="16" s="3501" customFormat="1" customHeight="1" spans="1:8">
      <c r="A16" s="3512"/>
      <c r="B16" s="3512"/>
      <c r="C16" s="3512"/>
      <c r="D16" s="3514" t="str">
        <f t="shared" si="0"/>
        <v>（注册号：）</v>
      </c>
      <c r="E16" s="3515"/>
      <c r="F16" s="3512"/>
      <c r="G16" s="3512"/>
      <c r="H16" s="3519" t="str">
        <f t="shared" si="1"/>
        <v>（注册号：）</v>
      </c>
    </row>
    <row r="17" customHeight="1" spans="1:8">
      <c r="A17" s="3520" t="s">
        <v>196</v>
      </c>
      <c r="B17" s="3520"/>
      <c r="C17" s="3520"/>
      <c r="D17" s="3520"/>
      <c r="E17" s="3520"/>
      <c r="F17" s="3520"/>
      <c r="G17" s="3520"/>
      <c r="H17" s="3520"/>
    </row>
    <row r="18" customHeight="1" spans="1:7">
      <c r="A18" s="3509" t="s">
        <v>197</v>
      </c>
      <c r="B18" s="3509"/>
      <c r="C18" s="3509"/>
      <c r="D18" s="3510"/>
      <c r="E18" s="3521" t="s">
        <v>198</v>
      </c>
      <c r="F18" s="3509"/>
      <c r="G18" s="3509"/>
    </row>
    <row r="19" s="3502" customFormat="1" customHeight="1" spans="1:7">
      <c r="A19" s="3522" t="s">
        <v>199</v>
      </c>
      <c r="B19" s="3509" t="s">
        <v>200</v>
      </c>
      <c r="C19" s="3509" t="s">
        <v>179</v>
      </c>
      <c r="D19" s="3510"/>
      <c r="E19" s="3515" t="s">
        <v>199</v>
      </c>
      <c r="F19" s="3509" t="s">
        <v>200</v>
      </c>
      <c r="G19" s="3509" t="s">
        <v>179</v>
      </c>
    </row>
    <row r="20" s="3502" customFormat="1" customHeight="1" spans="1:7">
      <c r="A20" s="3523" t="s">
        <v>201</v>
      </c>
      <c r="B20" s="3523" t="s">
        <v>202</v>
      </c>
      <c r="C20" s="3516">
        <v>44820</v>
      </c>
      <c r="D20" s="3524"/>
      <c r="E20" s="3525" t="s">
        <v>203</v>
      </c>
      <c r="F20" s="3523" t="s">
        <v>204</v>
      </c>
      <c r="G20" s="3526">
        <v>44377</v>
      </c>
    </row>
    <row r="21" s="3502" customFormat="1" customHeight="1" spans="1:7">
      <c r="A21" s="3523"/>
      <c r="B21" s="3523"/>
      <c r="C21" s="3527"/>
      <c r="D21" s="3528"/>
      <c r="E21" s="3525" t="s">
        <v>205</v>
      </c>
      <c r="F21" s="3529" t="s">
        <v>206</v>
      </c>
      <c r="G21" s="3530">
        <v>44012</v>
      </c>
    </row>
    <row r="22" customHeight="1" spans="3:7">
      <c r="C22" s="3531"/>
      <c r="D22" s="3531"/>
      <c r="E22" s="3532"/>
      <c r="F22" s="3533"/>
      <c r="G22" s="353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60</vt:i4>
      </vt:variant>
    </vt:vector>
  </HeadingPairs>
  <TitlesOfParts>
    <vt:vector size="6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收益法倒推租金-商业</vt:lpstr>
      <vt:lpstr>收益法倒推租金-商业单租</vt:lpstr>
      <vt:lpstr>收益法倒推租金-酒店</vt:lpstr>
      <vt:lpstr>各层租金</vt:lpstr>
      <vt:lpstr>收益法倒推租金-仓储</vt:lpstr>
      <vt:lpstr>商业总体租金</vt:lpstr>
      <vt:lpstr>Sheet1</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2021-10-08T09:06:02Z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9BBD434738484DD3BE25B099F28F9DAA</vt:lpwstr>
  </property>
</Properties>
</file>