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基准地价修正" sheetId="43" r:id="rId23"/>
    <sheet name="土地比较法-住宅、综合" sheetId="39" r:id="rId24"/>
    <sheet name="土地案例" sheetId="88" r:id="rId25"/>
    <sheet name="收益法（汇总）" sheetId="70" r:id="rId26"/>
    <sheet name="比较法-住宅" sheetId="21" state="hidden" r:id="rId27"/>
    <sheet name="比较法-商业" sheetId="33" state="hidden" r:id="rId28"/>
    <sheet name="案例" sheetId="80" state="hidden" r:id="rId29"/>
    <sheet name="比较法-办公" sheetId="34" state="hidden" r:id="rId30"/>
    <sheet name="案例 (2)" sheetId="81" state="hidden" r:id="rId31"/>
    <sheet name="比较法-工业" sheetId="37" state="hidden" r:id="rId32"/>
    <sheet name="案例 (3)" sheetId="82" state="hidden" r:id="rId33"/>
    <sheet name="比较法-车位" sheetId="35" state="hidden" r:id="rId34"/>
    <sheet name="比较法-仓储" sheetId="36" state="hidden" r:id="rId35"/>
    <sheet name="收益法" sheetId="15"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其他龙湖" sheetId="87" r:id="rId49"/>
    <sheet name="收益法-车库" sheetId="86" r:id="rId50"/>
    <sheet name="收益法-经营模型" sheetId="77" r:id="rId51"/>
    <sheet name="租赁台账" sheetId="85" r:id="rId52"/>
    <sheet name="商业" sheetId="83" r:id="rId53"/>
    <sheet name="车位" sheetId="84" r:id="rId54"/>
    <sheet name="购房合同" sheetId="89" r:id="rId55"/>
  </sheets>
  <externalReferences>
    <externalReference r:id="rId56"/>
    <externalReference r:id="rId57"/>
    <externalReference r:id="rId58"/>
    <externalReference r:id="rId59"/>
    <externalReference r:id="rId60"/>
    <externalReference r:id="rId61"/>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52" hidden="1">商业!$H$1:$H$43</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_FilterDatabase" localSheetId="51" hidden="1">租赁台账!$A$1:$K$177</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35">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49">'收益法-车库'!$A$1:$F$43,'收益法-车库'!$H$3:$M$29,'收益法-车库'!$A$46:$F$71,'收益法-车库'!$I$46:$N$65</definedName>
    <definedName name="_xlnm.Print_Area" localSheetId="13">'数据-汇总表'!$A$1:$P$32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'[1]比较法-办公'!$B$119:$M$119</definedName>
    <definedName name="办公层高">'比较法-办公'!$B$119:$M$119</definedName>
    <definedName name="办公朝向" localSheetId="48">'[1]比较法-办公'!$B$91:$M$91</definedName>
    <definedName name="办公朝向">'比较法-办公'!$B$91:$M$91</definedName>
    <definedName name="办公道路级别" localSheetId="48">'[1]比较法-办公'!$B$87:$M$87</definedName>
    <definedName name="办公道路级别">'比较法-办公'!$B$87:$M$87</definedName>
    <definedName name="办公公共部分装修" localSheetId="48">'[1]比较法-办公'!$B$108:$M$108</definedName>
    <definedName name="办公公共部分装修">'比较法-办公'!$B$108:$M$108</definedName>
    <definedName name="办公基础设施水平" localSheetId="48">'[1]比较法-办公'!$B$117:$M$117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'比较法-办公'!$B$106:$M$106</definedName>
    <definedName name="办公建筑类型" localSheetId="48">'[1]比较法-办公'!$B$101:$M$101</definedName>
    <definedName name="办公建筑类型">'比较法-办公'!$B$101:$M$101</definedName>
    <definedName name="办公交易情况" localSheetId="48">'[1]比较法-办公'!$A$62:$M$62</definedName>
    <definedName name="办公交易情况">'比较法-办公'!$A$62:$M$62</definedName>
    <definedName name="办公楼层" localSheetId="48">'[1]比较法-办公'!$B$89:$M$89</definedName>
    <definedName name="办公楼层">'比较法-办公'!$B$89:$M$89</definedName>
    <definedName name="办公内部装修" localSheetId="48">'[1]比较法-办公'!$B$123:$M$123</definedName>
    <definedName name="办公内部装修">'比较法-办公'!$B$123:$M$123</definedName>
    <definedName name="办公物业管理" localSheetId="48">'[1]比较法-办公'!$B$115:$M$115</definedName>
    <definedName name="办公物业管理">'比较法-办公'!$B$115:$M$115</definedName>
    <definedName name="办公用途" localSheetId="48">'[1]比较法-办公'!$B$64:$M$64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区片价!$J$1:$J$21</definedName>
    <definedName name="二级分类" localSheetId="48">[1]修正!$C$19:$C$51</definedName>
    <definedName name="二级分类">修正!$C$19:$C$51</definedName>
    <definedName name="法定最高年限" localSheetId="48">[1]定义!$G$1:$G$6</definedName>
    <definedName name="法定最高年限">定义!$G$1:$G$6</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范围判定" localSheetId="48">[1]定义!$D$1:$D$4</definedName>
    <definedName name="估价范围判定">定义!$D$1:$D$4</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区片价!$Q$1:$Q$51</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区片价!$N$1:$N$64</definedName>
    <definedName name="内部装修维护情况" localSheetId="48">[1]定义!$U$1:$U$6</definedName>
    <definedName name="内部装修维护情况">定义!$U$1:$U$6</definedName>
    <definedName name="七级">区片价!$O$1:$O$45</definedName>
    <definedName name="七通一平" localSheetId="48">[1]修正!$A$8:$A$16</definedName>
    <definedName name="七通一平">修正!$A$8:$A$16</definedName>
    <definedName name="区域土地利用方向" localSheetId="48">[1]定义!$P$1:$P$6</definedName>
    <definedName name="区域土地利用方向">定义!$P$1:$P$6</definedName>
    <definedName name="三级">区片价!$K$1:$K$26</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[1]修正!$C$71:$C$138</definedName>
    <definedName name="商业街名称">修正!$C$71:$C$138</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区片价!$L$1:$L$33</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'[1]土地比较法-住宅、综合'!$A$72:$M$72</definedName>
    <definedName name="套工交易情况">'土地比较法-住宅、综合'!$A$72:$M$72</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'[1]土地比较法-住宅、综合'!$B$105:$M$105</definedName>
    <definedName name="套综道路等级">'土地比较法-住宅、综合'!$B$105:$M$105</definedName>
    <definedName name="套综工程地质条件" localSheetId="48">'[1]土地比较法-住宅、综合'!$B$124:$M$124</definedName>
    <definedName name="套综工程地质条件">'土地比较法-住宅、综合'!$B$124:$M$124</definedName>
    <definedName name="套综交易情况" localSheetId="48">'[1]土地比较法-住宅、综合'!$A$72:$M$72</definedName>
    <definedName name="套综交易情况">'土地比较法-住宅、综合'!$A$72:$M$72</definedName>
    <definedName name="套综临街宽度及深度" localSheetId="48">'[1]土地比较法-住宅、综合'!$B$120:$M$120</definedName>
    <definedName name="套综临街宽度及深度">'土地比较法-住宅、综合'!$B$120:$M$120</definedName>
    <definedName name="套综土地级别" localSheetId="48">'[1]土地比较法-住宅、综合'!$B$107:$M$107</definedName>
    <definedName name="套综土地级别">'土地比较法-住宅、综合'!$B$107:$M$107</definedName>
    <definedName name="套综用途" localSheetId="48">'[1]土地比较法-住宅、综合'!$B$74:$M$74</definedName>
    <definedName name="套综用途">'土地比较法-住宅、综合'!$B$74:$M$74</definedName>
    <definedName name="套综宗地内开发程度" localSheetId="48">'[1]土地比较法-住宅、综合'!$B$122:$M$122</definedName>
    <definedName name="套综宗地内开发程度">'土地比较法-住宅、综合'!$B$122:$M$122</definedName>
    <definedName name="套综宗地形状" localSheetId="48">'[1]土地比较法-住宅、综合'!$B$118:$M$118</definedName>
    <definedName name="套综宗地形状">'土地比较法-住宅、综合'!$B$118:$M$118</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定义!$I$1:$I$16</definedName>
    <definedName name="位置" localSheetId="48">[1]定义!$E$2:$E$4</definedName>
    <definedName name="位置">定义!$E$2:$E$4</definedName>
    <definedName name="五等判定" localSheetId="48">[1]定义!$W$1:$W$6</definedName>
    <definedName name="五等判定">定义!$W$1:$W$6</definedName>
    <definedName name="五级">区片价!$M$1:$M$41</definedName>
    <definedName name="项目类型" localSheetId="48">'[1]数据-汇总表'!$C$17:$C$26</definedName>
    <definedName name="项目类型" localSheetId="50">'[2]数据-汇总表'!$C$17:$C$26</definedName>
    <definedName name="项目类型">'数据-汇总表'!$C$17:$C$26</definedName>
    <definedName name="写字楼等级" localSheetId="48">'[1]比较法-办公'!$B$113:$M$113</definedName>
    <definedName name="写字楼等级">'比较法-办公'!$B$113:$M$113</definedName>
    <definedName name="一级">区片价!$I$1:$I$6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[1]定义!$F$1:$F$12</definedName>
    <definedName name="主用途">定义!$F$1:$F$12</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34" i="87" l="1"/>
  <c r="H35" i="87" s="1"/>
  <c r="H36" i="87" s="1"/>
  <c r="G37" i="87"/>
  <c r="F37" i="87"/>
  <c r="E37" i="87"/>
  <c r="D37" i="87"/>
  <c r="C37" i="87"/>
  <c r="H28" i="89"/>
  <c r="G28" i="89"/>
  <c r="D28" i="89"/>
  <c r="C28" i="89"/>
  <c r="I27" i="89"/>
  <c r="H27" i="89"/>
  <c r="I26" i="89"/>
  <c r="H26" i="89"/>
  <c r="I25" i="89"/>
  <c r="H25" i="89"/>
  <c r="I24" i="89"/>
  <c r="H24" i="89"/>
  <c r="I23" i="89"/>
  <c r="H23" i="89"/>
  <c r="I22" i="89"/>
  <c r="H22" i="89"/>
  <c r="I21" i="89"/>
  <c r="H21" i="89"/>
  <c r="I20" i="89"/>
  <c r="H20" i="89"/>
  <c r="I19" i="89"/>
  <c r="H19" i="89"/>
  <c r="I18" i="89"/>
  <c r="H18" i="89"/>
  <c r="I17" i="89"/>
  <c r="H17" i="89"/>
  <c r="I16" i="89"/>
  <c r="H16" i="89"/>
  <c r="I15" i="89"/>
  <c r="H15" i="89"/>
  <c r="I14" i="89"/>
  <c r="H14" i="89"/>
  <c r="I13" i="89"/>
  <c r="H13" i="89"/>
  <c r="I12" i="89"/>
  <c r="H12" i="89"/>
  <c r="I11" i="89"/>
  <c r="H11" i="89"/>
  <c r="I10" i="89"/>
  <c r="H10" i="89"/>
  <c r="I9" i="89"/>
  <c r="H9" i="89"/>
  <c r="I8" i="89"/>
  <c r="H8" i="89"/>
  <c r="I7" i="89"/>
  <c r="H7" i="89"/>
  <c r="I6" i="89"/>
  <c r="H6" i="89"/>
  <c r="I5" i="89"/>
  <c r="H5" i="89"/>
  <c r="I4" i="89"/>
  <c r="H4" i="89"/>
  <c r="H3" i="89"/>
  <c r="F179" i="85"/>
  <c r="L179" i="85"/>
  <c r="L178" i="85"/>
  <c r="F178" i="85"/>
  <c r="X28" i="1"/>
  <c r="X27" i="1"/>
  <c r="X26" i="1"/>
  <c r="X25" i="1"/>
  <c r="X22" i="1"/>
  <c r="X23" i="1"/>
  <c r="E35" i="77"/>
  <c r="B4" i="77"/>
  <c r="C35" i="77"/>
  <c r="C34" i="77"/>
  <c r="E36" i="77"/>
  <c r="E34" i="77"/>
  <c r="D34" i="77"/>
  <c r="D6" i="77"/>
  <c r="D14" i="9"/>
  <c r="H41" i="87"/>
  <c r="U17" i="1"/>
  <c r="E58" i="39"/>
  <c r="E57" i="39"/>
  <c r="F117" i="39"/>
  <c r="E117" i="39"/>
  <c r="D117" i="39"/>
  <c r="C38" i="39"/>
  <c r="I46" i="39"/>
  <c r="G46" i="39"/>
  <c r="E46" i="39"/>
  <c r="I38" i="39"/>
  <c r="G38" i="39"/>
  <c r="E38" i="39"/>
  <c r="I11" i="39"/>
  <c r="G11" i="39"/>
  <c r="E11" i="39"/>
  <c r="D74" i="39"/>
  <c r="C74" i="39"/>
  <c r="I7" i="39"/>
  <c r="G7" i="39"/>
  <c r="E7" i="39"/>
  <c r="I5" i="39"/>
  <c r="G5" i="39"/>
  <c r="E5" i="39"/>
  <c r="U29" i="1"/>
  <c r="U28" i="1"/>
  <c r="U27" i="1"/>
  <c r="U26" i="1"/>
  <c r="U25" i="1"/>
  <c r="U24" i="1"/>
  <c r="U23" i="1"/>
  <c r="U22" i="1"/>
  <c r="H49" i="87"/>
  <c r="H45" i="87"/>
  <c r="H44" i="87"/>
  <c r="H43" i="87"/>
  <c r="H42" i="87"/>
  <c r="H40" i="87"/>
  <c r="H39" i="87"/>
  <c r="H38" i="87"/>
  <c r="H33" i="87"/>
  <c r="F54" i="87" l="1"/>
  <c r="F55" i="87" s="1"/>
  <c r="D54" i="87"/>
  <c r="D55" i="87" s="1"/>
  <c r="F53" i="87"/>
  <c r="E53" i="87"/>
  <c r="E54" i="87" s="1"/>
  <c r="E55" i="87" s="1"/>
  <c r="D53" i="87"/>
  <c r="C53" i="87"/>
  <c r="C56" i="87" s="1"/>
  <c r="G52" i="87"/>
  <c r="F50" i="87"/>
  <c r="E50" i="87"/>
  <c r="D50" i="87"/>
  <c r="C50" i="87"/>
  <c r="G49" i="87"/>
  <c r="G50" i="87" s="1"/>
  <c r="E36" i="87"/>
  <c r="C36" i="87"/>
  <c r="F35" i="87"/>
  <c r="F36" i="87" s="1"/>
  <c r="E35" i="87"/>
  <c r="L41" i="87" s="1"/>
  <c r="D35" i="87"/>
  <c r="D36" i="87" s="1"/>
  <c r="C35" i="87"/>
  <c r="J41" i="87" s="1"/>
  <c r="G34" i="87"/>
  <c r="G53" i="87" s="1"/>
  <c r="G33" i="87"/>
  <c r="G35" i="87" s="1"/>
  <c r="N41" i="87" s="1"/>
  <c r="F21" i="87"/>
  <c r="D21" i="87"/>
  <c r="C21" i="87"/>
  <c r="E20" i="87"/>
  <c r="J19" i="87"/>
  <c r="L20" i="87" s="1"/>
  <c r="E19" i="87"/>
  <c r="E18" i="87"/>
  <c r="H17" i="87"/>
  <c r="E17" i="87"/>
  <c r="L16" i="87"/>
  <c r="J16" i="87"/>
  <c r="E16" i="87"/>
  <c r="L15" i="87"/>
  <c r="Q15" i="87" s="1"/>
  <c r="J15" i="87"/>
  <c r="N15" i="87" s="1"/>
  <c r="E15" i="87"/>
  <c r="H15" i="87" s="1"/>
  <c r="L14" i="87"/>
  <c r="Q14" i="87" s="1"/>
  <c r="J14" i="87"/>
  <c r="N14" i="87" s="1"/>
  <c r="E14" i="87"/>
  <c r="L13" i="87"/>
  <c r="N13" i="87" s="1"/>
  <c r="J13" i="87"/>
  <c r="H13" i="87"/>
  <c r="E13" i="87"/>
  <c r="L12" i="87"/>
  <c r="N12" i="87" s="1"/>
  <c r="J12" i="87"/>
  <c r="H12" i="87"/>
  <c r="E12" i="87"/>
  <c r="L11" i="87"/>
  <c r="N11" i="87" s="1"/>
  <c r="J11" i="87"/>
  <c r="H11" i="87"/>
  <c r="E11" i="87"/>
  <c r="J10" i="87"/>
  <c r="J17" i="87" s="1"/>
  <c r="E10" i="87"/>
  <c r="E9" i="87"/>
  <c r="P74" i="86"/>
  <c r="Q72" i="86"/>
  <c r="Q59" i="86"/>
  <c r="K59" i="86"/>
  <c r="P61" i="86" s="1"/>
  <c r="F59" i="86"/>
  <c r="Q58" i="86"/>
  <c r="J52" i="86"/>
  <c r="Q51" i="86" s="1"/>
  <c r="J50" i="86"/>
  <c r="J49" i="86"/>
  <c r="M47" i="86"/>
  <c r="D46" i="86"/>
  <c r="F34" i="86"/>
  <c r="F62" i="86" s="1"/>
  <c r="F33" i="86"/>
  <c r="F61" i="86" s="1"/>
  <c r="F32" i="86"/>
  <c r="F60" i="86" s="1"/>
  <c r="F31" i="86"/>
  <c r="F28" i="86"/>
  <c r="C28" i="86" s="1"/>
  <c r="F23" i="86"/>
  <c r="D24" i="86" s="1"/>
  <c r="D22" i="86"/>
  <c r="F21" i="86"/>
  <c r="M20" i="86"/>
  <c r="F20" i="86"/>
  <c r="M19" i="86"/>
  <c r="M18" i="86"/>
  <c r="F18" i="86"/>
  <c r="M17" i="86"/>
  <c r="F17" i="86"/>
  <c r="F15" i="86"/>
  <c r="G1" i="86"/>
  <c r="D33" i="43"/>
  <c r="G44" i="43"/>
  <c r="D42" i="43"/>
  <c r="D38" i="43"/>
  <c r="D37" i="43"/>
  <c r="U6" i="43"/>
  <c r="U5" i="43"/>
  <c r="U4" i="43"/>
  <c r="U3" i="43"/>
  <c r="U2" i="43"/>
  <c r="G19" i="43"/>
  <c r="E19" i="43"/>
  <c r="J7" i="1"/>
  <c r="G20" i="6"/>
  <c r="G19" i="6"/>
  <c r="F19" i="6"/>
  <c r="M13" i="3"/>
  <c r="K13" i="3"/>
  <c r="I13" i="3"/>
  <c r="F13" i="4"/>
  <c r="L47" i="86"/>
  <c r="F7" i="86"/>
  <c r="F8" i="86"/>
  <c r="F42" i="86"/>
  <c r="F9" i="86"/>
  <c r="M22" i="86"/>
  <c r="L48" i="86"/>
  <c r="F40" i="86"/>
  <c r="M24" i="86"/>
  <c r="C76" i="86"/>
  <c r="F43" i="86"/>
  <c r="M28" i="86"/>
  <c r="D23" i="86" l="1"/>
  <c r="J51" i="86"/>
  <c r="E22" i="87"/>
  <c r="L17" i="87"/>
  <c r="L18" i="87" s="1"/>
  <c r="G56" i="87"/>
  <c r="G54" i="87"/>
  <c r="G55" i="87" s="1"/>
  <c r="Q11" i="87"/>
  <c r="Q12" i="87"/>
  <c r="Q13" i="87"/>
  <c r="C54" i="87"/>
  <c r="C55" i="87" s="1"/>
  <c r="Q10" i="87"/>
  <c r="E21" i="87"/>
  <c r="J18" i="87" s="1"/>
  <c r="G36" i="87"/>
  <c r="K41" i="87"/>
  <c r="M41" i="87"/>
  <c r="N10" i="87"/>
  <c r="F51" i="86"/>
  <c r="F50" i="86"/>
  <c r="M7" i="86"/>
  <c r="F68" i="86"/>
  <c r="F71" i="86"/>
  <c r="N59" i="86"/>
  <c r="L59" i="86"/>
  <c r="L58" i="86"/>
  <c r="L57" i="86"/>
  <c r="L56" i="86"/>
  <c r="Q71" i="86"/>
  <c r="L60" i="86"/>
  <c r="J53" i="86"/>
  <c r="I54" i="86"/>
  <c r="J57" i="86"/>
  <c r="J55" i="86" s="1"/>
  <c r="J58" i="86" s="1"/>
  <c r="Q50" i="86" s="1"/>
  <c r="C11" i="4"/>
  <c r="F62" i="84"/>
  <c r="J15" i="86"/>
  <c r="M9" i="86"/>
  <c r="M26" i="86"/>
  <c r="F6" i="86"/>
  <c r="M6" i="86"/>
  <c r="M29" i="86"/>
  <c r="M8" i="86"/>
  <c r="C17" i="86"/>
  <c r="F16" i="86"/>
  <c r="F36" i="86"/>
  <c r="F37" i="86"/>
  <c r="M23" i="86"/>
  <c r="F38" i="86"/>
  <c r="F26" i="86"/>
  <c r="M17" i="87" l="1"/>
  <c r="N17" i="87" s="1"/>
  <c r="L19" i="87"/>
  <c r="Q17" i="87"/>
  <c r="C49" i="86"/>
  <c r="C61" i="86" s="1"/>
  <c r="C27" i="86"/>
  <c r="C6" i="86"/>
  <c r="F66" i="86"/>
  <c r="F64" i="86"/>
  <c r="J6" i="86"/>
  <c r="F65" i="86"/>
  <c r="Q52" i="86"/>
  <c r="F1" i="86"/>
  <c r="Q57" i="86"/>
  <c r="Q66" i="86"/>
  <c r="Q74" i="86"/>
  <c r="Q61" i="86"/>
  <c r="Q73" i="86"/>
  <c r="Q60" i="86"/>
  <c r="J179" i="85"/>
  <c r="J178" i="85"/>
  <c r="L177" i="85"/>
  <c r="L176" i="85"/>
  <c r="L175" i="85"/>
  <c r="L174" i="85"/>
  <c r="L173" i="85"/>
  <c r="L172" i="85"/>
  <c r="L171" i="85"/>
  <c r="L170" i="85"/>
  <c r="L169" i="85"/>
  <c r="L168" i="85"/>
  <c r="L167" i="85"/>
  <c r="L166" i="85"/>
  <c r="L165" i="85"/>
  <c r="L164" i="85"/>
  <c r="L163" i="85"/>
  <c r="L162" i="85"/>
  <c r="L161" i="85"/>
  <c r="L160" i="85"/>
  <c r="L159" i="85"/>
  <c r="L158" i="85"/>
  <c r="L157" i="85"/>
  <c r="L156" i="85"/>
  <c r="L155" i="85"/>
  <c r="L154" i="85"/>
  <c r="L153" i="85"/>
  <c r="L152" i="85"/>
  <c r="L151" i="85"/>
  <c r="L150" i="85"/>
  <c r="L149" i="85"/>
  <c r="L148" i="85"/>
  <c r="L147" i="85"/>
  <c r="L146" i="85"/>
  <c r="L145" i="85"/>
  <c r="L144" i="85"/>
  <c r="L143" i="85"/>
  <c r="L142" i="85"/>
  <c r="L141" i="85"/>
  <c r="L140" i="85"/>
  <c r="L139" i="85"/>
  <c r="L138" i="85"/>
  <c r="L137" i="85"/>
  <c r="L136" i="85"/>
  <c r="L135" i="85"/>
  <c r="L134" i="85"/>
  <c r="L133" i="85"/>
  <c r="L132" i="85"/>
  <c r="L131" i="85"/>
  <c r="L130" i="85"/>
  <c r="L129" i="85"/>
  <c r="L128" i="85"/>
  <c r="L127" i="85"/>
  <c r="L126" i="85"/>
  <c r="L125" i="85"/>
  <c r="L124" i="85"/>
  <c r="L123" i="85"/>
  <c r="L122" i="85"/>
  <c r="L121" i="85"/>
  <c r="L120" i="85"/>
  <c r="L119" i="85"/>
  <c r="L118" i="85"/>
  <c r="L117" i="85"/>
  <c r="L116" i="85"/>
  <c r="L115" i="85"/>
  <c r="L114" i="85"/>
  <c r="L113" i="85"/>
  <c r="L112" i="85"/>
  <c r="L111" i="85"/>
  <c r="L110" i="85"/>
  <c r="L109" i="85"/>
  <c r="L108" i="85"/>
  <c r="L107" i="85"/>
  <c r="L106" i="85"/>
  <c r="L105" i="85"/>
  <c r="L104" i="85"/>
  <c r="L103" i="85"/>
  <c r="L102" i="85"/>
  <c r="L101" i="85"/>
  <c r="L100" i="85"/>
  <c r="L99" i="85"/>
  <c r="L98" i="85"/>
  <c r="L97" i="85"/>
  <c r="L96" i="85"/>
  <c r="L95" i="85"/>
  <c r="L94" i="85"/>
  <c r="L93" i="85"/>
  <c r="L92" i="85"/>
  <c r="L91" i="85"/>
  <c r="L90" i="85"/>
  <c r="L89" i="85"/>
  <c r="L88" i="85"/>
  <c r="L87" i="85"/>
  <c r="L86" i="85"/>
  <c r="L85" i="85"/>
  <c r="L84" i="85"/>
  <c r="L83" i="85"/>
  <c r="L82" i="85"/>
  <c r="L81" i="85"/>
  <c r="L80" i="85"/>
  <c r="L79" i="85"/>
  <c r="L78" i="85"/>
  <c r="L77" i="85"/>
  <c r="L76" i="85"/>
  <c r="L75" i="85"/>
  <c r="L74" i="85"/>
  <c r="L73" i="85"/>
  <c r="L72" i="85"/>
  <c r="L71" i="85"/>
  <c r="L70" i="85"/>
  <c r="L69" i="85"/>
  <c r="L68" i="85"/>
  <c r="L67" i="85"/>
  <c r="L66" i="85"/>
  <c r="L65" i="85"/>
  <c r="L64" i="85"/>
  <c r="L63" i="85"/>
  <c r="L62" i="85"/>
  <c r="L61" i="85"/>
  <c r="L60" i="85"/>
  <c r="L59" i="85"/>
  <c r="L58" i="85"/>
  <c r="L57" i="85"/>
  <c r="L56" i="85"/>
  <c r="L55" i="85"/>
  <c r="L54" i="85"/>
  <c r="L53" i="85"/>
  <c r="L52" i="85"/>
  <c r="L51" i="85"/>
  <c r="L50" i="85"/>
  <c r="L49" i="85"/>
  <c r="L48" i="85"/>
  <c r="L47" i="85"/>
  <c r="L46" i="85"/>
  <c r="L45" i="85"/>
  <c r="L44" i="85"/>
  <c r="L43" i="85"/>
  <c r="L42" i="85"/>
  <c r="L41" i="85"/>
  <c r="L40" i="85"/>
  <c r="L39" i="85"/>
  <c r="L38" i="85"/>
  <c r="L37" i="85"/>
  <c r="L36" i="85"/>
  <c r="L35" i="85"/>
  <c r="L34" i="85"/>
  <c r="L33" i="85"/>
  <c r="L32" i="85"/>
  <c r="L31" i="85"/>
  <c r="L30" i="85"/>
  <c r="L29" i="85"/>
  <c r="L28" i="85"/>
  <c r="L27" i="85"/>
  <c r="L26" i="85"/>
  <c r="L25" i="85"/>
  <c r="L24" i="85"/>
  <c r="L23" i="85"/>
  <c r="L22" i="85"/>
  <c r="L21" i="85"/>
  <c r="L20" i="85"/>
  <c r="L19" i="85"/>
  <c r="L18" i="85"/>
  <c r="L17" i="85"/>
  <c r="L16" i="85"/>
  <c r="L15" i="85"/>
  <c r="L14" i="85"/>
  <c r="L13" i="85"/>
  <c r="L12" i="85"/>
  <c r="L11" i="85"/>
  <c r="L10" i="85"/>
  <c r="L9" i="85"/>
  <c r="L8" i="85"/>
  <c r="L7" i="85"/>
  <c r="L6" i="85"/>
  <c r="L5" i="85"/>
  <c r="L4" i="85"/>
  <c r="L3" i="85"/>
  <c r="L2" i="85"/>
  <c r="E14" i="84"/>
  <c r="E13" i="84"/>
  <c r="E9" i="84"/>
  <c r="C39" i="83"/>
  <c r="C33" i="83"/>
  <c r="C34" i="83"/>
  <c r="C35" i="83"/>
  <c r="C36" i="83"/>
  <c r="C37" i="83"/>
  <c r="C38" i="83"/>
  <c r="C32" i="83"/>
  <c r="D38" i="83"/>
  <c r="D37" i="83"/>
  <c r="D36" i="83"/>
  <c r="E38" i="83"/>
  <c r="E37" i="83"/>
  <c r="E36" i="83"/>
  <c r="E35" i="83"/>
  <c r="E34" i="83"/>
  <c r="E33" i="83"/>
  <c r="E32" i="83"/>
  <c r="F43" i="83"/>
  <c r="F42" i="83"/>
  <c r="F38" i="83"/>
  <c r="F37" i="83"/>
  <c r="F36" i="83"/>
  <c r="F35" i="83"/>
  <c r="F34" i="83"/>
  <c r="F33" i="83"/>
  <c r="F41" i="83"/>
  <c r="F32" i="83"/>
  <c r="J18" i="86" l="1"/>
  <c r="J19" i="86"/>
  <c r="C33" i="86"/>
  <c r="C32" i="86"/>
  <c r="I41" i="37"/>
  <c r="G41" i="37"/>
  <c r="E41" i="37"/>
  <c r="I33" i="37"/>
  <c r="G33" i="37"/>
  <c r="E33" i="37"/>
  <c r="I5" i="37"/>
  <c r="G5" i="37"/>
  <c r="E5" i="37"/>
  <c r="F104" i="37"/>
  <c r="E104" i="37"/>
  <c r="D104" i="37"/>
  <c r="C104" i="37"/>
  <c r="G102" i="37"/>
  <c r="F102" i="37"/>
  <c r="E102" i="37"/>
  <c r="D102" i="37"/>
  <c r="C102" i="37"/>
  <c r="F92" i="37"/>
  <c r="G92" i="37" s="1"/>
  <c r="H92" i="37" s="1"/>
  <c r="D92" i="37"/>
  <c r="C92" i="37"/>
  <c r="E60" i="37"/>
  <c r="F60" i="37" s="1"/>
  <c r="G60" i="37" s="1"/>
  <c r="D60" i="37"/>
  <c r="I37" i="34"/>
  <c r="G37" i="34"/>
  <c r="E37" i="34"/>
  <c r="I34" i="34"/>
  <c r="G34" i="34"/>
  <c r="E34" i="34"/>
  <c r="I48" i="34"/>
  <c r="G48" i="34"/>
  <c r="E48" i="34"/>
  <c r="I5" i="34"/>
  <c r="G5" i="34"/>
  <c r="E5" i="34"/>
  <c r="F123" i="34"/>
  <c r="E123" i="34"/>
  <c r="D123" i="34"/>
  <c r="C123" i="34"/>
  <c r="G117" i="34"/>
  <c r="F117" i="34"/>
  <c r="E117" i="34"/>
  <c r="D117" i="34"/>
  <c r="C117" i="34"/>
  <c r="H105" i="34"/>
  <c r="G105" i="34"/>
  <c r="F105" i="34"/>
  <c r="C105" i="34"/>
  <c r="D105" i="34"/>
  <c r="G67" i="34"/>
  <c r="F67" i="34"/>
  <c r="E67" i="34"/>
  <c r="D67" i="34"/>
  <c r="E4" i="82"/>
  <c r="E3" i="82"/>
  <c r="E2" i="82"/>
  <c r="E4" i="81"/>
  <c r="E3" i="81"/>
  <c r="E2" i="81"/>
  <c r="I33" i="33" l="1"/>
  <c r="G33" i="33"/>
  <c r="E33" i="33"/>
  <c r="I36" i="33"/>
  <c r="G36" i="33"/>
  <c r="E36" i="33"/>
  <c r="I47" i="33"/>
  <c r="G47" i="33"/>
  <c r="E47" i="33"/>
  <c r="F122" i="33"/>
  <c r="E122" i="33"/>
  <c r="D122" i="33"/>
  <c r="C122" i="33"/>
  <c r="G112" i="33"/>
  <c r="F112" i="33"/>
  <c r="E112" i="33"/>
  <c r="D112" i="33"/>
  <c r="C112" i="33"/>
  <c r="L104" i="33"/>
  <c r="K104" i="33"/>
  <c r="J104" i="33"/>
  <c r="I104" i="33"/>
  <c r="H104" i="33"/>
  <c r="G104" i="33"/>
  <c r="F104" i="33"/>
  <c r="E104" i="33"/>
  <c r="D104" i="33"/>
  <c r="G89" i="33"/>
  <c r="F89" i="33"/>
  <c r="E89" i="33"/>
  <c r="D89" i="33"/>
  <c r="F66" i="33"/>
  <c r="E66" i="33"/>
  <c r="D66" i="33"/>
  <c r="I5" i="33"/>
  <c r="G5" i="33"/>
  <c r="E5" i="33"/>
  <c r="E4" i="80"/>
  <c r="E3" i="80"/>
  <c r="E2" i="80"/>
  <c r="J49" i="67" l="1"/>
  <c r="J52" i="15"/>
  <c r="J52" i="67" s="1"/>
  <c r="J49" i="15"/>
  <c r="B35" i="1"/>
  <c r="B21" i="1"/>
  <c r="N19" i="1"/>
  <c r="N21" i="1" s="1"/>
  <c r="N6" i="1" l="1"/>
  <c r="D3" i="4"/>
  <c r="Y6" i="1" l="1"/>
  <c r="Y7" i="1" s="1"/>
  <c r="N7" i="1"/>
  <c r="B2" i="82"/>
  <c r="B2" i="81"/>
  <c r="B2" i="80"/>
  <c r="G14" i="73"/>
  <c r="F14" i="73"/>
  <c r="E14" i="73"/>
  <c r="F13" i="86"/>
  <c r="E7" i="33" l="1"/>
  <c r="B3" i="80"/>
  <c r="G7" i="33" s="1"/>
  <c r="B4" i="80"/>
  <c r="I7" i="33" s="1"/>
  <c r="B4" i="82"/>
  <c r="I7" i="37" s="1"/>
  <c r="E7" i="37"/>
  <c r="B3" i="82"/>
  <c r="G7" i="37" s="1"/>
  <c r="B4" i="81"/>
  <c r="I7" i="34" s="1"/>
  <c r="E7" i="34"/>
  <c r="B3" i="81"/>
  <c r="G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D29" i="77"/>
  <c r="E23" i="77"/>
  <c r="C29" i="77"/>
  <c r="R35" i="77"/>
  <c r="U34" i="77" s="1"/>
  <c r="AH9" i="71"/>
  <c r="AG9" i="71"/>
  <c r="AE9" i="71"/>
  <c r="AF9" i="71" s="1"/>
  <c r="AD9" i="71"/>
  <c r="Q9" i="71"/>
  <c r="P9" i="71"/>
  <c r="O9" i="71"/>
  <c r="N9" i="71"/>
  <c r="R25" i="77" l="1"/>
  <c r="R19" i="77"/>
  <c r="R5" i="77" s="1"/>
  <c r="U5" i="77" s="1"/>
  <c r="E29" i="77"/>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F94" i="40"/>
  <c r="H25" i="40"/>
  <c r="AB25" i="40" s="1"/>
  <c r="G94" i="40"/>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J30" i="33" s="1"/>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J12" i="34"/>
  <c r="W12" i="34" s="1"/>
  <c r="H12" i="34"/>
  <c r="F12" i="34"/>
  <c r="S12" i="34" s="1"/>
  <c r="Q11" i="34"/>
  <c r="Z11" i="34" s="1"/>
  <c r="Q10" i="34"/>
  <c r="Z10" i="34" s="1"/>
  <c r="F10" i="34"/>
  <c r="AA10" i="34" s="1"/>
  <c r="Q9" i="34"/>
  <c r="Z9" i="34"/>
  <c r="H9" i="34"/>
  <c r="AB9" i="34" s="1"/>
  <c r="J8" i="34"/>
  <c r="AC8" i="34" s="1"/>
  <c r="H8" i="34"/>
  <c r="U8" i="34" s="1"/>
  <c r="F8" i="34"/>
  <c r="S8" i="34" s="1"/>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AA36" i="34" s="1"/>
  <c r="J35" i="34"/>
  <c r="H39" i="33"/>
  <c r="AB39" i="33" s="1"/>
  <c r="F26" i="33"/>
  <c r="AA26" i="33" s="1"/>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H34" i="39"/>
  <c r="U34" i="39" s="1"/>
  <c r="E108" i="39"/>
  <c r="H31" i="39"/>
  <c r="AB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S27" i="39" s="1"/>
  <c r="F11" i="21"/>
  <c r="S11" i="21" s="1"/>
  <c r="S40" i="21"/>
  <c r="U34" i="21"/>
  <c r="S34" i="21"/>
  <c r="C25" i="39"/>
  <c r="C27"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U42" i="34"/>
  <c r="H40" i="34"/>
  <c r="U40" i="34" s="1"/>
  <c r="E114" i="34"/>
  <c r="H36" i="34"/>
  <c r="U36" i="34" s="1"/>
  <c r="S35" i="34"/>
  <c r="F28" i="34"/>
  <c r="AA28" i="34" s="1"/>
  <c r="F27" i="34"/>
  <c r="AA27" i="34" s="1"/>
  <c r="F25" i="34"/>
  <c r="S25" i="34" s="1"/>
  <c r="H23" i="34"/>
  <c r="U23" i="34" s="1"/>
  <c r="J23" i="34"/>
  <c r="F19" i="34"/>
  <c r="S19" i="34" s="1"/>
  <c r="H17" i="34"/>
  <c r="U17" i="34" s="1"/>
  <c r="F15" i="34"/>
  <c r="J15" i="34"/>
  <c r="H15" i="34"/>
  <c r="AB15" i="34" s="1"/>
  <c r="W8" i="34"/>
  <c r="J28" i="34"/>
  <c r="W28" i="34"/>
  <c r="F41" i="33"/>
  <c r="AA41" i="33" s="1"/>
  <c r="E113" i="33"/>
  <c r="F32" i="33"/>
  <c r="AA32"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W43" i="34" s="1"/>
  <c r="AB42" i="34"/>
  <c r="J40" i="34"/>
  <c r="W40" i="34" s="1"/>
  <c r="F114" i="34"/>
  <c r="G114" i="34"/>
  <c r="H114" i="34" s="1"/>
  <c r="I114" i="34" s="1"/>
  <c r="J114" i="34" s="1"/>
  <c r="K114" i="34" s="1"/>
  <c r="L114" i="34" s="1"/>
  <c r="M114" i="34" s="1"/>
  <c r="H38" i="34"/>
  <c r="AB38" i="34" s="1"/>
  <c r="J36" i="34"/>
  <c r="W36" i="34" s="1"/>
  <c r="H25" i="34"/>
  <c r="AB25" i="34"/>
  <c r="J25" i="34"/>
  <c r="AC25" i="34" s="1"/>
  <c r="AB23" i="34"/>
  <c r="F23" i="34"/>
  <c r="AA23" i="34" s="1"/>
  <c r="J19" i="34"/>
  <c r="AC19" i="34" s="1"/>
  <c r="F17" i="34"/>
  <c r="AA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AC38" i="34"/>
  <c r="AA38" i="34"/>
  <c r="J11" i="33"/>
  <c r="W11" i="33" s="1"/>
  <c r="S28" i="34"/>
  <c r="U23" i="40"/>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AA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AA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AA13" i="35"/>
  <c r="U46" i="33"/>
  <c r="AA14" i="33"/>
  <c r="J36" i="37"/>
  <c r="AC36" i="37" s="1"/>
  <c r="J10" i="36"/>
  <c r="AC10" i="36" s="1"/>
  <c r="AB30" i="21"/>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U32" i="33"/>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W47" i="34"/>
  <c r="AB13" i="34"/>
  <c r="AC36" i="34"/>
  <c r="AA13" i="33"/>
  <c r="AC45" i="33"/>
  <c r="W44"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C43" i="39"/>
  <c r="W43" i="39"/>
  <c r="U45" i="39"/>
  <c r="AB45" i="39"/>
  <c r="AB44" i="39"/>
  <c r="U44" i="39"/>
  <c r="AC37" i="39"/>
  <c r="H25" i="39"/>
  <c r="AB25" i="39" s="1"/>
  <c r="J25" i="39"/>
  <c r="F25" i="39"/>
  <c r="AA25" i="39" s="1"/>
  <c r="F15" i="39"/>
  <c r="AA15" i="39" s="1"/>
  <c r="H15" i="39"/>
  <c r="U15" i="39" s="1"/>
  <c r="J15" i="39"/>
  <c r="W15" i="39" s="1"/>
  <c r="H41" i="39"/>
  <c r="AB41" i="39" s="1"/>
  <c r="W27" i="39"/>
  <c r="AB34" i="39"/>
  <c r="U40" i="39"/>
  <c r="S42" i="39"/>
  <c r="AA41" i="39"/>
  <c r="W8" i="39"/>
  <c r="J19" i="40"/>
  <c r="AC19" i="40"/>
  <c r="J50" i="40"/>
  <c r="H103" i="9"/>
  <c r="D8" i="53" s="1"/>
  <c r="B16" i="53"/>
  <c r="B33" i="72" s="1"/>
  <c r="C7" i="37"/>
  <c r="C7" i="34"/>
  <c r="C7" i="36"/>
  <c r="A118" i="9"/>
  <c r="A4" i="52"/>
  <c r="B41" i="72" s="1"/>
  <c r="J11" i="39"/>
  <c r="W11" i="39" s="1"/>
  <c r="F11" i="39"/>
  <c r="AA11" i="39" s="1"/>
  <c r="G4" i="4"/>
  <c r="I4" i="4"/>
  <c r="A2" i="9"/>
  <c r="F61" i="43"/>
  <c r="H64" i="43" s="1"/>
  <c r="G64" i="43" s="1"/>
  <c r="M64" i="43" s="1"/>
  <c r="N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G85" i="43" s="1"/>
  <c r="K85" i="43" s="1"/>
  <c r="D85" i="43" s="1"/>
  <c r="F50" i="43"/>
  <c r="H54" i="43" s="1"/>
  <c r="G54" i="43" s="1"/>
  <c r="K54" i="43" s="1"/>
  <c r="J54" i="43" s="1"/>
  <c r="F72" i="43"/>
  <c r="H75" i="43" s="1"/>
  <c r="G75" i="43" s="1"/>
  <c r="M75" i="43" s="1"/>
  <c r="N75" i="43" s="1"/>
  <c r="S14" i="35"/>
  <c r="AC35" i="21"/>
  <c r="G8" i="1"/>
  <c r="G10" i="1"/>
  <c r="AC11" i="39"/>
  <c r="W37" i="37"/>
  <c r="W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27" i="36"/>
  <c r="U27" i="36" s="1"/>
  <c r="F27" i="36"/>
  <c r="AA27" i="36" s="1"/>
  <c r="H33" i="34"/>
  <c r="U33" i="34" s="1"/>
  <c r="F32" i="37"/>
  <c r="AA32" i="37" s="1"/>
  <c r="F20" i="36"/>
  <c r="AA20" i="36"/>
  <c r="J33" i="34"/>
  <c r="AC33" i="34" s="1"/>
  <c r="K9" i="1"/>
  <c r="M9" i="1" s="1"/>
  <c r="D93" i="9"/>
  <c r="G29" i="6"/>
  <c r="W26" i="33"/>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S43" i="39"/>
  <c r="F32" i="39"/>
  <c r="AA32" i="39" s="1"/>
  <c r="J21" i="39"/>
  <c r="W21" i="39" s="1"/>
  <c r="F21" i="39"/>
  <c r="AA21" i="39" s="1"/>
  <c r="H21" i="39"/>
  <c r="AB21" i="39" s="1"/>
  <c r="W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S27" i="33"/>
  <c r="S32" i="33"/>
  <c r="AA29" i="33"/>
  <c r="AB29" i="33"/>
  <c r="W38" i="33"/>
  <c r="H41" i="33"/>
  <c r="U41" i="33" s="1"/>
  <c r="F121" i="33"/>
  <c r="G121" i="33"/>
  <c r="H121" i="33" s="1"/>
  <c r="I121" i="33" s="1"/>
  <c r="J121" i="33" s="1"/>
  <c r="K121" i="33" s="1"/>
  <c r="L121" i="33" s="1"/>
  <c r="M121"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F34" i="67"/>
  <c r="F62" i="67" s="1"/>
  <c r="F34" i="15"/>
  <c r="F62" i="15" s="1"/>
  <c r="G13" i="3"/>
  <c r="BA13" i="3"/>
  <c r="BA5" i="3" s="1"/>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AA27" i="39"/>
  <c r="W17" i="39"/>
  <c r="AC17" i="39"/>
  <c r="AC31" i="39"/>
  <c r="AA45" i="39"/>
  <c r="AB39"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AA29"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W32" i="39" s="1"/>
  <c r="H32" i="39"/>
  <c r="AB32" i="39" s="1"/>
  <c r="S32" i="39"/>
  <c r="U21" i="39"/>
  <c r="J19" i="37"/>
  <c r="W19" i="37" s="1"/>
  <c r="S19" i="37"/>
  <c r="AA23"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S13" i="21"/>
  <c r="AP7" i="1"/>
  <c r="AB45" i="21"/>
  <c r="AB9" i="21"/>
  <c r="U9" i="21"/>
  <c r="AC9" i="21"/>
  <c r="U32" i="39"/>
  <c r="AC23" i="37"/>
  <c r="J11" i="37"/>
  <c r="AC11" i="37" s="1"/>
  <c r="J11" i="34"/>
  <c r="W11" i="34" s="1"/>
  <c r="U23" i="21"/>
  <c r="AB23" i="21"/>
  <c r="H109" i="9"/>
  <c r="AD3" i="71"/>
  <c r="J1" i="73"/>
  <c r="H69" i="43"/>
  <c r="G69" i="43" s="1"/>
  <c r="M69" i="43" s="1"/>
  <c r="N69" i="43" s="1"/>
  <c r="H50" i="43"/>
  <c r="G50" i="43" s="1"/>
  <c r="M50" i="43" s="1"/>
  <c r="N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C14" i="86"/>
  <c r="F3" i="73"/>
  <c r="E2" i="68"/>
  <c r="F5" i="73"/>
  <c r="F40" i="15"/>
  <c r="M23" i="67"/>
  <c r="F13" i="15"/>
  <c r="M28" i="15"/>
  <c r="E10" i="76"/>
  <c r="M28" i="67"/>
  <c r="F6" i="67"/>
  <c r="E13" i="76"/>
  <c r="M23" i="15"/>
  <c r="B10" i="76"/>
  <c r="F37" i="67"/>
  <c r="C16" i="86"/>
  <c r="M8" i="15"/>
  <c r="M24" i="15"/>
  <c r="M6" i="15"/>
  <c r="E2" i="69"/>
  <c r="F16" i="67"/>
  <c r="F13" i="67"/>
  <c r="M9" i="15"/>
  <c r="E9" i="76"/>
  <c r="M22" i="67"/>
  <c r="E11" i="76"/>
  <c r="F26" i="67"/>
  <c r="B8" i="76"/>
  <c r="D5" i="73"/>
  <c r="F36" i="67"/>
  <c r="F20" i="31"/>
  <c r="D4" i="73"/>
  <c r="B9" i="76"/>
  <c r="F4" i="73"/>
  <c r="L48" i="15"/>
  <c r="F16" i="15"/>
  <c r="F7" i="73"/>
  <c r="F6" i="73"/>
  <c r="B13" i="76"/>
  <c r="AO13" i="1"/>
  <c r="F9" i="15"/>
  <c r="D7" i="73"/>
  <c r="M24" i="67"/>
  <c r="D3" i="73"/>
  <c r="D6" i="73"/>
  <c r="C76" i="67"/>
  <c r="E7" i="76"/>
  <c r="E12" i="76"/>
  <c r="B11" i="76"/>
  <c r="E8" i="76"/>
  <c r="F43" i="15"/>
  <c r="B12" i="76"/>
  <c r="B7" i="76"/>
  <c r="F37" i="15"/>
  <c r="F40" i="67"/>
  <c r="J15" i="15"/>
  <c r="F7" i="15"/>
  <c r="F34" i="68" l="1"/>
  <c r="M59" i="86"/>
  <c r="C18" i="86"/>
  <c r="C15" i="86"/>
  <c r="O7" i="1"/>
  <c r="P7" i="1" s="1"/>
  <c r="D54" i="43"/>
  <c r="S38" i="39"/>
  <c r="U25" i="39"/>
  <c r="AC23" i="39"/>
  <c r="W23" i="39"/>
  <c r="H23" i="39"/>
  <c r="U23" i="39" s="1"/>
  <c r="F23" i="39"/>
  <c r="AA23" i="39" s="1"/>
  <c r="E96" i="39"/>
  <c r="F96" i="39" s="1"/>
  <c r="G96" i="39" s="1"/>
  <c r="U19" i="39"/>
  <c r="AB27" i="39"/>
  <c r="U17" i="39"/>
  <c r="S21" i="39"/>
  <c r="AA31" i="39"/>
  <c r="S31" i="39"/>
  <c r="AB35" i="39"/>
  <c r="U35" i="39"/>
  <c r="AC32" i="39"/>
  <c r="W34" i="39"/>
  <c r="U31" i="39"/>
  <c r="S37" i="39"/>
  <c r="H37" i="39"/>
  <c r="AA36" i="39"/>
  <c r="W35" i="39"/>
  <c r="S34" i="39"/>
  <c r="F35" i="39"/>
  <c r="S11" i="39"/>
  <c r="W9" i="39"/>
  <c r="AB8" i="39"/>
  <c r="M20" i="67"/>
  <c r="K64" i="43"/>
  <c r="J64" i="43" s="1"/>
  <c r="K69" i="43"/>
  <c r="J69" i="43" s="1"/>
  <c r="M85" i="43"/>
  <c r="N85" i="43" s="1"/>
  <c r="K75" i="43"/>
  <c r="J75" i="43" s="1"/>
  <c r="K50" i="43"/>
  <c r="M54" i="43"/>
  <c r="N54" i="43" s="1"/>
  <c r="K67" i="43"/>
  <c r="J67" i="43" s="1"/>
  <c r="A15" i="62"/>
  <c r="B61" i="72" s="1"/>
  <c r="F7" i="1"/>
  <c r="G7" i="1" s="1"/>
  <c r="C10" i="33"/>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U12" i="35"/>
  <c r="AB12" i="35"/>
  <c r="S38" i="40"/>
  <c r="AA38" i="40"/>
  <c r="G5" i="3"/>
  <c r="B3" i="3" s="1"/>
  <c r="E253"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238" i="3"/>
  <c r="E128" i="3"/>
  <c r="E120" i="3"/>
  <c r="E330" i="3"/>
  <c r="E437" i="3"/>
  <c r="E438" i="3"/>
  <c r="E288" i="3"/>
  <c r="W6" i="3"/>
  <c r="E537" i="3"/>
  <c r="E471" i="3"/>
  <c r="E475" i="3"/>
  <c r="E54" i="3"/>
  <c r="E168" i="3"/>
  <c r="E208" i="3"/>
  <c r="E257" i="3"/>
  <c r="E357"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77" i="9"/>
  <c r="C74" i="9" s="1"/>
  <c r="C21" i="69"/>
  <c r="J85" i="43"/>
  <c r="D83" i="43"/>
  <c r="D64" i="43"/>
  <c r="D67" i="43"/>
  <c r="D65" i="43"/>
  <c r="D69" i="43"/>
  <c r="D75"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C36" i="69"/>
  <c r="D9" i="68"/>
  <c r="L47" i="67"/>
  <c r="M29" i="67"/>
  <c r="F9" i="67"/>
  <c r="M22" i="15"/>
  <c r="F43" i="67"/>
  <c r="F36" i="15"/>
  <c r="M6" i="67"/>
  <c r="F42" i="15"/>
  <c r="G1" i="73"/>
  <c r="L48" i="67"/>
  <c r="F7" i="67"/>
  <c r="F6" i="15"/>
  <c r="C16" i="15"/>
  <c r="M29" i="15"/>
  <c r="F26" i="15"/>
  <c r="M26" i="15"/>
  <c r="F8" i="15"/>
  <c r="F38" i="15"/>
  <c r="M26" i="67"/>
  <c r="F38" i="67"/>
  <c r="M8" i="67"/>
  <c r="J15" i="67"/>
  <c r="C76" i="15"/>
  <c r="F42" i="67"/>
  <c r="L47" i="15"/>
  <c r="F8" i="67"/>
  <c r="M9" i="67"/>
  <c r="C19" i="86" l="1"/>
  <c r="C20" i="86" s="1"/>
  <c r="C26" i="86" s="1"/>
  <c r="AA35" i="39"/>
  <c r="S35" i="39"/>
  <c r="AB37" i="39"/>
  <c r="U37" i="39"/>
  <c r="C48" i="68"/>
  <c r="M11" i="86"/>
  <c r="J10" i="86" s="1"/>
  <c r="J5" i="86" s="1"/>
  <c r="F11" i="86"/>
  <c r="K16" i="1"/>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1" i="3"/>
  <c r="E279" i="3"/>
  <c r="E150" i="3"/>
  <c r="E111" i="3"/>
  <c r="E72" i="3"/>
  <c r="E433" i="3"/>
  <c r="E450" i="3"/>
  <c r="E571" i="3"/>
  <c r="E562" i="3"/>
  <c r="E457" i="3"/>
  <c r="E481" i="3"/>
  <c r="Q6" i="3"/>
  <c r="E177" i="3"/>
  <c r="E262" i="3"/>
  <c r="E434" i="3"/>
  <c r="E156" i="3"/>
  <c r="E394" i="3"/>
  <c r="E315" i="3"/>
  <c r="E274" i="3"/>
  <c r="E214" i="3"/>
  <c r="E256" i="3"/>
  <c r="E171" i="3"/>
  <c r="E203" i="3"/>
  <c r="E146" i="3"/>
  <c r="E73" i="3"/>
  <c r="E106" i="3"/>
  <c r="E55" i="3"/>
  <c r="E454" i="3"/>
  <c r="E496" i="3"/>
  <c r="E468" i="3"/>
  <c r="E429" i="3"/>
  <c r="E577" i="3"/>
  <c r="AE6" i="3"/>
  <c r="E587" i="3"/>
  <c r="E344" i="3"/>
  <c r="E465" i="3"/>
  <c r="E424" i="3"/>
  <c r="E406" i="3"/>
  <c r="E472" i="3"/>
  <c r="E560" i="3"/>
  <c r="K6" i="3"/>
  <c r="E133" i="3"/>
  <c r="E277" i="3"/>
  <c r="E228" i="3"/>
  <c r="AK6" i="3"/>
  <c r="E545" i="3"/>
  <c r="E181" i="3"/>
  <c r="E568" i="3"/>
  <c r="E77" i="3"/>
  <c r="E527" i="3"/>
  <c r="E474" i="3"/>
  <c r="E458" i="3"/>
  <c r="E529" i="3"/>
  <c r="E573" i="3"/>
  <c r="E532" i="3"/>
  <c r="E519" i="3"/>
  <c r="E313" i="3"/>
  <c r="E193" i="3"/>
  <c r="E224" i="3"/>
  <c r="E45" i="3"/>
  <c r="E157" i="3"/>
  <c r="E99" i="3"/>
  <c r="E306" i="3"/>
  <c r="E511" i="3"/>
  <c r="E352" i="3"/>
  <c r="E314" i="3"/>
  <c r="E136" i="3"/>
  <c r="E85" i="3"/>
  <c r="E461" i="3"/>
  <c r="E453" i="3"/>
  <c r="E122" i="3"/>
  <c r="E59" i="40"/>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J83" i="43" s="1"/>
  <c r="M83" i="43"/>
  <c r="N83" i="43" s="1"/>
  <c r="K80" i="43"/>
  <c r="M80" i="43"/>
  <c r="N80" i="43" s="1"/>
  <c r="M66" i="43"/>
  <c r="N66" i="43" s="1"/>
  <c r="K66" i="43"/>
  <c r="M74" i="43"/>
  <c r="N74" i="43" s="1"/>
  <c r="K74" i="43"/>
  <c r="M53" i="43"/>
  <c r="N53" i="43" s="1"/>
  <c r="K53" i="43"/>
  <c r="M63" i="43"/>
  <c r="N63" i="43" s="1"/>
  <c r="K63" i="43"/>
  <c r="M76" i="43"/>
  <c r="N76" i="43" s="1"/>
  <c r="K76" i="43"/>
  <c r="K84" i="43"/>
  <c r="M84" i="43"/>
  <c r="N84" i="43" s="1"/>
  <c r="K89" i="43"/>
  <c r="M89" i="43"/>
  <c r="N89" i="43" s="1"/>
  <c r="K86" i="43"/>
  <c r="M86" i="43"/>
  <c r="N86" i="43" s="1"/>
  <c r="K90" i="43"/>
  <c r="M90" i="43"/>
  <c r="N90" i="43" s="1"/>
  <c r="K56" i="43"/>
  <c r="M56" i="43"/>
  <c r="N56" i="43" s="1"/>
  <c r="M58" i="43"/>
  <c r="N58" i="43" s="1"/>
  <c r="K58" i="43"/>
  <c r="J50" i="43"/>
  <c r="D50" i="43"/>
  <c r="F7" i="36"/>
  <c r="J7" i="37"/>
  <c r="H7" i="36"/>
  <c r="J10" i="33"/>
  <c r="F10" i="33"/>
  <c r="H10" i="33"/>
  <c r="W17" i="34"/>
  <c r="AC17" i="34"/>
  <c r="S9" i="34"/>
  <c r="AA23" i="33"/>
  <c r="W23" i="33"/>
  <c r="AC23" i="33"/>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30" i="6"/>
  <c r="E56" i="39"/>
  <c r="H7" i="34"/>
  <c r="AB7"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D1" i="43" s="1"/>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F11" i="15"/>
  <c r="M11" i="15"/>
  <c r="J10" i="15" s="1"/>
  <c r="J5" i="15" s="1"/>
  <c r="J24" i="15" s="1"/>
  <c r="F11" i="67"/>
  <c r="F1" i="15"/>
  <c r="Q52" i="15"/>
  <c r="AE11" i="1"/>
  <c r="AE9" i="1"/>
  <c r="F27" i="68"/>
  <c r="AE8" i="1"/>
  <c r="AE12" i="1"/>
  <c r="AE10" i="1"/>
  <c r="AE6" i="1"/>
  <c r="AE7" i="1"/>
  <c r="F41" i="67"/>
  <c r="C16" i="67"/>
  <c r="L36" i="43" l="1"/>
  <c r="P36" i="43" s="1"/>
  <c r="F24" i="86"/>
  <c r="C53" i="86"/>
  <c r="C48" i="86" s="1"/>
  <c r="C10" i="86"/>
  <c r="C5" i="86" s="1"/>
  <c r="J24" i="86"/>
  <c r="J26" i="86"/>
  <c r="AC6" i="3"/>
  <c r="E6" i="3" s="1"/>
  <c r="J10" i="67"/>
  <c r="C30" i="37"/>
  <c r="C34" i="34"/>
  <c r="C33" i="33"/>
  <c r="J56" i="43"/>
  <c r="D56" i="43"/>
  <c r="J63" i="43"/>
  <c r="D63" i="43"/>
  <c r="J74" i="43"/>
  <c r="D74" i="43"/>
  <c r="J62" i="43"/>
  <c r="D62" i="43"/>
  <c r="J73" i="43"/>
  <c r="D73" i="43"/>
  <c r="J55" i="43"/>
  <c r="D55" i="43"/>
  <c r="J72" i="43"/>
  <c r="D72" i="43"/>
  <c r="E72" i="43" s="1"/>
  <c r="B70" i="43" s="1"/>
  <c r="J61" i="43"/>
  <c r="D61" i="43"/>
  <c r="E61" i="43" s="1"/>
  <c r="B59" i="43" s="1"/>
  <c r="J76" i="43"/>
  <c r="D76" i="43"/>
  <c r="J53" i="43"/>
  <c r="D53" i="43"/>
  <c r="J66" i="43"/>
  <c r="D66" i="43"/>
  <c r="J58" i="43"/>
  <c r="D58" i="43"/>
  <c r="D90" i="43"/>
  <c r="J90" i="43"/>
  <c r="D86" i="43"/>
  <c r="J86" i="43"/>
  <c r="D89" i="43"/>
  <c r="J89" i="43"/>
  <c r="D84" i="43"/>
  <c r="J84" i="43"/>
  <c r="J80" i="43"/>
  <c r="D80" i="43"/>
  <c r="J78" i="43"/>
  <c r="D78" i="43"/>
  <c r="J51" i="43"/>
  <c r="D51" i="43"/>
  <c r="D87" i="43"/>
  <c r="J87" i="43"/>
  <c r="D88" i="43"/>
  <c r="J88" i="43"/>
  <c r="J52" i="43"/>
  <c r="D52" i="43"/>
  <c r="J79" i="43"/>
  <c r="D79" i="43"/>
  <c r="U10" i="33"/>
  <c r="AB10" i="33"/>
  <c r="W10" i="33"/>
  <c r="AC10" i="33"/>
  <c r="S10" i="33"/>
  <c r="AA10" i="33"/>
  <c r="Q61" i="67"/>
  <c r="F1" i="67"/>
  <c r="Q60" i="15"/>
  <c r="Q61" i="15"/>
  <c r="C49" i="67"/>
  <c r="Q73" i="67"/>
  <c r="J5" i="67"/>
  <c r="J24" i="67" s="1"/>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AC7" i="34"/>
  <c r="U7" i="34"/>
  <c r="AA7" i="34"/>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S7" i="37"/>
  <c r="I40" i="36"/>
  <c r="J40" i="36" s="1"/>
  <c r="S7" i="33"/>
  <c r="AA7" i="33"/>
  <c r="G40" i="36"/>
  <c r="H40" i="36" s="1"/>
  <c r="G41" i="36"/>
  <c r="H41" i="36" s="1"/>
  <c r="G48" i="35"/>
  <c r="U7" i="33"/>
  <c r="AB7" i="33"/>
  <c r="C53" i="67"/>
  <c r="C10" i="67"/>
  <c r="C5" i="67" s="1"/>
  <c r="C38" i="67" s="1"/>
  <c r="C53" i="15"/>
  <c r="C48" i="15" s="1"/>
  <c r="C66" i="15" s="1"/>
  <c r="C10" i="15"/>
  <c r="C5" i="15" s="1"/>
  <c r="C38" i="15" s="1"/>
  <c r="F25" i="12"/>
  <c r="F22" i="69"/>
  <c r="F41" i="69" s="1"/>
  <c r="F24" i="67"/>
  <c r="C24" i="67" s="1"/>
  <c r="F22" i="11"/>
  <c r="F22" i="68"/>
  <c r="F24" i="15"/>
  <c r="C24" i="15" s="1"/>
  <c r="M27" i="86"/>
  <c r="M27" i="15"/>
  <c r="M27" i="67"/>
  <c r="F41" i="86"/>
  <c r="F41" i="15"/>
  <c r="O36" i="43" l="1"/>
  <c r="N36" i="43"/>
  <c r="F69" i="86"/>
  <c r="J29" i="86"/>
  <c r="M36" i="43"/>
  <c r="Q36" i="43"/>
  <c r="C60" i="86"/>
  <c r="C66" i="86"/>
  <c r="C38" i="86"/>
  <c r="C24" i="86"/>
  <c r="C23" i="86"/>
  <c r="E50" i="43"/>
  <c r="B48" i="43" s="1"/>
  <c r="C28" i="43" s="1"/>
  <c r="J33" i="33"/>
  <c r="F33" i="33"/>
  <c r="H33" i="33"/>
  <c r="H30" i="37"/>
  <c r="J30" i="37"/>
  <c r="F30" i="37"/>
  <c r="H34" i="34"/>
  <c r="J34" i="34"/>
  <c r="F34" i="34"/>
  <c r="E83" i="43"/>
  <c r="B81" i="43" s="1"/>
  <c r="B14" i="74"/>
  <c r="B1" i="74" s="1"/>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36"/>
  <c r="F40" i="36" s="1"/>
  <c r="E41" i="36"/>
  <c r="F41" i="36" s="1"/>
  <c r="H48" i="35"/>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4" i="67"/>
  <c r="C17" i="15"/>
  <c r="C17" i="67"/>
  <c r="C29" i="86" l="1"/>
  <c r="C57" i="86" s="1"/>
  <c r="C64" i="86" s="1"/>
  <c r="T15" i="43"/>
  <c r="V15" i="43" s="1"/>
  <c r="T13" i="43"/>
  <c r="V13" i="43" s="1"/>
  <c r="T5" i="43"/>
  <c r="V5" i="43" s="1"/>
  <c r="T14" i="43"/>
  <c r="V14" i="43" s="1"/>
  <c r="T16" i="43"/>
  <c r="V16" i="43" s="1"/>
  <c r="C41" i="43"/>
  <c r="T4" i="43"/>
  <c r="V4" i="43" s="1"/>
  <c r="T11" i="43"/>
  <c r="V11" i="43" s="1"/>
  <c r="T8" i="43"/>
  <c r="V8" i="43" s="1"/>
  <c r="T6" i="43"/>
  <c r="V6" i="43" s="1"/>
  <c r="C37" i="43"/>
  <c r="C38" i="43"/>
  <c r="T7" i="43"/>
  <c r="V7" i="43" s="1"/>
  <c r="T10" i="43"/>
  <c r="V10" i="43" s="1"/>
  <c r="T2" i="43"/>
  <c r="V2" i="43" s="1"/>
  <c r="C40" i="43"/>
  <c r="C42" i="43"/>
  <c r="T9" i="43"/>
  <c r="V9" i="43" s="1"/>
  <c r="T12" i="43"/>
  <c r="V12" i="43" s="1"/>
  <c r="T3" i="43"/>
  <c r="V3" i="43" s="1"/>
  <c r="C39" i="43"/>
  <c r="C33" i="37"/>
  <c r="C37" i="34"/>
  <c r="C36" i="33"/>
  <c r="AC34" i="34"/>
  <c r="W34" i="34"/>
  <c r="AC30" i="37"/>
  <c r="W30" i="37"/>
  <c r="AB33" i="33"/>
  <c r="U33" i="33"/>
  <c r="AC33" i="33"/>
  <c r="W33" i="33"/>
  <c r="AA34" i="34"/>
  <c r="S34" i="34"/>
  <c r="AB34" i="34"/>
  <c r="U34" i="34"/>
  <c r="AA30" i="37"/>
  <c r="S30" i="37"/>
  <c r="AB30" i="37"/>
  <c r="U30" i="37"/>
  <c r="AA33" i="33"/>
  <c r="S33" i="33"/>
  <c r="C14" i="74"/>
  <c r="B2" i="74" s="1"/>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H58" i="21"/>
  <c r="C33" i="15"/>
  <c r="C22" i="11"/>
  <c r="C31" i="11" s="1"/>
  <c r="C33" i="67"/>
  <c r="J19" i="67"/>
  <c r="C34" i="68"/>
  <c r="C14" i="15"/>
  <c r="C36" i="86" l="1"/>
  <c r="J59" i="86"/>
  <c r="J60" i="86" s="1"/>
  <c r="Q48" i="86" s="1"/>
  <c r="J14" i="86"/>
  <c r="J22" i="86" s="1"/>
  <c r="C13" i="86"/>
  <c r="C56" i="86" s="1"/>
  <c r="C65" i="86" s="1"/>
  <c r="Q49" i="86"/>
  <c r="C34" i="43"/>
  <c r="E34" i="43" s="1"/>
  <c r="E41" i="43"/>
  <c r="G41" i="43"/>
  <c r="I41" i="43" s="1"/>
  <c r="G39" i="43"/>
  <c r="I39" i="43" s="1"/>
  <c r="E39" i="43"/>
  <c r="G40" i="43"/>
  <c r="I40" i="43" s="1"/>
  <c r="E40" i="43"/>
  <c r="G38" i="43"/>
  <c r="I38" i="43" s="1"/>
  <c r="E38" i="43"/>
  <c r="E42" i="43"/>
  <c r="G42" i="43"/>
  <c r="I42" i="43" s="1"/>
  <c r="G37" i="43"/>
  <c r="I37" i="43" s="1"/>
  <c r="E37" i="43"/>
  <c r="J37" i="34"/>
  <c r="F37" i="34"/>
  <c r="H37" i="34"/>
  <c r="J36" i="33"/>
  <c r="F36" i="33"/>
  <c r="H36" i="33"/>
  <c r="J33" i="37"/>
  <c r="F33" i="37"/>
  <c r="H33" i="37"/>
  <c r="D8" i="74"/>
  <c r="D7" i="74"/>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H26" i="43"/>
  <c r="N94" i="46"/>
  <c r="N370" i="46"/>
  <c r="Z7" i="43"/>
  <c r="E26" i="43"/>
  <c r="J26" i="43"/>
  <c r="G26" i="43"/>
  <c r="B116" i="43"/>
  <c r="C37" i="86"/>
  <c r="J13" i="86"/>
  <c r="J23" i="86" s="1"/>
  <c r="L46" i="86"/>
  <c r="C75" i="86"/>
  <c r="Q70" i="86"/>
  <c r="C31" i="43"/>
  <c r="C30" i="43"/>
  <c r="B2" i="43" s="1"/>
  <c r="C6" i="68" s="1"/>
  <c r="AB36" i="33"/>
  <c r="T48" i="33" s="1"/>
  <c r="G48" i="33" s="1"/>
  <c r="U36" i="33"/>
  <c r="AB33" i="37"/>
  <c r="T42" i="37" s="1"/>
  <c r="G42" i="37" s="1"/>
  <c r="U33" i="37"/>
  <c r="AC33" i="37"/>
  <c r="V42" i="37" s="1"/>
  <c r="I42" i="37" s="1"/>
  <c r="W33" i="37"/>
  <c r="AA36" i="33"/>
  <c r="R48" i="33" s="1"/>
  <c r="S36" i="33"/>
  <c r="U37" i="34"/>
  <c r="AB37" i="34"/>
  <c r="T49" i="34" s="1"/>
  <c r="G49" i="34" s="1"/>
  <c r="AC37" i="34"/>
  <c r="V49" i="34" s="1"/>
  <c r="I49" i="34" s="1"/>
  <c r="W37" i="34"/>
  <c r="AA33" i="37"/>
  <c r="R42" i="37" s="1"/>
  <c r="S33" i="37"/>
  <c r="W36" i="33"/>
  <c r="AC36" i="33"/>
  <c r="V48" i="33" s="1"/>
  <c r="I48" i="33" s="1"/>
  <c r="I52" i="33" s="1"/>
  <c r="J52" i="33" s="1"/>
  <c r="AA37" i="34"/>
  <c r="R49" i="34" s="1"/>
  <c r="S37" i="34"/>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B6" i="76"/>
  <c r="I122" i="43" l="1"/>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C7" i="68"/>
  <c r="C5" i="68" s="1"/>
  <c r="B2" i="76"/>
  <c r="B3" i="43"/>
  <c r="E49" i="34"/>
  <c r="I54" i="34" s="1"/>
  <c r="J54" i="34" s="1"/>
  <c r="R50" i="34"/>
  <c r="R43" i="37"/>
  <c r="E42" i="37"/>
  <c r="I47" i="37" s="1"/>
  <c r="J47" i="37" s="1"/>
  <c r="I53" i="34"/>
  <c r="J53" i="34" s="1"/>
  <c r="I46" i="37"/>
  <c r="J46" i="37" s="1"/>
  <c r="G46" i="37"/>
  <c r="H46" i="37" s="1"/>
  <c r="G47" i="37"/>
  <c r="H47" i="37" s="1"/>
  <c r="G52" i="33"/>
  <c r="H52" i="33" s="1"/>
  <c r="G53" i="33"/>
  <c r="H53" i="33" s="1"/>
  <c r="G53" i="34"/>
  <c r="H53" i="34" s="1"/>
  <c r="G54" i="34"/>
  <c r="H54" i="34" s="1"/>
  <c r="E48" i="33"/>
  <c r="R49" i="33"/>
  <c r="C27" i="12"/>
  <c r="C25" i="12" s="1"/>
  <c r="C32" i="12" s="1"/>
  <c r="B2" i="12" s="1"/>
  <c r="B3" i="12" s="1"/>
  <c r="J7" i="35"/>
  <c r="AC7" i="35" s="1"/>
  <c r="V38" i="35" s="1"/>
  <c r="I38" i="35" s="1"/>
  <c r="D10" i="71"/>
  <c r="C9" i="7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F35" i="15"/>
  <c r="F35" i="67"/>
  <c r="M21" i="67"/>
  <c r="F35" i="86"/>
  <c r="M21" i="86"/>
  <c r="M21" i="15"/>
  <c r="C118" i="43" l="1"/>
  <c r="D116" i="43"/>
  <c r="C33" i="43"/>
  <c r="E11" i="77"/>
  <c r="E7" i="77" s="1"/>
  <c r="C27" i="77" s="1"/>
  <c r="D27" i="77" s="1"/>
  <c r="D7" i="77"/>
  <c r="C26" i="77" s="1"/>
  <c r="C32" i="77" s="1"/>
  <c r="C38" i="77" s="1"/>
  <c r="C39" i="77" s="1"/>
  <c r="J20" i="86"/>
  <c r="J17" i="86" s="1"/>
  <c r="J16" i="86" s="1"/>
  <c r="J25" i="86" s="1"/>
  <c r="F63" i="86"/>
  <c r="C62" i="86" s="1"/>
  <c r="C59" i="86" s="1"/>
  <c r="C58" i="86" s="1"/>
  <c r="C67" i="86" s="1"/>
  <c r="C68" i="86" s="1"/>
  <c r="C34" i="86"/>
  <c r="C31" i="86" s="1"/>
  <c r="C30" i="86" s="1"/>
  <c r="C39" i="86" s="1"/>
  <c r="C23" i="68"/>
  <c r="C20" i="68"/>
  <c r="C48" i="33"/>
  <c r="C49" i="33"/>
  <c r="E46" i="37"/>
  <c r="F46" i="37" s="1"/>
  <c r="E47" i="37"/>
  <c r="F47" i="37" s="1"/>
  <c r="C50" i="34"/>
  <c r="C49" i="34"/>
  <c r="I53" i="33"/>
  <c r="J53" i="33" s="1"/>
  <c r="E53" i="33"/>
  <c r="F53" i="33" s="1"/>
  <c r="E52" i="33"/>
  <c r="F52" i="33" s="1"/>
  <c r="C42" i="37"/>
  <c r="C43" i="37"/>
  <c r="E54" i="34"/>
  <c r="F54" i="34" s="1"/>
  <c r="E53" i="34"/>
  <c r="F53" i="3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3" i="76" s="1"/>
  <c r="E33" i="43"/>
  <c r="D26" i="77"/>
  <c r="D32" i="77" s="1"/>
  <c r="D38" i="77" s="1"/>
  <c r="D39" i="77" s="1"/>
  <c r="E27" i="77"/>
  <c r="E26" i="77" s="1"/>
  <c r="E32" i="77" s="1"/>
  <c r="E38" i="77" s="1"/>
  <c r="E39" i="77" s="1"/>
  <c r="C71" i="86"/>
  <c r="Q69" i="86"/>
  <c r="Q68" i="86" s="1"/>
  <c r="C40" i="86"/>
  <c r="C80" i="86"/>
  <c r="C79" i="86" s="1"/>
  <c r="C28" i="68"/>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6"/>
  <c r="C40" i="77" l="1"/>
  <c r="Q67" i="86"/>
  <c r="Q65" i="86"/>
  <c r="Q75" i="86" s="1"/>
  <c r="Q56" i="86"/>
  <c r="Q62" i="86" s="1"/>
  <c r="C43" i="86"/>
  <c r="Q47" i="86"/>
  <c r="Q53" i="86" s="1"/>
  <c r="B2" i="86"/>
  <c r="B3" i="86" s="1"/>
  <c r="C83" i="86"/>
  <c r="C82" i="86" s="1"/>
  <c r="C46" i="86"/>
  <c r="C31" i="68"/>
  <c r="C52" i="68" s="1"/>
  <c r="B2" i="68"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41" i="77" l="1"/>
  <c r="C57" i="68"/>
  <c r="C56" i="68" s="1"/>
  <c r="C21" i="9"/>
  <c r="C102" i="9"/>
  <c r="B3" i="68"/>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5" i="9"/>
  <c r="D34" i="9"/>
  <c r="L51" i="15"/>
  <c r="C20" i="9"/>
  <c r="D2" i="34"/>
  <c r="D2" i="36"/>
  <c r="D2" i="35"/>
  <c r="D2" i="37"/>
  <c r="C103" i="9" l="1"/>
  <c r="M24"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1" i="1"/>
  <c r="AO8" i="1"/>
  <c r="AO10" i="1"/>
  <c r="AO12" i="1"/>
  <c r="AO7" i="1"/>
  <c r="R48" i="39" l="1"/>
  <c r="C47" i="39" s="1"/>
  <c r="L46" i="15"/>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B2" i="15" l="1"/>
  <c r="E2" i="77"/>
  <c r="B2" i="77" s="1"/>
  <c r="B3" i="77"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B3" i="15"/>
  <c r="F65" i="39"/>
  <c r="B2" i="39" s="1"/>
  <c r="B3" i="39" s="1"/>
  <c r="C42" i="40"/>
  <c r="C43" i="40"/>
  <c r="E47" i="40"/>
  <c r="F47" i="40" s="1"/>
  <c r="E46" i="40"/>
  <c r="F46" i="40" s="1"/>
  <c r="I47" i="40"/>
  <c r="J47" i="40" s="1"/>
  <c r="D20" i="9"/>
  <c r="D19" i="9"/>
  <c r="G19" i="9" l="1"/>
  <c r="J20" i="9" s="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H29" i="87" l="1"/>
  <c r="C32" i="9"/>
  <c r="C35" i="9" s="1"/>
  <c r="C34" i="9" s="1"/>
  <c r="G21" i="9"/>
  <c r="H111" i="9"/>
  <c r="D19" i="53" s="1"/>
  <c r="B38" i="72" s="1"/>
  <c r="H112" i="9"/>
  <c r="D21" i="53" s="1"/>
  <c r="B39" i="72" s="1"/>
  <c r="H30" i="87" l="1"/>
  <c r="H37" i="87"/>
  <c r="D126" i="9"/>
  <c r="D12" i="52" s="1"/>
  <c r="C8" i="74"/>
  <c r="D127" i="9"/>
  <c r="D13" i="52" s="1"/>
  <c r="D20" i="53"/>
  <c r="B40" i="72" s="1"/>
  <c r="D118" i="9"/>
  <c r="D4" i="52" s="1"/>
  <c r="B47" i="72" s="1"/>
  <c r="F118" i="9"/>
  <c r="F4" i="52" s="1"/>
  <c r="B51" i="72" s="1"/>
  <c r="H118" i="9"/>
  <c r="H4" i="52" l="1"/>
  <c r="D14" i="74"/>
  <c r="H101" i="9"/>
  <c r="H107" i="9" s="1"/>
  <c r="I118" i="9"/>
  <c r="C105" i="9" s="1"/>
  <c r="H119" i="9"/>
  <c r="H5" i="52" s="1"/>
  <c r="F119" i="9"/>
  <c r="F5" i="52" s="1"/>
  <c r="B53" i="72" s="1"/>
  <c r="G118" i="9"/>
  <c r="G4" i="52" s="1"/>
  <c r="B52" i="72" s="1"/>
  <c r="D119" i="9"/>
  <c r="D5" i="52" s="1"/>
  <c r="B49" i="72" s="1"/>
  <c r="C104" i="9"/>
  <c r="D13" i="53" l="1"/>
  <c r="D14" i="53" s="1"/>
  <c r="B32" i="72" s="1"/>
  <c r="G14" i="74"/>
  <c r="B6" i="74" s="1"/>
  <c r="D6" i="74" s="1"/>
  <c r="F14" i="74"/>
  <c r="E14" i="74"/>
  <c r="B5" i="74"/>
  <c r="D5" i="74" s="1"/>
  <c r="I4" i="52"/>
  <c r="H102" i="9"/>
  <c r="D7" i="53" s="1"/>
  <c r="B21" i="72" s="1"/>
  <c r="M49" i="9"/>
  <c r="L65" i="9" s="1"/>
  <c r="M65" i="9" s="1"/>
  <c r="M48" i="9"/>
  <c r="D122" i="9"/>
  <c r="D8" i="52" s="1"/>
  <c r="E118" i="9"/>
  <c r="E4" i="52" s="1"/>
  <c r="B48" i="72" s="1"/>
  <c r="D45" i="9"/>
  <c r="D52" i="9" s="1"/>
  <c r="D5" i="53"/>
  <c r="D6" i="53" s="1"/>
  <c r="B22" i="72" s="1"/>
  <c r="C5" i="74" l="1"/>
  <c r="H108" i="9"/>
  <c r="C6" i="74" s="1"/>
  <c r="B30" i="72"/>
  <c r="B20" i="72"/>
  <c r="D53" i="9"/>
  <c r="D48" i="9" s="1"/>
  <c r="M52" i="9"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D15" i="53" l="1"/>
  <c r="B31" i="72" s="1"/>
  <c r="M69" i="9"/>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<sst xmlns="http://schemas.openxmlformats.org/spreadsheetml/2006/main" count="10088" uniqueCount="3963">
  <si>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</si>
  <si>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</si>
  <si>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</si>
  <si>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</si>
  <si>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</si>
  <si>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</si>
  <si>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</si>
  <si>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</si>
  <si>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</si>
  <si>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</si>
  <si>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</si>
  <si>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</si>
  <si>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</si>
  <si>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</si>
  <si>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</si>
  <si>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</si>
  <si>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</si>
  <si>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</si>
  <si>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</si>
  <si>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</si>
  <si>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</si>
  <si>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</si>
  <si>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</si>
  <si>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</si>
  <si>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</si>
  <si>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</si>
  <si>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</si>
  <si>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</si>
  <si>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</si>
  <si>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</si>
  <si>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</si>
  <si>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</si>
  <si>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</si>
  <si>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</si>
  <si>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</si>
  <si>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</si>
  <si>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</si>
  <si>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</si>
  <si>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</si>
  <si>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</si>
  <si>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</si>
  <si>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</si>
  <si>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</si>
  <si>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</si>
  <si>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</si>
  <si>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</si>
  <si>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</si>
  <si>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</si>
  <si>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</si>
  <si>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</si>
  <si>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</si>
  <si>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</si>
  <si>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</si>
  <si>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</si>
  <si>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</si>
  <si>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</si>
  <si>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</si>
  <si>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</si>
  <si>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</si>
  <si>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</si>
  <si>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</si>
  <si>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</si>
  <si>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</si>
  <si>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</si>
  <si>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</si>
  <si>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</si>
  <si>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</si>
  <si>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</si>
  <si>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</si>
  <si>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</si>
  <si>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</si>
  <si>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</si>
  <si>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</si>
  <si>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</si>
  <si>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</si>
  <si>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</si>
  <si>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</si>
  <si>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</si>
  <si>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</si>
  <si>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</si>
  <si>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</si>
  <si>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</si>
  <si>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</si>
  <si>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</si>
  <si>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</si>
  <si>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</si>
  <si>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</si>
  <si>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</si>
  <si>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</si>
  <si>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</si>
  <si>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</si>
  <si>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</si>
  <si>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</si>
  <si>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</si>
  <si>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</si>
  <si>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</si>
  <si>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</si>
  <si>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</si>
  <si>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</si>
  <si>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</si>
  <si>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</si>
  <si>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</si>
  <si>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</si>
  <si>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</si>
  <si>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</si>
  <si>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</si>
  <si>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</si>
  <si>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</si>
  <si>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</si>
  <si>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</si>
  <si>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</si>
  <si>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</si>
  <si>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</si>
  <si>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</si>
  <si>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</si>
  <si>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</si>
  <si>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</si>
  <si>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</si>
  <si>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</si>
  <si>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</si>
  <si>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</si>
  <si>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</si>
  <si>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</si>
  <si>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</si>
  <si>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</si>
  <si>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</si>
  <si>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</si>
  <si>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</si>
  <si>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</si>
  <si>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</si>
  <si>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</si>
  <si>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</si>
  <si>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</si>
  <si>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</si>
  <si>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</si>
  <si>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</si>
  <si>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</si>
  <si>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</si>
  <si>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</si>
  <si>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</si>
  <si>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</si>
  <si>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</si>
  <si>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</si>
  <si>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</si>
  <si>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</si>
  <si>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</si>
  <si>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</si>
  <si>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</si>
  <si>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</si>
  <si>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</si>
  <si>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</si>
  <si>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</si>
  <si>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</si>
  <si>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</si>
  <si>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</si>
  <si>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</si>
  <si>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</si>
  <si>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</si>
  <si>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</si>
  <si>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</si>
  <si>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</si>
  <si>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</si>
  <si>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</si>
  <si>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</si>
  <si>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</si>
  <si>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</si>
  <si>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</si>
  <si>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</si>
  <si>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</si>
  <si>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</si>
  <si>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</si>
  <si>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</si>
  <si>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</si>
  <si>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</si>
  <si>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</si>
  <si>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</si>
  <si>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</si>
  <si>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</si>
  <si>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</si>
  <si>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</si>
  <si>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</si>
  <si>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</si>
  <si>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</si>
  <si>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</si>
  <si>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</si>
  <si>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</si>
  <si>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</si>
  <si>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</si>
  <si>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</si>
  <si>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</si>
  <si>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</si>
  <si>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</si>
  <si>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</si>
  <si>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</si>
  <si>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</si>
  <si>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</si>
  <si>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</si>
  <si>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</si>
  <si>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</si>
  <si>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</si>
  <si>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</si>
  <si>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</si>
  <si>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</si>
  <si>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</si>
  <si>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</si>
  <si>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</si>
  <si>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</si>
  <si>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</si>
  <si>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</si>
  <si>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</si>
  <si>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</si>
  <si>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</si>
  <si>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</si>
  <si>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</si>
  <si>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</si>
  <si>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</si>
  <si>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</si>
  <si>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</si>
  <si>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</si>
  <si>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</si>
  <si>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</si>
  <si>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</si>
  <si>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</si>
  <si>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</si>
  <si>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</si>
  <si>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</si>
  <si>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</si>
  <si>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</si>
  <si>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</si>
  <si>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</si>
  <si>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</si>
  <si>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</si>
  <si>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</si>
  <si>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</si>
  <si>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</si>
  <si>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</si>
  <si>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</si>
  <si>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</si>
  <si>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</si>
  <si>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</si>
  <si>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</si>
  <si>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</si>
  <si>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</si>
  <si>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</si>
  <si>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</si>
  <si>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</si>
  <si>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</si>
  <si>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</si>
  <si>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</si>
  <si>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</si>
  <si>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</si>
  <si>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</si>
  <si>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</si>
  <si>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</si>
  <si>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</si>
  <si>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</si>
  <si>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</si>
  <si>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</si>
  <si>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</si>
  <si>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</si>
  <si>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</si>
  <si>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</si>
  <si>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</si>
  <si>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</si>
  <si>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</si>
  <si>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</si>
  <si>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</si>
  <si>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</si>
  <si>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</si>
  <si>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</si>
  <si>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</si>
  <si>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</si>
  <si>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</si>
  <si>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</si>
  <si>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</si>
  <si>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</si>
  <si>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</si>
  <si>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</si>
  <si>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</si>
  <si>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</si>
  <si>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</si>
  <si>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</si>
  <si>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</si>
  <si>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</si>
  <si>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</si>
  <si>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</si>
  <si>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</si>
  <si>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</si>
  <si>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</si>
  <si>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</si>
  <si>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</si>
  <si>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</si>
  <si>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</si>
  <si>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</si>
  <si>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</si>
  <si>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</si>
  <si>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</si>
  <si>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</si>
  <si>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</si>
  <si>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</si>
  <si>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</si>
  <si>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</si>
  <si>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</si>
  <si>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</si>
  <si>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</si>
  <si>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</si>
  <si>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</si>
  <si>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</si>
  <si>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</si>
  <si>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</si>
  <si>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</si>
  <si>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</si>
  <si>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</si>
  <si>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</si>
  <si>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</si>
  <si>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</si>
  <si>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</si>
  <si>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</si>
  <si>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</si>
  <si>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</si>
  <si>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</si>
  <si>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</si>
  <si>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</si>
  <si>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</si>
  <si>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</si>
  <si>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</si>
  <si>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</si>
  <si>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</si>
  <si>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</si>
  <si>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</si>
  <si>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</si>
  <si>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</si>
  <si>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</si>
  <si>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</si>
  <si>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</si>
  <si>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</si>
  <si>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</si>
  <si>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</si>
  <si>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</si>
  <si>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</si>
  <si>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</si>
  <si>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</si>
  <si>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</si>
  <si>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</si>
  <si>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</si>
  <si>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</si>
  <si>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</si>
  <si>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</si>
  <si>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</si>
  <si>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</si>
  <si>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</si>
  <si>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</si>
  <si>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</si>
  <si>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</si>
  <si>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</si>
  <si>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</si>
  <si>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</si>
  <si>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</si>
  <si>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</si>
  <si>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</si>
  <si>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</si>
  <si>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</si>
  <si>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</si>
  <si>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</si>
  <si>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</si>
  <si>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</si>
  <si>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</si>
  <si>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</si>
  <si>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</si>
  <si>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</si>
  <si>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</si>
  <si>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</si>
  <si>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</si>
  <si>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</si>
  <si>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</si>
  <si>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</si>
  <si>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</si>
  <si>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</si>
  <si>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</si>
  <si>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</si>
  <si>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</si>
  <si>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</si>
  <si>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</si>
  <si>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</si>
  <si>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</si>
  <si>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</si>
  <si>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</si>
  <si>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</si>
  <si>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</si>
  <si>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</si>
  <si>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</si>
  <si>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</si>
  <si>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</si>
  <si>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</si>
  <si>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</si>
  <si>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</si>
  <si>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</si>
  <si>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</si>
  <si>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</si>
  <si>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</si>
  <si>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</si>
  <si>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</si>
  <si>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</si>
  <si>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</si>
  <si>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</si>
  <si>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</si>
  <si>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</si>
  <si>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</si>
  <si>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</si>
  <si>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</si>
  <si>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</si>
  <si>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</si>
  <si>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</si>
  <si>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</si>
  <si>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</si>
  <si>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</si>
  <si>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</si>
  <si>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</si>
  <si>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</si>
  <si>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</si>
  <si>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</si>
  <si>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</si>
  <si>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</si>
  <si>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</si>
  <si>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</si>
  <si>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</si>
  <si>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</si>
  <si>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</si>
  <si>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</si>
  <si>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</si>
  <si>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</si>
  <si>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</si>
  <si>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</si>
  <si>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</si>
  <si>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</si>
  <si>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</si>
  <si>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</si>
  <si>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</si>
  <si>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</si>
  <si>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</si>
  <si>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</si>
  <si>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</si>
  <si>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</si>
  <si>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</si>
  <si>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</si>
  <si>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</si>
  <si>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</si>
  <si>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</si>
  <si>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</si>
  <si>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</si>
  <si>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</si>
  <si>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</si>
  <si>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</si>
  <si>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</si>
  <si>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</si>
  <si>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</si>
  <si>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</si>
  <si>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</si>
  <si>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</si>
  <si>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</si>
  <si>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</si>
  <si>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</si>
  <si>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</si>
  <si>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</si>
  <si>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</si>
  <si>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</si>
  <si>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</si>
  <si>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</si>
  <si>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</si>
  <si>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</si>
  <si>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</si>
  <si>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</si>
  <si>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</si>
  <si>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</si>
  <si>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</si>
  <si>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</si>
  <si>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</si>
  <si>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</si>
  <si>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</si>
  <si>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</si>
  <si>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</si>
  <si>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</si>
  <si>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</si>
  <si>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</si>
  <si>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</si>
  <si>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</si>
  <si>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</si>
  <si>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</si>
  <si>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</si>
  <si>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</si>
  <si>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</si>
  <si>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</si>
  <si>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</si>
  <si>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</si>
  <si>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</si>
  <si>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</si>
  <si>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</si>
  <si>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</si>
  <si>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</si>
  <si>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</si>
  <si>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</si>
  <si>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</si>
  <si>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</si>
  <si>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</si>
  <si>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</si>
  <si>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</si>
  <si>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</si>
  <si>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</si>
  <si>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</si>
  <si>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</si>
  <si>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</si>
  <si>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</si>
  <si>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</si>
  <si>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</si>
  <si>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</si>
  <si>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</si>
  <si>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</si>
  <si>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</si>
  <si>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</si>
  <si>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</si>
  <si>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</si>
  <si>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</si>
  <si>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</si>
  <si>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</si>
  <si>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</si>
  <si>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</si>
  <si>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</si>
  <si>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</si>
  <si>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</si>
  <si>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</si>
  <si>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</si>
  <si>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</si>
  <si>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</si>
  <si>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</si>
  <si>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</si>
  <si>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</si>
  <si>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</si>
  <si>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</si>
  <si>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</si>
  <si>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</si>
  <si>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</si>
  <si>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</si>
  <si>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</si>
  <si>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</si>
  <si>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</si>
  <si>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</si>
  <si>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</si>
  <si>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</si>
  <si>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</si>
  <si>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</si>
  <si>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</si>
  <si>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</si>
  <si>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</si>
  <si>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</si>
  <si>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</si>
  <si>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</si>
  <si>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</si>
  <si>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</si>
  <si>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</si>
  <si>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</si>
  <si>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</si>
  <si>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</si>
  <si>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</si>
  <si>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</si>
  <si>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</si>
  <si>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</si>
  <si>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</si>
  <si>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</si>
  <si>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</si>
  <si>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</si>
  <si>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</si>
  <si>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</si>
  <si>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</si>
  <si>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</si>
  <si>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</si>
  <si>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</si>
  <si>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</si>
  <si>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</si>
  <si>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</si>
  <si>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</si>
  <si>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</si>
  <si>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</si>
  <si>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</si>
  <si>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</si>
  <si>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</si>
  <si>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</si>
  <si>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</si>
  <si>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</si>
  <si>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</si>
  <si>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</si>
  <si>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</si>
  <si>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</si>
  <si>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</si>
  <si>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</si>
  <si>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</si>
  <si>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</si>
  <si>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</si>
  <si>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</si>
  <si>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</si>
  <si>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</si>
  <si>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</si>
  <si>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</si>
  <si>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</si>
  <si>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</si>
  <si>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</si>
  <si>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</si>
  <si>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</si>
  <si>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</si>
  <si>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</si>
  <si>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</si>
  <si>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</si>
  <si>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</si>
  <si>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</si>
  <si>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</si>
  <si>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</si>
  <si>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</si>
  <si>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</si>
  <si>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</si>
  <si>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</si>
  <si>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</si>
  <si>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</si>
  <si>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</si>
  <si>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</si>
  <si>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</si>
  <si>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</si>
  <si>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</si>
  <si>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</si>
  <si>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</si>
  <si>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</si>
  <si>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</si>
  <si>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</si>
  <si>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</si>
  <si>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</si>
  <si>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</si>
  <si>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</si>
  <si>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</si>
  <si>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</si>
  <si>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</si>
  <si>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</si>
  <si>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</si>
  <si>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</si>
  <si>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</si>
  <si>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</si>
  <si>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</si>
  <si>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</si>
  <si>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</si>
  <si>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</si>
  <si>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</si>
  <si>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</si>
  <si>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</si>
  <si>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</si>
  <si>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</si>
  <si>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</si>
  <si>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</si>
  <si>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</si>
  <si>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</si>
  <si>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</si>
  <si>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</si>
  <si>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</si>
  <si>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</si>
  <si>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</si>
  <si>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</si>
  <si>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</si>
  <si>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</si>
  <si>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</si>
  <si>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</si>
  <si>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</si>
  <si>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</si>
  <si>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</si>
  <si>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</si>
  <si>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</si>
  <si>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</si>
  <si>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</si>
  <si>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</si>
  <si>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</si>
  <si>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</si>
  <si>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</si>
  <si>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</si>
  <si>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</si>
  <si>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</si>
  <si>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</si>
  <si>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</si>
  <si>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</si>
  <si>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</si>
  <si>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</si>
  <si>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</si>
  <si>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</si>
  <si>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</si>
  <si>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</si>
  <si>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</si>
  <si>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</si>
  <si>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</si>
  <si>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</si>
  <si>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</si>
  <si>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</si>
  <si>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</si>
  <si>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</si>
  <si>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</si>
  <si>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</si>
  <si>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</si>
  <si>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</si>
  <si>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</si>
  <si>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</si>
  <si>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</si>
  <si>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</si>
  <si>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</si>
  <si>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</si>
  <si>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</si>
  <si>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</si>
  <si>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</si>
  <si>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</si>
  <si>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</si>
  <si>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</si>
  <si>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</si>
  <si>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</si>
  <si>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</si>
  <si>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</si>
  <si>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</si>
  <si>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</si>
  <si>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</si>
  <si>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</si>
  <si>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</si>
  <si>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</si>
  <si>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</si>
  <si>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</si>
  <si>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</si>
  <si>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</si>
  <si>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</si>
  <si>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</si>
  <si>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</si>
  <si>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</si>
  <si>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</si>
  <si>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</si>
  <si>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</si>
  <si>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</si>
  <si>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</si>
  <si>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</si>
  <si>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</si>
  <si>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</si>
  <si>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</si>
  <si>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</si>
  <si>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</si>
  <si>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</si>
  <si>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</si>
  <si>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</si>
  <si>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</si>
  <si>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</si>
  <si>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</si>
  <si>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</si>
  <si>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</si>
  <si>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</si>
  <si>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</si>
  <si>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</si>
  <si>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</si>
  <si>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</si>
  <si>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</si>
  <si>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</si>
  <si>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</si>
  <si>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</si>
  <si>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</si>
  <si>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</si>
  <si>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</si>
  <si>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</si>
  <si>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</si>
  <si>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</si>
  <si>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</si>
  <si>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</si>
  <si>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</si>
  <si>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</si>
  <si>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</si>
  <si>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</si>
  <si>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</si>
  <si>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</si>
  <si>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</si>
  <si>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</si>
  <si>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</si>
  <si>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</si>
  <si>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</si>
  <si>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</si>
  <si>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</si>
  <si>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</si>
  <si>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</si>
  <si>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</si>
  <si>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</si>
  <si>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</si>
  <si>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</si>
  <si>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</si>
  <si>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</si>
  <si>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</si>
  <si>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</si>
  <si>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</si>
  <si>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</si>
  <si>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</si>
  <si>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</si>
  <si>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</si>
  <si>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</si>
  <si>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</si>
  <si>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</si>
  <si>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</si>
  <si>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</si>
  <si>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</si>
  <si>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</si>
  <si>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</si>
  <si>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</si>
  <si>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</si>
  <si>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</si>
  <si>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</si>
  <si>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</si>
  <si>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</si>
  <si>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</si>
  <si>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</si>
  <si>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</si>
  <si>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</si>
  <si>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</si>
  <si>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</si>
  <si>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</si>
  <si>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</si>
  <si>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</si>
  <si>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</si>
  <si>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</si>
  <si>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</si>
  <si>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</si>
  <si>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</si>
  <si>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</si>
  <si>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</si>
  <si>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</si>
  <si>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</si>
  <si>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</si>
  <si>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</si>
  <si>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</si>
  <si>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</si>
  <si>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</si>
  <si>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</si>
  <si>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</si>
  <si>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</si>
  <si>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</si>
  <si>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</si>
  <si>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</si>
  <si>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</si>
  <si>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</si>
  <si>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</si>
  <si>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</si>
  <si>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</si>
  <si>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</si>
  <si>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</si>
  <si>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</si>
  <si>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</si>
  <si>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</si>
  <si>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</si>
  <si>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</si>
  <si>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</si>
  <si>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</si>
  <si>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</si>
  <si>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</si>
  <si>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</si>
  <si>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</si>
  <si>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</si>
  <si>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</si>
  <si>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</si>
  <si>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</si>
  <si>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</si>
  <si>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</si>
  <si>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</si>
  <si>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</si>
  <si>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</si>
  <si>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</si>
  <si>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</si>
  <si>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</si>
  <si>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</si>
  <si>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</si>
  <si>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</si>
  <si>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</si>
  <si>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</si>
  <si>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</si>
  <si>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</si>
  <si>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</si>
  <si>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</si>
  <si>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</si>
  <si>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</si>
  <si>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</si>
  <si>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</si>
  <si>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</si>
  <si>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</si>
  <si>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</si>
  <si>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</si>
  <si>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</si>
  <si>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</si>
  <si>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</si>
  <si>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</si>
  <si>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</si>
  <si>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</si>
  <si>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</si>
  <si>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</si>
  <si>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</si>
  <si>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</si>
  <si>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</si>
  <si>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</si>
  <si>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</si>
  <si>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</si>
  <si>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</si>
  <si>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</si>
  <si>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</si>
  <si>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</si>
  <si>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</si>
  <si>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</si>
  <si>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</si>
  <si>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</si>
  <si>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</si>
  <si>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</si>
  <si>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</si>
  <si>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</si>
  <si>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</si>
  <si>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</si>
  <si>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</si>
  <si>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</si>
  <si>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</si>
  <si>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</si>
  <si>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</si>
  <si>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</si>
  <si>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</si>
  <si>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</si>
  <si>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</si>
  <si>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</si>
  <si>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</si>
  <si>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</si>
  <si>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</si>
  <si>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</si>
  <si>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</si>
  <si>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</si>
  <si>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</si>
  <si>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</si>
  <si>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</si>
  <si>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</si>
  <si>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</si>
  <si>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</si>
  <si>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</si>
  <si>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</si>
  <si>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</si>
  <si>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</si>
  <si>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</si>
  <si>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</si>
  <si>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</si>
  <si>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</si>
  <si>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</si>
  <si>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</si>
  <si>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</si>
  <si>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</si>
  <si>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</si>
  <si>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</si>
  <si>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</si>
  <si>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</si>
  <si>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</si>
  <si>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</si>
  <si>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</si>
  <si>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</si>
  <si>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</si>
  <si>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</si>
  <si>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</si>
  <si>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</si>
  <si>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</si>
  <si>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</si>
  <si>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</si>
  <si>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</si>
  <si>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</si>
  <si>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</si>
  <si>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</si>
  <si>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</si>
  <si>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</si>
  <si>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</si>
  <si>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</si>
  <si>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</si>
  <si>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</si>
  <si>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</si>
  <si>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</si>
  <si>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</si>
  <si>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</si>
  <si>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</si>
  <si>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</si>
  <si>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</si>
  <si>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</si>
  <si>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</si>
  <si>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</si>
  <si>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</si>
  <si>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</si>
  <si>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</si>
  <si>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</si>
  <si>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</si>
  <si>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</si>
  <si>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</si>
  <si>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</si>
  <si>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</si>
  <si>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</si>
  <si>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</si>
  <si>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</si>
  <si>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</si>
  <si>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</si>
  <si>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</si>
  <si>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</si>
  <si>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</si>
  <si>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</si>
  <si>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</si>
  <si>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</si>
  <si>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</si>
  <si>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</si>
  <si>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</si>
  <si>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</si>
  <si>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</si>
  <si>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</si>
  <si>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</si>
  <si>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</si>
  <si>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</si>
  <si>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</si>
  <si>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</si>
  <si>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</si>
  <si>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</si>
  <si>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</si>
  <si>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</si>
  <si>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</si>
  <si>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</si>
  <si>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</si>
  <si>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</si>
  <si>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</si>
  <si>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</si>
  <si>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</si>
  <si>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</si>
  <si>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</si>
  <si>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</si>
  <si>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</si>
  <si>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</si>
  <si>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</si>
  <si>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</si>
  <si>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</si>
  <si>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</si>
  <si>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</si>
  <si>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</si>
  <si>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</si>
  <si>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</si>
  <si>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</si>
  <si>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</si>
  <si>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</si>
  <si>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</si>
  <si>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</si>
  <si>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</si>
  <si>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</si>
  <si>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</si>
  <si>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</si>
  <si>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</si>
  <si>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</si>
  <si>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</si>
  <si>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</si>
  <si>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</si>
  <si>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</si>
  <si>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</si>
  <si>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</si>
  <si>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</si>
  <si>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</si>
  <si>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</si>
  <si>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</si>
  <si>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</si>
  <si>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</si>
  <si>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</si>
  <si>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</si>
  <si>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</si>
  <si>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</si>
  <si>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</si>
  <si>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</si>
  <si>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</si>
  <si>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</si>
  <si>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</si>
  <si>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</si>
  <si>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</si>
  <si>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</si>
  <si>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</si>
  <si>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</si>
  <si>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</si>
  <si>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</si>
  <si>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</si>
  <si>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</si>
  <si>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</si>
  <si>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</si>
  <si>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</si>
  <si>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</si>
  <si>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</si>
  <si>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</si>
  <si>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</si>
  <si>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</si>
  <si>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</si>
  <si>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</si>
  <si>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</si>
  <si>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</si>
  <si>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</si>
  <si>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</si>
  <si>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</si>
  <si>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</si>
  <si>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</si>
  <si>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</si>
  <si>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</si>
  <si>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</si>
  <si>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</si>
  <si>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</si>
  <si>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</si>
  <si>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</si>
  <si>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</si>
  <si>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</si>
  <si>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</si>
  <si>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</si>
  <si>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</si>
  <si>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</si>
  <si>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</si>
  <si>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</si>
  <si>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</si>
  <si>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</si>
  <si>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</si>
  <si>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</si>
  <si>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</si>
  <si>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</si>
  <si>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</si>
  <si>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</si>
  <si>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</si>
  <si>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</si>
  <si>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</si>
  <si>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</si>
  <si>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</si>
  <si>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</si>
  <si>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</si>
  <si>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</si>
  <si>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</si>
  <si>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</si>
  <si>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</si>
  <si>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</si>
  <si>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</si>
  <si>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</si>
  <si>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</si>
  <si>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</si>
  <si>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</si>
  <si>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</si>
  <si>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</si>
  <si>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</si>
  <si>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</si>
  <si>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</si>
  <si>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</si>
  <si>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</si>
  <si>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</si>
  <si>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</si>
  <si>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</si>
  <si>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</si>
  <si>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</si>
  <si>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</si>
  <si>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</si>
  <si>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</si>
  <si>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</si>
  <si>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</si>
  <si>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</si>
  <si>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</si>
  <si>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</si>
  <si>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</si>
  <si>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</si>
  <si>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</si>
  <si>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</si>
  <si>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</si>
  <si>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</si>
  <si>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</si>
  <si>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</si>
  <si>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</si>
  <si>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</si>
  <si>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</si>
  <si>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</si>
  <si>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</si>
  <si>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</si>
  <si>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</si>
  <si>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</si>
  <si>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</si>
  <si>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</si>
  <si>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</si>
  <si>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</si>
  <si>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</si>
  <si>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</si>
  <si>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</si>
  <si>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</si>
  <si>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</si>
  <si>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</si>
  <si>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</si>
  <si>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</si>
  <si>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</si>
  <si>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</si>
  <si>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</si>
  <si>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</si>
  <si>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</si>
  <si>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</si>
  <si>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</si>
  <si>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</si>
  <si>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</si>
  <si>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</si>
  <si>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</si>
  <si>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</si>
  <si>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</si>
  <si>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</si>
  <si>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</si>
  <si>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</si>
  <si>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</si>
  <si>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</si>
  <si>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</si>
  <si>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</si>
  <si>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</si>
  <si>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</si>
  <si>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</si>
  <si>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</si>
  <si>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</si>
  <si>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</si>
  <si>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</si>
  <si>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</si>
  <si>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</si>
  <si>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</si>
  <si>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</si>
  <si>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</si>
  <si>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</si>
  <si>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</si>
  <si>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</si>
  <si>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</si>
  <si>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</si>
  <si>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</si>
  <si>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</si>
  <si>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</si>
  <si>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</si>
  <si>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</si>
  <si>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</si>
  <si>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</si>
  <si>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</si>
  <si>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</si>
  <si>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</si>
  <si>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</si>
  <si>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</si>
  <si>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</si>
  <si>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</si>
  <si>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</si>
  <si>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</si>
  <si>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</si>
  <si>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</si>
  <si>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</si>
  <si>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</si>
  <si>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</si>
  <si>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</si>
  <si>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</si>
  <si>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</si>
  <si>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</si>
  <si>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</si>
  <si>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</si>
  <si>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</si>
  <si>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</si>
  <si>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</si>
  <si>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</si>
  <si>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</si>
  <si>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</si>
  <si>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</si>
  <si>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</si>
  <si>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</si>
  <si>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</si>
  <si>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</si>
  <si>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</si>
  <si>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</si>
  <si>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</si>
  <si>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</si>
  <si>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</si>
  <si>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</si>
  <si>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</si>
  <si>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</si>
  <si>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</si>
  <si>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</si>
  <si>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</si>
  <si>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</si>
  <si>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</si>
  <si>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</si>
  <si>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</si>
  <si>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</si>
  <si>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</si>
  <si>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</si>
  <si>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</si>
  <si>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</si>
  <si>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</si>
  <si>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</si>
  <si>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</si>
  <si>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</si>
  <si>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</si>
  <si>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</si>
  <si>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</si>
  <si>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</si>
  <si>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</si>
  <si>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</si>
  <si>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</si>
  <si>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</si>
  <si>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</si>
  <si>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</si>
  <si>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</si>
  <si>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</si>
  <si>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</si>
  <si>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</si>
  <si>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</si>
  <si>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</si>
  <si>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</si>
  <si>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</si>
  <si>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</si>
  <si>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</si>
  <si>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</si>
  <si>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</si>
  <si>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</si>
  <si>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</si>
  <si>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</si>
  <si>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</si>
  <si>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</si>
  <si>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</si>
  <si>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</si>
  <si>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</si>
  <si>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</si>
  <si>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</si>
  <si>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</si>
  <si>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</si>
  <si>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</si>
  <si>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</si>
  <si>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</si>
  <si>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</si>
  <si>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</si>
  <si>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</si>
  <si>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</si>
  <si>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</si>
  <si>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</si>
  <si>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</si>
  <si>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</si>
  <si>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</si>
  <si>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</si>
  <si>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</si>
  <si>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</si>
  <si>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</si>
  <si>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</si>
  <si>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</si>
  <si>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</si>
  <si>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</si>
  <si>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</si>
  <si>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</si>
  <si>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</si>
  <si>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</si>
  <si>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</si>
  <si>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</si>
  <si>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</si>
  <si>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</si>
  <si>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</si>
  <si>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</si>
  <si>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</si>
  <si>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</si>
  <si>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</si>
  <si>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</si>
  <si>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</si>
  <si>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</si>
  <si>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</si>
  <si>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</si>
  <si>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</si>
  <si>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</si>
  <si>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</si>
  <si>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</si>
  <si>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</si>
  <si>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</si>
  <si>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</si>
  <si>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</si>
  <si>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</si>
  <si>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</si>
  <si>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</si>
  <si>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</si>
  <si>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</si>
  <si>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</si>
  <si>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</si>
  <si>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</si>
  <si>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</si>
  <si>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</si>
  <si>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</si>
  <si>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</si>
  <si>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</si>
  <si>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</si>
  <si>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</si>
  <si>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</si>
  <si>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</si>
  <si>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</si>
  <si>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</si>
  <si>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</si>
  <si>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</si>
  <si>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</si>
  <si>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</si>
  <si>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</si>
  <si>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</si>
  <si>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</si>
  <si>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</si>
  <si>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</si>
  <si>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</si>
  <si>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</si>
  <si>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</si>
  <si>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</si>
  <si>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</si>
  <si>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</si>
  <si>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</si>
  <si>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</si>
  <si>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</si>
  <si>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</si>
  <si>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</si>
  <si>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</si>
  <si>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</si>
  <si>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</si>
  <si>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</si>
  <si>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</si>
  <si>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</si>
  <si>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</si>
  <si>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</si>
  <si>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</si>
  <si>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</si>
  <si>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</si>
  <si>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</si>
  <si>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</si>
  <si>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</si>
  <si>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</si>
  <si>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</si>
  <si>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</si>
  <si>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</si>
  <si>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</si>
  <si>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</si>
  <si>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</si>
  <si>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</si>
  <si>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</si>
  <si>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</si>
  <si>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</si>
  <si>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</si>
  <si>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</si>
  <si>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</si>
  <si>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</si>
  <si>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</si>
  <si>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</si>
  <si>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</si>
  <si>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</si>
  <si>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</si>
  <si>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</si>
  <si>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</si>
  <si>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</si>
  <si>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</si>
  <si>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</si>
  <si>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</si>
  <si>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</si>
  <si>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</si>
  <si>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</si>
  <si>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</si>
  <si>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</si>
  <si>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</si>
  <si>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</si>
  <si>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</si>
  <si>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</si>
  <si>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</si>
  <si>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</si>
  <si>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</si>
  <si>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</si>
  <si>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</si>
  <si>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</si>
  <si>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</si>
  <si>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</si>
  <si>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</si>
  <si>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</si>
  <si>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</si>
  <si>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</si>
  <si>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</si>
  <si>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</si>
  <si>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</si>
  <si>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</si>
  <si>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</si>
  <si>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</si>
  <si>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</si>
  <si>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</si>
  <si>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</si>
  <si>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</si>
  <si>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</si>
  <si>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</si>
  <si>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</si>
  <si>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</si>
  <si>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</si>
  <si>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</si>
  <si>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</si>
  <si>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</si>
  <si>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</si>
  <si>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</si>
  <si>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</si>
  <si>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</si>
  <si>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</si>
  <si>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</si>
  <si>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</si>
  <si>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</si>
  <si>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</si>
  <si>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</si>
  <si>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</si>
  <si>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</si>
  <si>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</si>
  <si>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</si>
  <si>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</si>
  <si>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</si>
  <si>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</si>
  <si>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</si>
  <si>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</si>
  <si>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</si>
  <si>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</si>
  <si>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</si>
  <si>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</si>
  <si>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</si>
  <si>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</si>
  <si>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</si>
  <si>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</si>
  <si>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</si>
  <si>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</si>
  <si>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</si>
  <si>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</si>
  <si>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</si>
  <si>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</si>
  <si>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</si>
  <si>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</si>
  <si>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</si>
  <si>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</si>
  <si>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</si>
  <si>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</si>
  <si>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</si>
  <si>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</si>
  <si>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</si>
  <si>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</si>
  <si>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</si>
  <si>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</si>
  <si>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</si>
  <si>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</si>
  <si>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</si>
  <si>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</si>
  <si>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</si>
  <si>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</si>
  <si>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</si>
  <si>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</si>
  <si>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</si>
  <si>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</si>
  <si>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</si>
  <si>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</si>
  <si>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</si>
  <si>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</si>
  <si>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</si>
  <si>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</si>
  <si>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</si>
  <si>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</si>
  <si>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</si>
  <si>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</si>
  <si>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</si>
  <si>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</si>
  <si>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</si>
  <si>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</si>
  <si>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</si>
  <si>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</si>
  <si>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</si>
  <si>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</si>
  <si>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</si>
  <si>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</si>
  <si>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</si>
  <si>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</si>
  <si>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</si>
  <si>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</si>
  <si>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</si>
  <si>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</si>
  <si>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</si>
  <si>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</si>
  <si>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</si>
  <si>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</si>
  <si>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</si>
  <si>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</si>
  <si>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</si>
  <si>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</si>
  <si>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</si>
  <si>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</si>
  <si>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</si>
  <si>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</si>
  <si>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</si>
  <si>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</si>
  <si>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</si>
  <si>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</si>
  <si>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</si>
  <si>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</si>
  <si>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</si>
  <si>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</si>
  <si>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</si>
  <si>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</si>
  <si>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</si>
  <si>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</si>
  <si>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</si>
  <si>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</si>
  <si>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</si>
  <si>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</si>
  <si>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</si>
  <si>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</si>
  <si>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</si>
  <si>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</si>
  <si>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</si>
  <si>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</si>
  <si>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</si>
  <si>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</si>
  <si>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</si>
  <si>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</si>
  <si>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</si>
  <si>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</si>
  <si>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</si>
  <si>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</si>
  <si>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</si>
  <si>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</si>
  <si>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</si>
  <si>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</si>
  <si>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</si>
  <si>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</si>
  <si>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</si>
  <si>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</si>
  <si>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</si>
  <si>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</si>
  <si>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</si>
  <si>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</si>
  <si>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</si>
  <si>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</si>
  <si>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</si>
  <si>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</si>
  <si>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</si>
  <si>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</si>
  <si>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</si>
  <si>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</si>
  <si>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</si>
  <si>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</si>
  <si>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</si>
  <si>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</si>
  <si>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</si>
  <si>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</si>
  <si>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</si>
  <si>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</si>
  <si>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</si>
  <si>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</si>
  <si>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</si>
  <si>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</si>
  <si>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</si>
  <si>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</si>
  <si>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</si>
  <si>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</si>
  <si>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</si>
  <si>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</si>
  <si>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</si>
  <si>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</si>
  <si>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</si>
  <si>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</si>
  <si>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</si>
  <si>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</si>
  <si>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</si>
  <si>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</si>
  <si>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</si>
  <si>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</si>
  <si>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</si>
  <si>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</si>
  <si>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</si>
  <si>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</si>
  <si>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</si>
  <si>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</si>
  <si>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</si>
  <si>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</si>
  <si>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</si>
  <si>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</si>
  <si>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</si>
  <si>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</si>
  <si>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</si>
  <si>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</si>
  <si>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</si>
  <si>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</si>
  <si>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</si>
  <si>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</si>
  <si>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</si>
  <si>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</si>
  <si>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</si>
  <si>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</si>
  <si>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</si>
  <si>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</si>
  <si>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</si>
  <si>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</si>
  <si>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</si>
  <si>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</si>
  <si>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</si>
  <si>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</si>
  <si>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</si>
  <si>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</si>
  <si>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</si>
  <si>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</si>
  <si>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</si>
  <si>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</si>
  <si>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</si>
  <si>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</si>
  <si>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</si>
  <si>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</si>
  <si>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</si>
  <si>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</si>
  <si>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</si>
  <si>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</si>
  <si>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</si>
  <si>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</si>
  <si>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</si>
  <si>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</si>
  <si>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</si>
  <si>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</si>
  <si>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</si>
  <si>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</si>
  <si>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</si>
  <si>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</si>
  <si>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</si>
  <si>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</si>
  <si>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</si>
  <si>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</si>
  <si>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</si>
  <si>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</si>
  <si>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</si>
  <si>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</si>
  <si>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</si>
  <si>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</si>
  <si>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</si>
  <si>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</si>
  <si>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</si>
  <si>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</si>
  <si>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</si>
  <si>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</si>
  <si>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</si>
  <si>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</si>
  <si>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</si>
  <si>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</si>
  <si>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</si>
  <si>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</si>
  <si>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</si>
  <si>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</si>
  <si>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</si>
  <si>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</si>
  <si>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</si>
  <si>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</si>
  <si>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</si>
  <si>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</si>
  <si>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</si>
  <si>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</si>
  <si>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</si>
  <si>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</si>
  <si>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</si>
  <si>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</si>
  <si>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</si>
  <si>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</si>
  <si>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</si>
  <si>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</si>
  <si>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</si>
  <si>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</si>
  <si>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</si>
  <si>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</si>
  <si>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</si>
  <si>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</si>
  <si>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</si>
  <si>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</si>
  <si>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</si>
  <si>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</si>
  <si>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</si>
  <si>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</si>
  <si>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</si>
  <si>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</si>
  <si>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</si>
  <si>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</si>
  <si>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</si>
  <si>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</si>
  <si>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</si>
  <si>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</si>
  <si>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</si>
  <si>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</si>
  <si>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</si>
  <si>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</si>
  <si>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</si>
  <si>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</si>
  <si>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</si>
  <si>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</si>
  <si>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</si>
  <si>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</si>
  <si>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</si>
  <si>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</si>
  <si>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</si>
  <si>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</si>
  <si>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</si>
  <si>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</si>
  <si>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</si>
  <si>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</si>
  <si>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</si>
  <si>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</si>
  <si>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</si>
  <si>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</si>
  <si>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</si>
  <si>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</si>
  <si>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</si>
  <si>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</si>
  <si>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</si>
  <si>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</si>
  <si>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</si>
  <si>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</si>
  <si>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</si>
  <si>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</si>
  <si>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</si>
  <si>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</si>
  <si>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</si>
  <si>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</si>
  <si>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</si>
  <si>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</si>
  <si>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</si>
  <si>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</si>
  <si>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</si>
  <si>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</si>
  <si>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</si>
  <si>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</si>
  <si>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</si>
  <si>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</si>
  <si>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</si>
  <si>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</si>
  <si>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</si>
  <si>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</si>
  <si>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</si>
  <si>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</si>
  <si>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</si>
  <si>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</si>
  <si>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</si>
  <si>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</si>
  <si>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</si>
  <si>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</si>
  <si>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</si>
  <si>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</si>
  <si>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</si>
  <si>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</si>
  <si>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</si>
  <si>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</si>
  <si>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</si>
  <si>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</si>
  <si>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</si>
  <si>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</si>
  <si>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</si>
  <si>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</si>
  <si>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</si>
  <si>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</si>
  <si>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</si>
  <si>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</si>
  <si>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</si>
  <si>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</si>
  <si>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</si>
  <si>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</si>
  <si>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</si>
  <si>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</si>
  <si>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</si>
  <si>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</si>
  <si>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</si>
  <si>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</si>
  <si>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</si>
  <si>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</si>
  <si>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</si>
  <si>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</si>
  <si>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</si>
  <si>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</si>
  <si>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</si>
  <si>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</si>
  <si>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</si>
  <si>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</si>
  <si>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</si>
  <si>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</si>
  <si>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</si>
  <si>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</si>
  <si>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</si>
  <si>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</si>
  <si>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</si>
  <si>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</si>
  <si>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</si>
  <si>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</si>
  <si>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</si>
  <si>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</si>
  <si>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</si>
  <si>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</si>
  <si>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</si>
  <si>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</si>
  <si>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</si>
  <si>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</si>
  <si>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</si>
  <si>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</si>
  <si>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</si>
  <si>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</si>
  <si>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</si>
  <si>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</si>
  <si>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</si>
  <si>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</si>
  <si>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</si>
  <si>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</si>
  <si>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</si>
  <si>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</si>
  <si>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</si>
  <si>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</si>
  <si>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</si>
  <si>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</si>
  <si>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</si>
  <si>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</si>
  <si>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</si>
  <si>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</si>
  <si>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</si>
  <si>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</si>
  <si>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</si>
  <si>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</si>
  <si>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</si>
  <si>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</si>
  <si>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</si>
  <si>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</si>
  <si>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</si>
  <si>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</si>
  <si>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</si>
  <si>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</si>
  <si>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</si>
  <si>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</si>
  <si>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</si>
  <si>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</si>
  <si>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</si>
  <si>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</si>
  <si>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</si>
  <si>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</si>
  <si>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</si>
  <si>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</si>
  <si>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</si>
  <si>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</si>
  <si>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</si>
  <si>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</si>
  <si>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</si>
  <si>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</si>
  <si>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</si>
  <si>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</si>
  <si>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</si>
  <si>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</si>
  <si>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</si>
  <si>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</si>
  <si>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</si>
  <si>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</si>
  <si>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</si>
  <si>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</si>
  <si>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</si>
  <si>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</si>
  <si>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</si>
  <si>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</si>
  <si>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</si>
  <si>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</si>
  <si>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</si>
  <si>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</si>
  <si>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</si>
  <si>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</si>
  <si>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</si>
  <si>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</si>
  <si>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</si>
  <si>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</si>
  <si>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</si>
  <si>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</si>
  <si>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</si>
  <si>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</si>
  <si>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</si>
  <si>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</si>
  <si>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</si>
  <si>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</si>
  <si>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</si>
  <si>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</si>
  <si>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</si>
  <si>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</si>
  <si>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</si>
  <si>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</si>
  <si>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</si>
  <si>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</si>
  <si>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</si>
  <si>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</si>
  <si>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</si>
  <si>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</si>
  <si>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</si>
  <si>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</si>
  <si>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</si>
  <si>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</si>
  <si>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</si>
  <si>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</si>
  <si>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</si>
  <si>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</si>
  <si>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</si>
  <si>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</si>
  <si>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</si>
  <si>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</si>
  <si>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</si>
  <si>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</si>
  <si>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</si>
  <si>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</si>
  <si>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</si>
  <si>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</si>
  <si>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</si>
  <si>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</si>
  <si>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</si>
  <si>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</si>
  <si>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</si>
  <si>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</si>
  <si>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</si>
  <si>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</si>
  <si>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</si>
  <si>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</si>
  <si>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</si>
  <si>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</si>
  <si>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</si>
  <si>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</si>
  <si>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</si>
  <si>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</si>
  <si>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</si>
  <si>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</si>
  <si>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</si>
  <si>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</si>
  <si>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</si>
  <si>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</si>
  <si>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</si>
  <si>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</si>
  <si>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</si>
  <si>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</si>
  <si>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</si>
  <si>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</si>
  <si>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</si>
  <si>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</si>
  <si>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</si>
  <si>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</si>
  <si>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</si>
  <si>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</si>
  <si>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</si>
  <si>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</si>
  <si>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</si>
  <si>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</si>
  <si>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</si>
  <si>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</si>
  <si>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</si>
  <si>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</si>
  <si>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</si>
  <si>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</si>
  <si>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</si>
  <si>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</si>
  <si>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</si>
  <si>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</si>
  <si>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</si>
  <si>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</si>
  <si>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</si>
  <si>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</si>
  <si>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</si>
  <si>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</si>
  <si>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</si>
  <si>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</si>
  <si>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</si>
  <si>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</si>
  <si>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</si>
  <si>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</si>
  <si>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</si>
  <si>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</si>
  <si>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</si>
  <si>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</si>
  <si>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</si>
  <si>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</si>
  <si>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</si>
  <si>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</si>
  <si>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</si>
  <si>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</si>
  <si>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</si>
  <si>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</si>
  <si>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</si>
  <si>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</si>
  <si>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</si>
  <si>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</si>
  <si>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</si>
  <si>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</si>
  <si>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</si>
  <si>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</si>
  <si>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</si>
  <si>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</si>
  <si>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</si>
  <si>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</si>
  <si>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</si>
  <si>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</si>
  <si>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</si>
  <si>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</si>
  <si>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</si>
  <si>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</si>
  <si>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</si>
  <si>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</si>
  <si>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</si>
  <si>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</si>
  <si>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</si>
  <si>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</si>
  <si>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</si>
  <si>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</si>
  <si>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</si>
  <si>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</si>
  <si>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</si>
  <si>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</si>
  <si>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</si>
  <si>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</si>
  <si>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</si>
  <si>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</si>
  <si>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</si>
  <si>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</si>
  <si>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</si>
  <si>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</si>
  <si>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</si>
  <si>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</si>
  <si>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</si>
  <si>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</si>
  <si>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</si>
  <si>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</si>
  <si>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</si>
  <si>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</si>
  <si>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</si>
  <si>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</si>
  <si>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</si>
  <si>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</si>
  <si>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</si>
  <si>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</si>
  <si>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</si>
  <si>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</si>
  <si>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</si>
  <si>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</si>
  <si>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</si>
  <si>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</si>
  <si>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</si>
  <si>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</si>
  <si>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</si>
  <si>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</si>
  <si>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</si>
  <si>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</si>
  <si>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</si>
  <si>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</si>
  <si>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</si>
  <si>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</si>
  <si>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</si>
  <si>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</si>
  <si>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</si>
  <si>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</si>
  <si>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</si>
  <si>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</si>
  <si>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</si>
  <si>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</si>
  <si>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</si>
  <si>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</si>
  <si>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</si>
  <si>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</si>
  <si>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</si>
  <si>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</si>
  <si>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</si>
  <si>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</si>
  <si>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</si>
  <si>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</si>
  <si>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</si>
  <si>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</si>
  <si>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</si>
  <si>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</si>
  <si>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</si>
  <si>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</si>
  <si>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</si>
  <si>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</si>
  <si>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</si>
  <si>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</si>
  <si>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</si>
  <si>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</si>
  <si>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</si>
  <si>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</si>
  <si>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</si>
  <si>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</si>
  <si>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</si>
  <si>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</si>
  <si>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</si>
  <si>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</si>
  <si>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</si>
  <si>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</si>
  <si>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</si>
  <si>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</si>
  <si>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</si>
  <si>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</si>
  <si>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</si>
  <si>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</si>
  <si>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</si>
  <si>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</si>
  <si>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</si>
  <si>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</si>
  <si>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</si>
  <si>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</si>
  <si>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</si>
  <si>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</si>
  <si>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</si>
  <si>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</si>
  <si>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</si>
  <si>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</si>
  <si>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</si>
  <si>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</si>
  <si>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</si>
  <si>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</si>
  <si>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</si>
  <si>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</si>
  <si>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</si>
  <si>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</si>
  <si>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</si>
  <si>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</si>
  <si>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</si>
  <si>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</si>
  <si>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</si>
  <si>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</si>
  <si>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</si>
  <si>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</si>
  <si>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</si>
  <si>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</si>
  <si>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</si>
  <si>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</si>
  <si>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</si>
  <si>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</si>
  <si>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</si>
  <si>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</si>
  <si>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</si>
  <si>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</si>
  <si>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</si>
  <si>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</si>
  <si>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</si>
  <si>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</si>
  <si>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</si>
  <si>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</si>
  <si>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</si>
  <si>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</si>
  <si>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</si>
  <si>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</si>
  <si>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</si>
  <si>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</si>
  <si>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</si>
  <si>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</si>
  <si>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</si>
  <si>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</si>
  <si>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</si>
  <si>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</si>
  <si>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</si>
  <si>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</si>
  <si>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</si>
  <si>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</si>
  <si>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</si>
  <si>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</si>
  <si>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</si>
  <si>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</si>
  <si>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</si>
  <si>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</si>
  <si>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</si>
  <si>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</si>
  <si>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</si>
  <si>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</si>
  <si>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</si>
  <si>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</si>
  <si>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</si>
  <si>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</si>
  <si>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</si>
  <si>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</si>
  <si>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</si>
  <si>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</si>
  <si>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</si>
  <si>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</si>
  <si>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</si>
  <si>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</si>
  <si>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</si>
  <si>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</si>
  <si>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</si>
  <si>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</si>
  <si>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</si>
  <si>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</si>
  <si>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</si>
  <si>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</si>
  <si>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</si>
  <si>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</si>
  <si>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</si>
  <si>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</si>
  <si>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</si>
  <si>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</si>
  <si>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</si>
  <si>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</si>
  <si>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</si>
  <si>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</si>
  <si>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</si>
  <si>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</si>
  <si>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</si>
  <si>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</si>
  <si>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</si>
  <si>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</si>
  <si>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</si>
  <si>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</si>
  <si>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</si>
  <si>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</si>
  <si>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</si>
  <si>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</si>
  <si>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</si>
  <si>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</si>
  <si>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</si>
  <si>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</si>
  <si>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</si>
  <si>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</si>
  <si>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</si>
  <si>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</si>
  <si>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</si>
  <si>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</si>
  <si>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</si>
  <si>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</si>
  <si>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</si>
  <si>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</si>
  <si>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</si>
  <si>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</si>
  <si>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</si>
  <si>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</si>
  <si>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</si>
  <si>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</si>
  <si>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</si>
  <si>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</si>
  <si>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</si>
  <si>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</si>
  <si>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</si>
  <si>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</si>
  <si>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</si>
  <si>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</si>
  <si>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</si>
  <si>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</si>
  <si>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</si>
  <si>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</si>
  <si>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</si>
  <si>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</si>
  <si>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</si>
  <si>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</si>
  <si>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</si>
  <si>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</si>
  <si>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</si>
  <si>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</si>
  <si>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</si>
  <si>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</si>
  <si>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</si>
  <si>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</si>
  <si>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</si>
  <si>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</si>
  <si>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</si>
  <si>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</si>
  <si>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</si>
  <si>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</si>
  <si>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</si>
  <si>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</si>
  <si>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</si>
  <si>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</si>
  <si>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</si>
  <si>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</si>
  <si>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</si>
  <si>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</si>
  <si>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</si>
  <si>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</si>
  <si>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</si>
  <si>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</si>
  <si>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</si>
  <si>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</si>
  <si>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</si>
  <si>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</si>
  <si>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</si>
  <si>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</si>
  <si>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</si>
  <si>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</si>
  <si>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</si>
  <si>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</si>
  <si>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</si>
  <si>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</si>
  <si>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</si>
  <si>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</si>
  <si>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</si>
  <si>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</si>
  <si>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</si>
  <si>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</si>
  <si>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</si>
  <si>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</si>
  <si>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</si>
  <si>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</si>
  <si>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</si>
  <si>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</si>
  <si>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</si>
  <si>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</si>
  <si>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</si>
  <si>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</si>
  <si>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</si>
  <si>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</si>
  <si>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</si>
  <si>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</si>
  <si>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</si>
  <si>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</si>
  <si>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</si>
  <si>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</si>
  <si>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</si>
  <si>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</si>
  <si>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</si>
  <si>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</si>
  <si>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</si>
  <si>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</si>
  <si>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</si>
  <si>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</si>
  <si>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</si>
  <si>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</si>
  <si>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</si>
  <si>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</si>
  <si>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</si>
  <si>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</si>
  <si>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</si>
  <si>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</si>
  <si>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</si>
  <si>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</si>
  <si>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</si>
  <si>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</si>
  <si>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</si>
  <si>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</si>
  <si>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</si>
  <si>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</si>
  <si>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</si>
  <si>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</si>
  <si>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</si>
  <si>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</si>
  <si>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</si>
  <si>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</si>
  <si>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</si>
  <si>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</si>
  <si>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</si>
  <si>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</si>
  <si>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</si>
  <si>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</si>
  <si>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</si>
  <si>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</si>
  <si>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</si>
  <si>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</si>
  <si>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</si>
  <si>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</si>
  <si>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</si>
  <si>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</si>
  <si>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</si>
  <si>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</si>
  <si>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</si>
  <si>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</si>
  <si>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</si>
  <si>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</si>
  <si>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</si>
  <si>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</si>
  <si>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</si>
  <si>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</si>
  <si>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</si>
  <si>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</si>
  <si>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</si>
  <si>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</si>
  <si>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</si>
  <si>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</si>
  <si>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</si>
  <si>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</si>
  <si>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</si>
  <si>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</si>
  <si>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</si>
  <si>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</si>
  <si>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</si>
  <si>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</si>
  <si>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</si>
  <si>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</si>
  <si>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</si>
  <si>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</si>
  <si>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</si>
  <si>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</si>
  <si>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</si>
  <si>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</si>
  <si>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</si>
  <si>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</si>
  <si>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</si>
  <si>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</si>
  <si>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</si>
  <si>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</si>
  <si>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</si>
  <si>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</si>
  <si>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</si>
  <si>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</si>
  <si>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</si>
  <si>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</si>
  <si>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</si>
  <si>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</si>
  <si>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</si>
  <si>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</si>
  <si>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</si>
  <si>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</si>
  <si>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</si>
  <si>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</si>
  <si>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</si>
  <si>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</si>
  <si>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</si>
  <si>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</si>
  <si>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</si>
  <si>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</si>
  <si>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</si>
  <si>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</si>
  <si>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</si>
  <si>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</si>
  <si>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</si>
  <si>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</si>
  <si>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</si>
  <si>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</si>
  <si>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</si>
  <si>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</si>
  <si>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</si>
  <si>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</si>
  <si>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</si>
  <si>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</si>
  <si>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</si>
  <si>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</si>
  <si>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</si>
  <si>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</si>
  <si>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</si>
  <si>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</si>
  <si>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</si>
  <si>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</si>
  <si>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</si>
  <si>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</si>
  <si>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</si>
  <si>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</si>
  <si>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</si>
  <si>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</si>
  <si>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</si>
  <si>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</si>
  <si>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</si>
  <si>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</si>
  <si>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</si>
  <si>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</si>
  <si>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</si>
  <si>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</si>
  <si>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</si>
  <si>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</si>
  <si>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</si>
  <si>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</si>
  <si>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</si>
  <si>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</si>
  <si>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</si>
  <si>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</si>
  <si>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</si>
  <si>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</si>
  <si>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</si>
  <si>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</si>
  <si>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</si>
  <si>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</si>
  <si>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</si>
  <si>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</si>
  <si>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</si>
  <si>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</si>
  <si>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</si>
  <si>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</si>
  <si>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</si>
  <si>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</si>
  <si>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</si>
  <si>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</si>
  <si>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</si>
  <si>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</si>
  <si>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</si>
  <si>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</si>
  <si>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</si>
  <si>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</si>
  <si>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</si>
  <si>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</si>
  <si>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</si>
  <si>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</si>
  <si>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</si>
  <si>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</si>
  <si>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</si>
  <si>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</si>
  <si>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</si>
  <si>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</si>
  <si>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</si>
  <si>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</si>
  <si>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</si>
  <si>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</si>
  <si>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</si>
  <si>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</si>
  <si>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</si>
  <si>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</si>
  <si>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</si>
  <si>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</si>
  <si>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</si>
  <si>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</si>
  <si>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</si>
  <si>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</si>
  <si>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</si>
  <si>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</si>
  <si>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</si>
  <si>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</si>
  <si>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</si>
  <si>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</si>
  <si>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</si>
  <si>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</si>
  <si>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</si>
  <si>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</si>
  <si>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</si>
  <si>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</si>
  <si>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</si>
  <si>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</si>
  <si>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</si>
  <si>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</si>
  <si>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</si>
  <si>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</si>
  <si>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</si>
  <si>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</si>
  <si>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</si>
  <si>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</si>
  <si>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</si>
  <si>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</si>
  <si>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</si>
  <si>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</si>
  <si>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</si>
  <si>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</si>
  <si>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</si>
  <si>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</si>
  <si>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</si>
  <si>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</si>
  <si>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</si>
  <si>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</si>
  <si>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</si>
  <si>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</si>
  <si>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</si>
  <si>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</si>
  <si>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</si>
  <si>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</si>
  <si>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</si>
  <si>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</si>
  <si>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</si>
  <si>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</si>
  <si>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</si>
  <si>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</si>
  <si>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</si>
  <si>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</si>
  <si>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</si>
  <si>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</si>
  <si>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</si>
  <si>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</si>
  <si>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</si>
  <si>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</si>
  <si>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</si>
  <si>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</si>
  <si>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</si>
  <si>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</si>
  <si>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</si>
  <si>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</si>
  <si>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</si>
  <si>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</si>
  <si>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</si>
  <si>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</si>
  <si>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</si>
  <si>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</si>
  <si>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</si>
  <si>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</si>
  <si>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</si>
  <si>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</si>
  <si>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</si>
  <si>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</si>
  <si>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</si>
  <si>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</si>
  <si>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</si>
  <si>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</si>
  <si>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</si>
  <si>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</si>
  <si>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</si>
  <si>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</si>
  <si>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</si>
  <si>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</si>
  <si>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</si>
  <si>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</si>
  <si>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</si>
  <si>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</si>
  <si>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</si>
  <si>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</si>
  <si>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</si>
  <si>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</si>
  <si>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</si>
  <si>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</si>
  <si>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</si>
  <si>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</si>
  <si>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</si>
  <si>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</si>
  <si>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</si>
  <si>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</si>
  <si>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</si>
  <si>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</si>
  <si>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</si>
  <si>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</si>
  <si>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</si>
  <si>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</si>
  <si>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</si>
  <si>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</si>
  <si>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</si>
  <si>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</si>
  <si>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</si>
  <si>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</si>
  <si>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</si>
  <si>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</si>
  <si>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</si>
  <si>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</si>
  <si>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</si>
  <si>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</si>
  <si>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</si>
  <si>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</si>
  <si>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</si>
  <si>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</si>
  <si>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</si>
  <si>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</si>
  <si>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</si>
  <si>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</si>
  <si>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</si>
  <si>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</si>
  <si>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</si>
  <si>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</si>
  <si>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</si>
  <si>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</si>
  <si>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</si>
  <si>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</si>
  <si>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</si>
  <si>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</si>
  <si>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</si>
  <si>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</si>
  <si>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</si>
  <si>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</si>
  <si>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</si>
  <si>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</si>
  <si>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</si>
  <si>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</si>
  <si>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</si>
  <si>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</si>
  <si>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</si>
  <si>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</si>
  <si>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</si>
  <si>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</si>
  <si>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</si>
  <si>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</si>
  <si>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</si>
  <si>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</si>
  <si>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</si>
  <si>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</si>
  <si>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</si>
  <si>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</si>
  <si>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</si>
  <si>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</si>
  <si>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</si>
  <si>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</si>
  <si>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</si>
  <si>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</si>
  <si>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</si>
  <si>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</si>
  <si>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</si>
  <si>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</si>
  <si>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</si>
  <si>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</si>
  <si>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</si>
  <si>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</si>
  <si>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</si>
  <si>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</si>
  <si>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</si>
  <si>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</si>
  <si>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</si>
  <si>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</si>
  <si>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</si>
  <si>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</si>
  <si>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</si>
  <si>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</si>
  <si>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</si>
  <si>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</si>
  <si>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</si>
  <si>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</si>
  <si>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</si>
  <si>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</si>
  <si>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</si>
  <si>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</si>
  <si>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</si>
  <si>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</si>
  <si>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</si>
  <si>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</si>
  <si>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</si>
  <si>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</si>
  <si>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</si>
  <si>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</si>
  <si>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</si>
  <si>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</si>
  <si>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</si>
  <si>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</si>
  <si>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</si>
  <si>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</si>
  <si>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</si>
  <si>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</si>
  <si>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</si>
  <si>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</si>
  <si>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</si>
  <si>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</si>
  <si>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</si>
  <si>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</si>
  <si>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</si>
  <si>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</si>
  <si>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</si>
  <si>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</si>
  <si>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</si>
  <si>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</si>
  <si>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</si>
  <si>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</si>
  <si>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</si>
  <si>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</si>
  <si>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</si>
  <si>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</si>
  <si>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</si>
  <si>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</si>
  <si>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</si>
  <si>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</si>
  <si>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</si>
  <si>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</si>
  <si>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</si>
  <si>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</si>
  <si>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</si>
  <si>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</si>
  <si>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</si>
  <si>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</si>
  <si>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</si>
  <si>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</si>
  <si>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</si>
  <si>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</si>
  <si>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</si>
  <si>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</si>
  <si>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</si>
  <si>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</si>
  <si>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</si>
  <si>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</si>
  <si>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</si>
  <si>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</si>
  <si>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</si>
  <si>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</si>
  <si>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</si>
  <si>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</si>
  <si>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</si>
  <si>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</si>
  <si>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</si>
  <si>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</si>
  <si>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</si>
  <si>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</si>
  <si>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</si>
  <si>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</si>
  <si>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</si>
  <si>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</si>
  <si>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</si>
  <si>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</si>
  <si>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</si>
  <si>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</si>
  <si>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</si>
  <si>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</si>
  <si>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</si>
  <si>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</si>
  <si>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</si>
  <si>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</si>
  <si>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</si>
  <si>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</si>
  <si>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</si>
  <si>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</si>
  <si>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</si>
  <si>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</si>
  <si>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</si>
  <si>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</si>
  <si>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</si>
  <si>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</si>
  <si>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</si>
  <si>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</si>
  <si>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</si>
  <si>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</si>
  <si>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</si>
  <si>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</si>
  <si>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</si>
  <si>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</si>
  <si>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</si>
  <si>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</si>
  <si>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</si>
  <si>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</si>
  <si>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</si>
  <si>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</si>
  <si>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</si>
  <si>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</si>
  <si>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</si>
  <si>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</si>
  <si>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</si>
  <si>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</si>
  <si>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</si>
  <si>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</si>
  <si>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</si>
  <si>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</si>
  <si>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</si>
  <si>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</si>
  <si>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</si>
  <si>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</si>
  <si>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</si>
  <si>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</si>
  <si>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</si>
  <si>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</si>
  <si>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</si>
  <si>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</si>
  <si>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</si>
  <si>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</si>
  <si>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</si>
  <si>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</si>
  <si>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</si>
  <si>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</si>
  <si>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</si>
  <si>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</si>
  <si>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</si>
  <si>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</si>
  <si>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</si>
  <si>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</si>
  <si>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</si>
  <si>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</si>
  <si>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</si>
  <si>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</si>
  <si>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</si>
  <si>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</si>
  <si>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</si>
  <si>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</si>
  <si>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</si>
  <si>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</si>
  <si>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</si>
  <si>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</si>
  <si>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</si>
  <si>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</si>
  <si>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</si>
  <si>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</si>
  <si>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</si>
  <si>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</si>
  <si>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</si>
  <si>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</si>
  <si>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</si>
  <si>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</si>
  <si>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</si>
  <si>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</si>
  <si>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</si>
  <si>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</si>
  <si>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</si>
  <si>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</si>
  <si>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</si>
  <si>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</si>
  <si>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</si>
  <si>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</si>
  <si>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</si>
  <si>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</si>
  <si>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</si>
  <si>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</si>
  <si>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</si>
  <si>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</si>
  <si>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</si>
  <si>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</si>
  <si>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</si>
  <si>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</si>
  <si>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</si>
  <si>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</si>
  <si>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</si>
  <si>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</si>
  <si>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</si>
  <si>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</si>
  <si>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</si>
  <si>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</si>
  <si>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</si>
  <si>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</si>
  <si>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</si>
  <si>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</si>
  <si>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</si>
  <si>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</si>
  <si>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</si>
  <si>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</si>
  <si>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</si>
  <si>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</si>
  <si>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</si>
  <si>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</si>
  <si>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</si>
  <si>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</si>
  <si>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</si>
  <si>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</si>
  <si>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</si>
  <si>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</si>
  <si>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</si>
  <si>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</si>
  <si>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</si>
  <si>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</si>
  <si>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</si>
  <si>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</si>
  <si>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</si>
  <si>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</si>
  <si>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</si>
  <si>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</si>
  <si>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</si>
  <si>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</si>
  <si>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</si>
  <si>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</si>
  <si>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</si>
  <si>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</si>
  <si>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</si>
  <si>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</si>
  <si>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</si>
  <si>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</si>
  <si>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</si>
  <si>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</si>
  <si>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</si>
  <si>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</si>
  <si>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</si>
  <si>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</si>
  <si>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</si>
  <si>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</si>
  <si>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</si>
  <si>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</si>
  <si>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</si>
  <si>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</si>
  <si>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</si>
  <si>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</si>
  <si>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</si>
  <si>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</si>
  <si>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</si>
  <si>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</si>
  <si>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</si>
  <si>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</si>
  <si>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</si>
  <si>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</si>
  <si>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</si>
  <si>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</si>
  <si>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</si>
  <si>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</si>
  <si>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</si>
  <si>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</si>
  <si>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</si>
  <si>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</si>
  <si>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</si>
  <si>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</si>
  <si>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</si>
  <si>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</si>
  <si>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</si>
  <si>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</si>
  <si>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</si>
  <si>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</si>
  <si>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</si>
  <si>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</si>
  <si>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</si>
  <si>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</si>
  <si>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</si>
  <si>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</si>
  <si>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</si>
  <si>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</si>
  <si>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</si>
  <si>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</si>
  <si>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</si>
  <si>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</si>
  <si>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</si>
  <si>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</si>
  <si>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</si>
  <si>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</si>
  <si>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</si>
  <si>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</si>
  <si>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</si>
  <si>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</si>
  <si>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</si>
  <si>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</si>
  <si>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</si>
  <si>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</si>
  <si>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</si>
  <si>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</si>
  <si>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</si>
  <si>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</si>
  <si>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</si>
  <si>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</si>
  <si>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</si>
  <si>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</si>
  <si>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</si>
  <si>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</si>
  <si>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</si>
  <si>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</si>
  <si>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</si>
  <si>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</si>
  <si>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</si>
  <si>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</si>
  <si>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</si>
  <si>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</si>
  <si>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</si>
  <si>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</si>
  <si>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</si>
  <si>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</si>
  <si>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</si>
  <si>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</si>
  <si>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</si>
  <si>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</si>
  <si>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</si>
  <si>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</si>
  <si>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</si>
  <si>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</si>
  <si>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</si>
  <si>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</si>
  <si>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</si>
  <si>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</si>
  <si>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</si>
  <si>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</si>
  <si>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</si>
  <si>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</si>
  <si>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</si>
  <si>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</si>
  <si>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</si>
  <si>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</si>
  <si>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</si>
  <si>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</si>
  <si>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</si>
  <si>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</si>
  <si>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</si>
  <si>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</si>
  <si>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</si>
  <si>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</si>
  <si>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</si>
  <si>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</si>
  <si>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</si>
  <si>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</si>
  <si>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</si>
  <si>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</si>
  <si>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</si>
  <si>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</si>
  <si>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</si>
  <si>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</si>
  <si>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</si>
  <si>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</si>
  <si>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</si>
  <si>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</si>
  <si>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</si>
  <si>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</si>
  <si>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</si>
  <si>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</si>
  <si>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</si>
  <si>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</si>
  <si>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</si>
  <si>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</si>
  <si>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</si>
  <si>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</si>
  <si>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</si>
  <si>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</si>
  <si>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</si>
  <si>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</si>
  <si>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</si>
  <si>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</si>
  <si>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</si>
  <si>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</si>
  <si>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</si>
  <si>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</si>
  <si>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</si>
  <si>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</si>
  <si>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</si>
  <si>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</si>
  <si>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</si>
  <si>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</si>
  <si>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</si>
  <si>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</si>
  <si>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</si>
  <si>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</si>
  <si>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</si>
  <si>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</si>
  <si>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</si>
  <si>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</si>
  <si>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</si>
  <si>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</si>
  <si>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</si>
  <si>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</si>
  <si>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</si>
  <si>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</si>
  <si>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</si>
  <si>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</si>
  <si>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</si>
  <si>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</si>
  <si>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</si>
  <si>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</si>
  <si>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</si>
  <si>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</si>
  <si>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</si>
  <si>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</si>
  <si>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</si>
  <si>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</si>
  <si>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</si>
  <si>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</si>
  <si>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</si>
  <si>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</si>
  <si>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</si>
  <si>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</si>
  <si>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</si>
  <si>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</si>
  <si>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</si>
  <si>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</si>
  <si>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</si>
  <si>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</si>
  <si>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</si>
  <si>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</si>
  <si>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</si>
  <si>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</si>
  <si>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</si>
  <si>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</si>
  <si>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</si>
  <si>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</si>
  <si>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</si>
  <si>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</si>
  <si>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</si>
  <si>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</si>
  <si>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</si>
  <si>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</si>
  <si>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</si>
  <si>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</si>
  <si>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</si>
  <si>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</si>
  <si>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</si>
  <si>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</si>
  <si>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</si>
  <si>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</si>
  <si>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</si>
  <si>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</si>
  <si>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</si>
  <si>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</si>
  <si>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</si>
  <si>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</si>
  <si>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</si>
  <si>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</si>
  <si>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</si>
  <si>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</si>
  <si>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</si>
  <si>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</si>
  <si>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</si>
  <si>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</si>
  <si>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</si>
  <si>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</si>
  <si>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</si>
  <si>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</si>
  <si>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</si>
  <si>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</si>
  <si>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</si>
  <si>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</si>
  <si>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</si>
  <si>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</si>
  <si>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</si>
  <si>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</si>
  <si>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</si>
  <si>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</si>
  <si>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</si>
  <si>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</si>
  <si>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</si>
  <si>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</si>
  <si>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</si>
  <si>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</si>
  <si>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</si>
  <si>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</si>
  <si>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</si>
  <si>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</si>
  <si>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</si>
  <si>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</si>
  <si>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</si>
  <si>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</si>
  <si>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</si>
  <si>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</si>
  <si>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</si>
  <si>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</si>
  <si>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</si>
  <si>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</si>
  <si>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</si>
  <si>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</si>
  <si>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</si>
  <si>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</si>
  <si>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</si>
  <si>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</si>
  <si>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</si>
  <si>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</si>
  <si>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</si>
  <si>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</si>
  <si>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</si>
  <si>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</si>
  <si>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</si>
  <si>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</si>
  <si>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</si>
  <si>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</si>
  <si>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</si>
  <si>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</si>
  <si>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</si>
  <si>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</si>
  <si>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</si>
  <si>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</si>
  <si>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</si>
  <si>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</si>
  <si>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</si>
  <si>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</si>
  <si>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</si>
  <si>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</si>
  <si>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</si>
  <si>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</si>
  <si>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</si>
  <si>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</si>
  <si>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</si>
  <si>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</si>
  <si>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</si>
  <si>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</si>
  <si>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</si>
  <si>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</si>
  <si>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</si>
  <si>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</si>
  <si>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</si>
  <si>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</si>
  <si>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</si>
  <si>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</si>
  <si>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</si>
  <si>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</si>
  <si>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</si>
  <si>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</si>
  <si>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</si>
  <si>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</si>
  <si>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</si>
  <si>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</si>
  <si>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</si>
  <si>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</si>
  <si>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</si>
  <si>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</si>
  <si>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</si>
  <si>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</si>
  <si>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</si>
  <si>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</si>
  <si>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</si>
  <si>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</si>
  <si>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</si>
  <si>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</si>
  <si>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</si>
  <si>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</si>
  <si>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</si>
  <si>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</si>
  <si>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</si>
  <si>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</si>
  <si>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</si>
  <si>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</si>
  <si>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</si>
  <si>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</si>
  <si>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</si>
  <si>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</si>
  <si>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</si>
  <si>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</si>
  <si>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</si>
  <si>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</si>
  <si>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</si>
  <si>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</si>
  <si>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</si>
  <si>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</si>
  <si>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</si>
  <si>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</si>
  <si>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</si>
  <si>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</si>
  <si>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</si>
  <si>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</si>
  <si>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</si>
  <si>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</si>
  <si>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</si>
  <si>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</si>
  <si>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</si>
  <si>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</si>
  <si>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</si>
  <si>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</si>
  <si>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</si>
  <si>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</si>
  <si>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</si>
  <si>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</si>
  <si>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</si>
  <si>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</si>
  <si>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</si>
  <si>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</si>
  <si>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</si>
  <si>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</si>
  <si>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</si>
  <si>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</si>
  <si>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</si>
  <si>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</si>
  <si>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</si>
  <si>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</si>
  <si>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</si>
  <si>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</si>
  <si>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</si>
  <si>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</si>
  <si>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</si>
  <si>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</si>
  <si>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</si>
  <si>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</si>
  <si>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</si>
  <si>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</si>
  <si>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</si>
  <si>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</si>
  <si>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</si>
  <si>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</si>
  <si>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</si>
  <si>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</si>
  <si>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</si>
  <si>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</si>
  <si>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</si>
  <si>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</si>
  <si>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</si>
  <si>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</si>
  <si>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收益法</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</si>
  <si>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</si>
  <si>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</si>
  <si>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</si>
  <si>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</si>
  <si>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</si>
  <si>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</si>
  <si>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</si>
  <si>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</si>
  <si>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</si>
  <si>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</si>
  <si>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</si>
  <si>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</si>
  <si>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</si>
  <si>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</si>
  <si>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</si>
  <si>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</si>
  <si>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</si>
  <si>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</si>
  <si>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</si>
  <si>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</si>
  <si>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</si>
  <si>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</si>
  <si>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</si>
  <si>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</si>
  <si>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</si>
  <si>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</si>
  <si>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</si>
  <si>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</si>
  <si>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</si>
  <si>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</si>
  <si>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</si>
  <si>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</si>
  <si>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</si>
  <si>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</si>
  <si>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</si>
  <si>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</si>
  <si>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</si>
  <si>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</si>
  <si>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</si>
  <si>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</si>
  <si>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</si>
  <si>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</si>
  <si>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</si>
  <si>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</si>
  <si>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</si>
  <si>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</si>
  <si>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</si>
  <si>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</si>
  <si>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</si>
  <si>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</si>
  <si>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</si>
  <si>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</si>
  <si>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</si>
  <si>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</si>
  <si>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</si>
  <si>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</si>
  <si>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</si>
  <si>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</si>
  <si>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</si>
  <si>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</si>
  <si>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</si>
  <si>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</si>
  <si>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</si>
  <si>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</si>
  <si>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</si>
  <si>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</si>
  <si>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</si>
  <si>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</si>
  <si>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</si>
  <si>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</si>
  <si>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</si>
  <si>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</si>
  <si>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</si>
  <si>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</si>
  <si>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</si>
  <si>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</si>
  <si>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</si>
  <si>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</si>
  <si>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</si>
  <si>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</si>
  <si>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</si>
  <si>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</si>
  <si>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</si>
  <si>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</si>
  <si>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</si>
  <si>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</si>
  <si>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</si>
  <si>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</si>
  <si>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</si>
  <si>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</si>
  <si>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</si>
  <si>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</si>
  <si>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</si>
  <si>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</si>
  <si>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</si>
  <si>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</si>
  <si>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</si>
  <si>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</si>
  <si>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</si>
  <si>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</si>
  <si>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</si>
  <si>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</si>
  <si>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</si>
  <si>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</si>
  <si>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</si>
  <si>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</si>
  <si>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</si>
  <si>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</si>
  <si>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</si>
  <si>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</si>
  <si>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</si>
  <si>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</si>
  <si>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t>序号</t>
    <phoneticPr fontId="134" type="noConversion"/>
  </si>
  <si>
    <t>证号</t>
    <phoneticPr fontId="134" type="noConversion"/>
  </si>
  <si>
    <t>权利人</t>
    <phoneticPr fontId="134" type="noConversion"/>
  </si>
  <si>
    <t>坐落</t>
    <phoneticPr fontId="134" type="noConversion"/>
  </si>
  <si>
    <t>用途</t>
    <phoneticPr fontId="134" type="noConversion"/>
  </si>
  <si>
    <t>建筑面积</t>
    <phoneticPr fontId="134" type="noConversion"/>
  </si>
  <si>
    <t>总层数</t>
    <phoneticPr fontId="134" type="noConversion"/>
  </si>
  <si>
    <t>所在层数</t>
    <phoneticPr fontId="134" type="noConversion"/>
  </si>
  <si>
    <t>商业</t>
    <phoneticPr fontId="134" type="noConversion"/>
  </si>
  <si>
    <r>
      <t>1</t>
    </r>
    <r>
      <rPr>
        <sz val="11"/>
        <color theme="1"/>
        <rFont val="宋体"/>
        <family val="3"/>
        <charset val="134"/>
        <scheme val="minor"/>
      </rPr>
      <t>-5</t>
    </r>
    <phoneticPr fontId="134" type="noConversion"/>
  </si>
  <si>
    <r>
      <t>3</t>
    </r>
    <r>
      <rPr>
        <sz val="11"/>
        <color theme="1"/>
        <rFont val="宋体"/>
        <family val="3"/>
        <charset val="134"/>
        <scheme val="minor"/>
      </rPr>
      <t>-5</t>
    </r>
    <phoneticPr fontId="134" type="noConversion"/>
  </si>
  <si>
    <t>4</t>
    <phoneticPr fontId="134" type="noConversion"/>
  </si>
  <si>
    <r>
      <t>-</t>
    </r>
    <r>
      <rPr>
        <sz val="11"/>
        <color theme="1"/>
        <rFont val="宋体"/>
        <family val="3"/>
        <charset val="134"/>
        <scheme val="minor"/>
      </rPr>
      <t>1</t>
    </r>
    <phoneticPr fontId="134" type="noConversion"/>
  </si>
  <si>
    <t>1</t>
    <phoneticPr fontId="134" type="noConversion"/>
  </si>
  <si>
    <t>2</t>
    <phoneticPr fontId="134" type="noConversion"/>
  </si>
  <si>
    <r>
      <t>-</t>
    </r>
    <r>
      <rPr>
        <sz val="11"/>
        <color theme="1"/>
        <rFont val="宋体"/>
        <family val="3"/>
        <charset val="134"/>
        <scheme val="minor"/>
      </rPr>
      <t>2</t>
    </r>
    <phoneticPr fontId="134" type="noConversion"/>
  </si>
  <si>
    <r>
      <t>-</t>
    </r>
    <r>
      <rPr>
        <sz val="11"/>
        <color theme="1"/>
        <rFont val="宋体"/>
        <family val="3"/>
        <charset val="134"/>
        <scheme val="minor"/>
      </rPr>
      <t>2-1</t>
    </r>
    <phoneticPr fontId="134" type="noConversion"/>
  </si>
  <si>
    <t>5</t>
    <phoneticPr fontId="134" type="noConversion"/>
  </si>
  <si>
    <r>
      <t>-</t>
    </r>
    <r>
      <rPr>
        <sz val="11"/>
        <color theme="1"/>
        <rFont val="宋体"/>
        <family val="3"/>
        <charset val="134"/>
        <scheme val="minor"/>
      </rPr>
      <t>2-1</t>
    </r>
    <phoneticPr fontId="134" type="noConversion"/>
  </si>
  <si>
    <t>3</t>
    <phoneticPr fontId="134" type="noConversion"/>
  </si>
  <si>
    <t xml:space="preserve"> </t>
    <phoneticPr fontId="134" type="noConversion"/>
  </si>
  <si>
    <t>楼层</t>
    <phoneticPr fontId="134" type="noConversion"/>
  </si>
  <si>
    <t>建筑面积</t>
    <phoneticPr fontId="134" type="noConversion"/>
  </si>
  <si>
    <r>
      <t>-</t>
    </r>
    <r>
      <rPr>
        <sz val="11"/>
        <color theme="1"/>
        <rFont val="宋体"/>
        <family val="3"/>
        <charset val="134"/>
        <scheme val="minor"/>
      </rPr>
      <t>2-1</t>
    </r>
    <phoneticPr fontId="134" type="noConversion"/>
  </si>
  <si>
    <t>3-5</t>
    <phoneticPr fontId="134" type="noConversion"/>
  </si>
  <si>
    <t>序号</t>
    <phoneticPr fontId="134" type="noConversion"/>
  </si>
  <si>
    <r>
      <t>京（2</t>
    </r>
    <r>
      <rPr>
        <sz val="11"/>
        <color theme="1"/>
        <rFont val="宋体"/>
        <family val="3"/>
        <charset val="134"/>
        <scheme val="minor"/>
      </rPr>
      <t>020）丰不动产权第号</t>
    </r>
    <phoneticPr fontId="134" type="noConversion"/>
  </si>
  <si>
    <t>楼层</t>
    <phoneticPr fontId="134" type="noConversion"/>
  </si>
  <si>
    <t>房号</t>
    <phoneticPr fontId="134" type="noConversion"/>
  </si>
  <si>
    <t>用途</t>
    <phoneticPr fontId="134" type="noConversion"/>
  </si>
  <si>
    <t>车位</t>
    <phoneticPr fontId="134" type="noConversion"/>
  </si>
  <si>
    <t>机械车位</t>
    <phoneticPr fontId="134" type="noConversion"/>
  </si>
  <si>
    <t>机械车位</t>
    <phoneticPr fontId="134" type="noConversion"/>
  </si>
  <si>
    <t>公司名称</t>
  </si>
  <si>
    <t>项目名称</t>
  </si>
  <si>
    <t>乙方名称</t>
  </si>
  <si>
    <t>合同状态</t>
  </si>
  <si>
    <t>合同类别</t>
  </si>
  <si>
    <t>合同面积</t>
  </si>
  <si>
    <t>开始日期</t>
  </si>
  <si>
    <t>计划结束日期</t>
  </si>
  <si>
    <t>租赁期限(天)</t>
  </si>
  <si>
    <t>年租金</t>
  </si>
  <si>
    <t>北京龙湖</t>
  </si>
  <si>
    <t>北京丽泽天街</t>
  </si>
  <si>
    <t>万影影业(深圳)有限公司北京丰台区分公司</t>
  </si>
  <si>
    <t>在执行</t>
  </si>
  <si>
    <t>主力店租赁合同</t>
  </si>
  <si>
    <t>飒拉商业(北京)有限公司</t>
  </si>
  <si>
    <t>次主力店租赁合同</t>
  </si>
  <si>
    <t>华北盒马网络科技有限公司</t>
  </si>
  <si>
    <t>迅销(中国)商贸有限公司</t>
  </si>
  <si>
    <t>上海派聚实业有限公司</t>
  </si>
  <si>
    <t>专卖店租赁合同</t>
  </si>
  <si>
    <t>北京湖里春风餐饮管理有限公司</t>
  </si>
  <si>
    <t>北京大食代餐饮有限公司</t>
  </si>
  <si>
    <t>长沙靓泽商贸有限公司</t>
  </si>
  <si>
    <t>北京巴奴毛肚火锅有限公司丽泽路分公司</t>
  </si>
  <si>
    <t>北京千玺晟体育文化有限公司</t>
  </si>
  <si>
    <t>北京西西弗文化传播有限公司</t>
  </si>
  <si>
    <t>好友工匠(北京)餐饮管理有限公司</t>
  </si>
  <si>
    <t>北京李宁体育用品销售有限公司</t>
  </si>
  <si>
    <t>宝盛道吉(北京)贸易有限公司</t>
  </si>
  <si>
    <t>易联讯达(北京)智能科技有限公司</t>
  </si>
  <si>
    <t>北京昌东餐饮有限公司</t>
  </si>
  <si>
    <t>小大董丽泽(北京)餐饮有限公司</t>
  </si>
  <si>
    <t>北京全棉时代科技有限公司</t>
  </si>
  <si>
    <t>北京反斗悦娱乐有限公司</t>
  </si>
  <si>
    <t>北京武泰兴体育文化有限公司</t>
  </si>
  <si>
    <t>北京凯迪斯游乐设备有限公司</t>
  </si>
  <si>
    <t>北京麻六记餐饮管理有限公司丽泽路分店</t>
  </si>
  <si>
    <t>北京天鹅湖畔教育科技有限公司</t>
  </si>
  <si>
    <t>北京中发源丽泽餐饮有限公司</t>
  </si>
  <si>
    <t>北京三盛餐饮有限公司</t>
  </si>
  <si>
    <t>北京俪泽小吊餐饮管理有限公司</t>
  </si>
  <si>
    <t>北京联郡餐饮管理有限公司</t>
  </si>
  <si>
    <t>山东善品萃网络科技有限公司</t>
  </si>
  <si>
    <t>抱抱(北京)餐饮管理有限公司</t>
  </si>
  <si>
    <t>方叔叔餐饮管理(北京)有限公司</t>
  </si>
  <si>
    <t>厦门安竞服饰有限公司</t>
  </si>
  <si>
    <t>丝芙兰(北京)化妆品销售有限公司</t>
  </si>
  <si>
    <t>北京美丽田园美容科技有限公司</t>
  </si>
  <si>
    <t>念青励泽文化艺术(北京)有限公司</t>
  </si>
  <si>
    <t>北京舞六文化传播有限公司</t>
  </si>
  <si>
    <t>北京泡泡玛特文化创意有限公司</t>
  </si>
  <si>
    <t>北京必胜客比萨饼有限公司</t>
  </si>
  <si>
    <t>北京矢量咖啡有限公司</t>
  </si>
  <si>
    <t>北京盛世雅歌乐器销售有限公司</t>
  </si>
  <si>
    <t>北京星巴克咖啡有限公司</t>
  </si>
  <si>
    <t>北京明森远洋餐饮管理有限公司第七分公司</t>
  </si>
  <si>
    <t>北京汲度金泽美容科技有限公司</t>
  </si>
  <si>
    <t>北京探鱼餐饮管理有限公司</t>
  </si>
  <si>
    <t>乐玩虚拟现实科技（广州）有限公司北京丰台科技分公司</t>
  </si>
  <si>
    <t>北京日丽月泽餐饮管理有限公司</t>
  </si>
  <si>
    <t>北京内研有然文化发展有限公司</t>
  </si>
  <si>
    <t>北京汉拿山金鑫餐饮管理有限公司</t>
  </si>
  <si>
    <t>广州太二餐饮连锁有限公司</t>
  </si>
  <si>
    <t>百丽鞋业(北京)有限公司</t>
  </si>
  <si>
    <t>绫致时装(天津)有限公司</t>
  </si>
  <si>
    <t>松山棉店(北京)纺织科技有限公司</t>
  </si>
  <si>
    <t>北京肉问屋九番餐饮有限公司</t>
  </si>
  <si>
    <t>杨桃灵</t>
  </si>
  <si>
    <t>北京丽家丽婴婴童用品股份有限公司</t>
  </si>
  <si>
    <t>绫致时装（天津）有限公司</t>
  </si>
  <si>
    <t>北京花盐街餐饮管理有限公司第三分公司</t>
  </si>
  <si>
    <t>北京申如服装服饰有限公司</t>
  </si>
  <si>
    <t>白沅熹</t>
  </si>
  <si>
    <t>北京海京星摄影有限责任公司</t>
  </si>
  <si>
    <t>九木杂物社企业管理有限公司</t>
  </si>
  <si>
    <t>高薇</t>
  </si>
  <si>
    <t>中际优健(北京)餐饮管理有限公司</t>
  </si>
  <si>
    <t>王乐聪</t>
  </si>
  <si>
    <t>北京炫魅光彩技术服务有限公司</t>
  </si>
  <si>
    <t>北京金吉家餐饮管理有限公司</t>
  </si>
  <si>
    <t>天好(北京)餐饮服务有限公司</t>
  </si>
  <si>
    <t>北京壹美炫动贸易有限公司</t>
  </si>
  <si>
    <t>北京翡翠京华餐饮管理有限公司</t>
  </si>
  <si>
    <t>北京悦燃时代贸易有限公司</t>
  </si>
  <si>
    <t>北京永兴东润服饰有限公司</t>
  </si>
  <si>
    <t>陈伟</t>
  </si>
  <si>
    <t>上海蓝草家居有限公司</t>
  </si>
  <si>
    <t>北京爱乐阶梯教育科技有限公司</t>
  </si>
  <si>
    <t>北京雨华波腾贸易有限公司</t>
  </si>
  <si>
    <t>北京九割科技有限公司</t>
  </si>
  <si>
    <t>北京筑仪服饰有限公司</t>
  </si>
  <si>
    <t>北京欧彩萱商贸有限公司</t>
  </si>
  <si>
    <t>北京炉角餐饮管理有限公司</t>
  </si>
  <si>
    <t>上海森睿服饰有限公司</t>
  </si>
  <si>
    <t>北京三月六日晴餐饮有限公司</t>
  </si>
  <si>
    <t>北京旺德福餐饮有限公司</t>
  </si>
  <si>
    <t>北京佳时服装有限公司第六分公司</t>
  </si>
  <si>
    <t>村上一屋(北京)餐饮有限责任公司</t>
  </si>
  <si>
    <t>上海丝绸集团品牌发展有限公司</t>
  </si>
  <si>
    <t>北京欧克龙丽餐饮管理有限公司</t>
  </si>
  <si>
    <t>北京潮粥荟丽泽餐饮有限公司</t>
  </si>
  <si>
    <t>北京灵感之茶餐饮管理有限公司</t>
  </si>
  <si>
    <t>北京鸿喜餐饮店(有限合伙)</t>
  </si>
  <si>
    <t>北京泽冠商贸有限公司</t>
  </si>
  <si>
    <t>北京中恒驿站数码信息技术有限公司</t>
  </si>
  <si>
    <t>北京茵赫餐饮管理有限公司</t>
  </si>
  <si>
    <t>施华洛世奇(上海)贸易有限公司</t>
  </si>
  <si>
    <t>北京鄂尔多斯时装有限公司</t>
  </si>
  <si>
    <t>日播创美服饰(北京)有限公司</t>
  </si>
  <si>
    <t>北京尚品宠爱贸易有限公司</t>
  </si>
  <si>
    <t>北京丰泽罗克商贸有限公司</t>
  </si>
  <si>
    <t>周生生(中国)商业有限公司北京分公司</t>
  </si>
  <si>
    <t>北京昌满餐饮管理有限公司</t>
  </si>
  <si>
    <t>论道竹叶青茶业(北京)有限公司</t>
  </si>
  <si>
    <t>笛克恩唯(上海)服饰有限公司</t>
  </si>
  <si>
    <t>李达</t>
  </si>
  <si>
    <t>北京吾号车酷新能源汽车技术发展有限公司</t>
  </si>
  <si>
    <t>北京孩思乐商业有限公司</t>
  </si>
  <si>
    <t>北京味千餐饮管理有限公司</t>
  </si>
  <si>
    <t>北京爱谜题商贸有限公司</t>
  </si>
  <si>
    <t>北京周大福珠宝金行有限公司</t>
  </si>
  <si>
    <t>睛姿(上海)企业管理有限公司北京丰台第二分公司</t>
  </si>
  <si>
    <t>北京市源烽世纪商贸有限责任公司</t>
  </si>
  <si>
    <t>北京衣恋阳光商贸有限公司</t>
  </si>
  <si>
    <t>北京饮唐餐饮有限公司</t>
  </si>
  <si>
    <t>天津道久仁和餐饮管理有限公司</t>
  </si>
  <si>
    <t>深圳市珂莱蒂尔服饰有限公司</t>
  </si>
  <si>
    <t>北京米村京柒拾陆餐饮店(有限合伙)</t>
  </si>
  <si>
    <t>中国黄金集团营销有限公司</t>
  </si>
  <si>
    <t>通用磨坊贸易(上海)有限公司</t>
  </si>
  <si>
    <t>北京市好利来食品有限公司</t>
  </si>
  <si>
    <t>北京吉立方信息技术有限公司</t>
  </si>
  <si>
    <t>北京傲妮商贸有限公司</t>
  </si>
  <si>
    <t>北京致橙服饰有限公司</t>
  </si>
  <si>
    <t>刘亮</t>
  </si>
  <si>
    <t>北京瑞气祥云餐饮有限公司</t>
  </si>
  <si>
    <t>北京达世行华威汽车销售有限公司</t>
  </si>
  <si>
    <t>马涛</t>
  </si>
  <si>
    <t>北京俪希泉化妆品销售有限公司</t>
  </si>
  <si>
    <t>北京禄爵二餐饮管理有限公司</t>
  </si>
  <si>
    <t>彼悦(北京)科技有限公司</t>
  </si>
  <si>
    <t>潘多拉珠宝设计(北京)有限公司</t>
  </si>
  <si>
    <t>北京美恒嘉商贸有限公司</t>
  </si>
  <si>
    <t>北京蓉丽餐饮管理有限公司</t>
  </si>
  <si>
    <t>卡索多丽娅贸易（上海）有限公司</t>
  </si>
  <si>
    <t>北京熊七餐饮有限公司</t>
  </si>
  <si>
    <t>安徽讯飞新零售有限公司</t>
  </si>
  <si>
    <t>益威（成都）商贸有限公司北京分公司</t>
  </si>
  <si>
    <t>北京茜波尔服饰有限公司</t>
  </si>
  <si>
    <t>品客威普(北京)商贸有限公司</t>
  </si>
  <si>
    <t>乔智</t>
  </si>
  <si>
    <t>贝特比商贸(北京)有限公司</t>
  </si>
  <si>
    <t>臧旺</t>
  </si>
  <si>
    <t>深圳悦腾网络信息技术有限公司</t>
  </si>
  <si>
    <t>上海布歌企业管理有限公司</t>
  </si>
  <si>
    <t>北京兰熊餐饮管理有限公司</t>
  </si>
  <si>
    <t>北京牛茶餐饮管理有限公司</t>
  </si>
  <si>
    <t>崔忠乐</t>
  </si>
  <si>
    <t>北京吉野家快餐有限公司</t>
  </si>
  <si>
    <t>北京艾瑞美时尚发饰品有限公司</t>
  </si>
  <si>
    <t>北京辰杨商贸有限公司</t>
  </si>
  <si>
    <t>北京天飞燕商贸有限责任公司</t>
  </si>
  <si>
    <t>北京偶哈游文化娱乐有限公司</t>
  </si>
  <si>
    <t>郝亮</t>
  </si>
  <si>
    <t>北京荣骅商贸有限公司</t>
  </si>
  <si>
    <t>北京锦博餐饮有限公司</t>
  </si>
  <si>
    <t>可心友伴(北京)贸易有限公司第四分店</t>
  </si>
  <si>
    <t>北京超级兔餐饮管理有限公司</t>
  </si>
  <si>
    <t>北京茗门茶业有限公司</t>
  </si>
  <si>
    <t>碳照哥(北京)餐饮有限公司</t>
  </si>
  <si>
    <t>张伟</t>
  </si>
  <si>
    <t>北京贝利得商贸有限公司</t>
  </si>
  <si>
    <t>瑞时亨大(北京)商贸有限公司</t>
  </si>
  <si>
    <t>北京枫盈行国际贸易有限公司</t>
  </si>
  <si>
    <t>北京兰尼科技有限公司</t>
  </si>
  <si>
    <t>倍乐生商贸(中国)有限公司</t>
  </si>
  <si>
    <t>北京食满三街餐饮管理有限公司</t>
  </si>
  <si>
    <t>喜桃家(北京)商业有限公司</t>
  </si>
  <si>
    <t>苏盛杰</t>
  </si>
  <si>
    <r>
      <rPr>
        <sz val="10"/>
        <color theme="9" tint="-0.249977111117893"/>
        <rFont val="宋体"/>
        <family val="3"/>
        <charset val="134"/>
      </rPr>
      <t>丰台区丽泽路</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</si>
  <si>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《不动产权证书》</t>
  </si>
  <si>
    <t>复印件</t>
  </si>
  <si>
    <t>商业项目</t>
  </si>
  <si>
    <t>无</t>
  </si>
  <si>
    <t>燃气</t>
  </si>
  <si>
    <t>是</t>
  </si>
  <si>
    <t>独立商业</t>
  </si>
  <si>
    <t>地下</t>
  </si>
  <si>
    <t>商业</t>
    <phoneticPr fontId="7" type="noConversion"/>
  </si>
  <si>
    <t>车库</t>
    <phoneticPr fontId="7" type="noConversion"/>
  </si>
  <si>
    <t>估价对象容积率</t>
  </si>
  <si>
    <t>丽泽路</t>
  </si>
  <si>
    <t>楼层修正</t>
  </si>
  <si>
    <t>收益法-车库</t>
  </si>
  <si>
    <t>收益法-车库</t>
    <phoneticPr fontId="16" type="noConversion"/>
  </si>
  <si>
    <t>收益法（汇总）</t>
  </si>
  <si>
    <t>土地证</t>
    <phoneticPr fontId="134" type="noConversion"/>
  </si>
  <si>
    <t>用途：</t>
    <phoneticPr fontId="134" type="noConversion"/>
  </si>
  <si>
    <t>商业、办公</t>
    <phoneticPr fontId="134" type="noConversion"/>
  </si>
  <si>
    <t>终止日期</t>
    <phoneticPr fontId="134" type="noConversion"/>
  </si>
  <si>
    <t>土地面积</t>
    <phoneticPr fontId="134" type="noConversion"/>
  </si>
  <si>
    <t>附记：</t>
    <phoneticPr fontId="134" type="noConversion"/>
  </si>
  <si>
    <t>出让宗地全部出让年限内由受让人全部自持经营，不可转让或分割对外销售</t>
    <phoneticPr fontId="134" type="noConversion"/>
  </si>
  <si>
    <t>序号</t>
    <phoneticPr fontId="134" type="noConversion"/>
  </si>
  <si>
    <t>楼层</t>
    <phoneticPr fontId="134" type="noConversion"/>
  </si>
  <si>
    <t>建筑面积</t>
    <phoneticPr fontId="134" type="noConversion"/>
  </si>
  <si>
    <t>人防面积</t>
    <phoneticPr fontId="134" type="noConversion"/>
  </si>
  <si>
    <t>扣除人防面积</t>
    <phoneticPr fontId="134" type="noConversion"/>
  </si>
  <si>
    <t>各层可出租面积</t>
    <phoneticPr fontId="134" type="noConversion"/>
  </si>
  <si>
    <t>现状用途</t>
    <phoneticPr fontId="134" type="noConversion"/>
  </si>
  <si>
    <t>-3</t>
    <phoneticPr fontId="134" type="noConversion"/>
  </si>
  <si>
    <t>车库</t>
    <phoneticPr fontId="134" type="noConversion"/>
  </si>
  <si>
    <t>租金</t>
    <phoneticPr fontId="134" type="noConversion"/>
  </si>
  <si>
    <t>面积</t>
    <phoneticPr fontId="134" type="noConversion"/>
  </si>
  <si>
    <t>系数</t>
    <phoneticPr fontId="134" type="noConversion"/>
  </si>
  <si>
    <t>-2</t>
    <phoneticPr fontId="134" type="noConversion"/>
  </si>
  <si>
    <t>-1</t>
    <phoneticPr fontId="134" type="noConversion"/>
  </si>
  <si>
    <t>部分车库、部分商业</t>
    <phoneticPr fontId="134" type="noConversion"/>
  </si>
  <si>
    <t>01</t>
    <phoneticPr fontId="134" type="noConversion"/>
  </si>
  <si>
    <t>商业</t>
    <phoneticPr fontId="134" type="noConversion"/>
  </si>
  <si>
    <t>02</t>
    <phoneticPr fontId="134" type="noConversion"/>
  </si>
  <si>
    <t>夹层1</t>
    <phoneticPr fontId="134" type="noConversion"/>
  </si>
  <si>
    <t>03</t>
    <phoneticPr fontId="134" type="noConversion"/>
  </si>
  <si>
    <t>夹层2</t>
    <phoneticPr fontId="134" type="noConversion"/>
  </si>
  <si>
    <t>04</t>
    <phoneticPr fontId="134" type="noConversion"/>
  </si>
  <si>
    <t>05</t>
    <phoneticPr fontId="134" type="noConversion"/>
  </si>
  <si>
    <t>06</t>
    <phoneticPr fontId="134" type="noConversion"/>
  </si>
  <si>
    <t>办公</t>
    <phoneticPr fontId="134" type="noConversion"/>
  </si>
  <si>
    <t>附属</t>
    <phoneticPr fontId="134" type="noConversion"/>
  </si>
  <si>
    <t>合计</t>
    <phoneticPr fontId="134" type="noConversion"/>
  </si>
  <si>
    <t>地下占比</t>
    <phoneticPr fontId="134" type="noConversion"/>
  </si>
  <si>
    <t>建成年代</t>
    <phoneticPr fontId="134" type="noConversion"/>
  </si>
  <si>
    <t>项目</t>
    <phoneticPr fontId="134" type="noConversion"/>
  </si>
  <si>
    <t>龙湖长楹天街</t>
    <phoneticPr fontId="134" type="noConversion"/>
  </si>
  <si>
    <t>龙湖长安天街</t>
    <phoneticPr fontId="134" type="noConversion"/>
  </si>
  <si>
    <t>房山龙湖天街</t>
    <phoneticPr fontId="134" type="noConversion"/>
  </si>
  <si>
    <t>大兴龙湖天街</t>
    <phoneticPr fontId="134" type="noConversion"/>
  </si>
  <si>
    <t>龙湖房山熙悦天街</t>
    <phoneticPr fontId="134" type="noConversion"/>
  </si>
  <si>
    <t>估值</t>
    <phoneticPr fontId="134" type="noConversion"/>
  </si>
  <si>
    <t>楼面单价</t>
    <phoneticPr fontId="134" type="noConversion"/>
  </si>
  <si>
    <t>正常增长率2.5%</t>
    <phoneticPr fontId="134" type="noConversion"/>
  </si>
  <si>
    <t>地上面积</t>
    <phoneticPr fontId="134" type="noConversion"/>
  </si>
  <si>
    <t>地下面积</t>
    <phoneticPr fontId="134" type="noConversion"/>
  </si>
  <si>
    <t>合计面积</t>
    <phoneticPr fontId="134" type="noConversion"/>
  </si>
  <si>
    <t>还原率</t>
    <phoneticPr fontId="134" type="noConversion"/>
  </si>
  <si>
    <t>建安</t>
    <phoneticPr fontId="134" type="noConversion"/>
  </si>
  <si>
    <t>利润</t>
    <phoneticPr fontId="134" type="noConversion"/>
  </si>
  <si>
    <t>租金增长率</t>
    <phoneticPr fontId="134" type="noConversion"/>
  </si>
  <si>
    <t>维修费</t>
    <phoneticPr fontId="134" type="noConversion"/>
  </si>
  <si>
    <t>保险费</t>
    <phoneticPr fontId="134" type="noConversion"/>
  </si>
  <si>
    <t>管理费</t>
    <phoneticPr fontId="134" type="noConversion"/>
  </si>
  <si>
    <t>金融机构</t>
    <phoneticPr fontId="134" type="noConversion"/>
  </si>
  <si>
    <t>建设银行</t>
    <phoneticPr fontId="134" type="noConversion"/>
  </si>
  <si>
    <t>交通银行，偏低了一点</t>
    <phoneticPr fontId="134" type="noConversion"/>
  </si>
  <si>
    <t>中国银行</t>
    <phoneticPr fontId="134" type="noConversion"/>
  </si>
  <si>
    <t>兴业银行</t>
    <phoneticPr fontId="134" type="noConversion"/>
  </si>
  <si>
    <t>建设银行</t>
    <phoneticPr fontId="134" type="noConversion"/>
  </si>
  <si>
    <t>年收入</t>
    <phoneticPr fontId="134" type="noConversion"/>
  </si>
  <si>
    <t xml:space="preserve"> </t>
    <phoneticPr fontId="3" type="noConversion"/>
  </si>
  <si>
    <t>丽泽天街</t>
    <phoneticPr fontId="134" type="noConversion"/>
  </si>
  <si>
    <t>工商银行</t>
    <phoneticPr fontId="134" type="noConversion"/>
  </si>
  <si>
    <t>折商业</t>
    <phoneticPr fontId="134" type="noConversion"/>
  </si>
  <si>
    <t>不含车库</t>
    <phoneticPr fontId="134" type="noConversion"/>
  </si>
  <si>
    <t>楼层</t>
    <phoneticPr fontId="3" type="noConversion"/>
  </si>
  <si>
    <t>面积</t>
    <phoneticPr fontId="3" type="noConversion"/>
  </si>
  <si>
    <t>系数</t>
    <phoneticPr fontId="3" type="noConversion"/>
  </si>
  <si>
    <t>地块名称</t>
  </si>
  <si>
    <t>区县</t>
  </si>
  <si>
    <t>板块</t>
  </si>
  <si>
    <t>用地性质</t>
  </si>
  <si>
    <t>容积率</t>
  </si>
  <si>
    <t>详细规划</t>
  </si>
  <si>
    <t>规划建筑面积(㎡)</t>
  </si>
  <si>
    <t>建设用地面积(㎡)</t>
  </si>
  <si>
    <t>成交日期</t>
  </si>
  <si>
    <t>成交价(万元)</t>
  </si>
  <si>
    <t>成交楼面价(元/㎡)</t>
  </si>
  <si>
    <t>成交每亩价(万元/亩)</t>
  </si>
  <si>
    <t>溢价率(%)</t>
  </si>
  <si>
    <t>受让单位</t>
  </si>
  <si>
    <t>北京市丰台区丽泽金融商务区FT00-0612-0016等地块F3其他类多功能用地、S32公交场站设施用地</t>
  </si>
  <si>
    <t xml:space="preserve"> 丰台区  </t>
  </si>
  <si>
    <t xml:space="preserve"> 菜户营、西罗园  </t>
  </si>
  <si>
    <t>商业/办公用地</t>
  </si>
  <si>
    <t xml:space="preserve"> F3其他类多功能用地、S32公交场站设施用地  </t>
  </si>
  <si>
    <t xml:space="preserve"> 北京金唐丽行科技服务有限责任公司、北京金唐建投科技服务中心(有限合伙)、北京丽控建投科技服务中心(有限合伙)  </t>
  </si>
  <si>
    <t>北京市丰台区丽泽金融商务区D-01地块B4综合性商业金融服务业用地</t>
  </si>
  <si>
    <t xml:space="preserve"> ≤6.33  </t>
  </si>
  <si>
    <t xml:space="preserve"> B4综合性商业金融服务业用地  </t>
  </si>
  <si>
    <t xml:space="preserve"> 北京福榕置业有限公司  </t>
  </si>
  <si>
    <t>北京市丰台区丽泽金融商务区南区F-22、F-23地块F3其他类多功能用地</t>
  </si>
  <si>
    <t xml:space="preserve"> F3其他类多功能用地  </t>
  </si>
  <si>
    <t xml:space="preserve"> 中证机构间报价系统股份有限公司、中国银河证券股份有限公司联合体  </t>
  </si>
  <si>
    <t>北京市丰台区丽泽金融商务区南区D-02地块B4综合性商业金融服务业用地</t>
  </si>
  <si>
    <t xml:space="preserve"> 华夏人寿保险股份有限公司北京分公司  </t>
  </si>
  <si>
    <t>丰台区丽泽金融商务区南区D-07、D-08地块</t>
  </si>
  <si>
    <t xml:space="preserve"> 北京润置商业运营管理有限公司、北京首都开发股份有限公司、北京宸茂置业有限公司、北京金唐天润传媒发展有限公司联合体  </t>
  </si>
  <si>
    <t>丰台区花乡四合庄(中关村科技园丰台园东区三期)1516-28-B地块</t>
  </si>
  <si>
    <t xml:space="preserve"> 世界公园、宛平  </t>
  </si>
  <si>
    <t xml:space="preserve"> 宁波方兴投资咨询有限公司、碧桂园(北京)投资有限公司联合体  </t>
  </si>
  <si>
    <t>丰台区花乡四合庄(中关村科技园丰台园东区三期)1516-28-A地块</t>
  </si>
  <si>
    <t>丰台区花乡四合庄(中关村科技园丰台园东区三期)1516-12-B地块</t>
  </si>
  <si>
    <t xml:space="preserve"> 中铁置业集团有限公司、中铁投资集团有限公司联合体  </t>
  </si>
  <si>
    <t>丰台区花乡四合庄(中关村科技园丰台园东区三期)1516-12-A地块</t>
  </si>
  <si>
    <t xml:space="preserve"> 北京金丰融晟投资管理有限公司  </t>
  </si>
  <si>
    <t>丰台区丽泽路E-01、E-05、E-06地块</t>
  </si>
  <si>
    <t xml:space="preserve"> C2商业金融用地  </t>
  </si>
  <si>
    <t xml:space="preserve"> 深圳市平轩投资管理有限公司  </t>
  </si>
  <si>
    <t>丰台区花乡四合庄(中关村科技园丰台园东区三期)1516-21地块</t>
  </si>
  <si>
    <t xml:space="preserve"> 大连万达商业地产股份有限公司  </t>
  </si>
  <si>
    <t>丰台区丽泽金融商务区D-10地块F3其他类多功能用地</t>
  </si>
  <si>
    <t xml:space="preserve"> 北京金鹏天润置业投资管理公司、北京金锐翔铖投资有限公司、北京市菜户营科工贸集团、北京马连道投资管理公司、凤凰利华(北京)投资基金管理有限公司联合体  </t>
  </si>
  <si>
    <t>丰台区樊家村危改项目3号地零售商业用地</t>
  </si>
  <si>
    <t xml:space="preserve"> 丰台  </t>
  </si>
  <si>
    <t xml:space="preserve"> B11零售商业用地  </t>
  </si>
  <si>
    <t xml:space="preserve"> 北京龙湖中佰置业有限公司、北京泰瑞恒尚投资有限公司联合体  </t>
  </si>
  <si>
    <t>丰台科技园东区三期1516-43号地块C2商业金融用地</t>
  </si>
  <si>
    <t xml:space="preserve"> 东旭光电科技股份有限公司  </t>
  </si>
  <si>
    <t>丰台区科技园区东区三期1516-62、63、64、65号地其它类多功能用地</t>
  </si>
  <si>
    <t xml:space="preserve"> F3其它类多功能用地  </t>
  </si>
  <si>
    <t xml:space="preserve"> 北京诺城置业有限公司  </t>
  </si>
  <si>
    <t>北京市海淀区西北旺镇永丰产业基地(新)HD00-0403-004地块F3其他类多功能用地</t>
  </si>
  <si>
    <t xml:space="preserve"> 海淀区  </t>
  </si>
  <si>
    <t xml:space="preserve"> 温泉  </t>
  </si>
  <si>
    <t xml:space="preserve"> 北京泽御置业有限公司  </t>
  </si>
  <si>
    <t>北京市海淀区西北旺镇永丰产业基地(新)HD00-0403-009地块F3其他类多功能用地</t>
  </si>
  <si>
    <t xml:space="preserve"> 北京永丰数字融汇科技有限责任公司  </t>
  </si>
  <si>
    <t>北京市海淀区西北旺镇永丰产业基地(新)HD00-0403-001地块F3其他类多功能用地</t>
  </si>
  <si>
    <t xml:space="preserve"> 北京永丰数字先行科技有限责任公司  </t>
  </si>
  <si>
    <t>北京市海淀区西北旺镇永丰产业基地(新)HD00-0403-024地块F3其他类多功能用地</t>
  </si>
  <si>
    <t xml:space="preserve"> 北京永丰数字共享科技有限责任公司  </t>
  </si>
  <si>
    <t>北京市海淀区西北旺镇永丰产业基地(新)HD00-0403-011地块F3其他类多功能用地</t>
  </si>
  <si>
    <t xml:space="preserve"> 北京永丰数字融合科技有限责任公司  </t>
  </si>
  <si>
    <t>北京市海淀区西北旺镇永丰产业基地(新)HD00-0403-003地块F3其他类多功能用地</t>
  </si>
  <si>
    <t xml:space="preserve"> 北京永丰数字先导科技有限责任公司  </t>
  </si>
  <si>
    <t>北京市海淀区西八里庄0711-652、640、641地块B4综合性商业金融服务业用地</t>
  </si>
  <si>
    <t xml:space="preserve"> 定慧寺  </t>
  </si>
  <si>
    <t xml:space="preserve"> 0711一652≤4.5,0711一640≤1.7,0711一641≤1.3  </t>
  </si>
  <si>
    <t xml:space="preserve"> 中国电建地产集团有限公司  </t>
  </si>
  <si>
    <t>北京市海淀区学院路北端A、B、C、J地块B4综合性商业金融服务业用地、B23研发设计用地</t>
  </si>
  <si>
    <t xml:space="preserve"> 学清路  </t>
  </si>
  <si>
    <t xml:space="preserve"> ≤4.04  </t>
  </si>
  <si>
    <t xml:space="preserve"> B4综合性商业金融服务业用地、B23研发设计用地  </t>
  </si>
  <si>
    <t xml:space="preserve"> 紫光集团有限公司、紫光股份有限公司、紫光国芯微电子股份有限公司、北京紫光科技服务集团有限公司联合体  </t>
  </si>
  <si>
    <t>北京市海淀区西三旗1811-L04地块B4综合性商业金融服务业用地</t>
  </si>
  <si>
    <t xml:space="preserve"> 西三旗  </t>
  </si>
  <si>
    <t xml:space="preserve"> ≤2.8  </t>
  </si>
  <si>
    <t xml:space="preserve"> 北京润置商业运营管理有限公司  </t>
  </si>
  <si>
    <t>北京市海淀区"海淀北部地区整体开发"西北旺镇HD00-0402-0102地块(永丰产业基地)B1商业用地</t>
  </si>
  <si>
    <t xml:space="preserve"> ≤3  </t>
  </si>
  <si>
    <t xml:space="preserve"> B1商业用地  </t>
  </si>
  <si>
    <t xml:space="preserve"> 北京实创科技园开发建设股份有限公司  </t>
  </si>
  <si>
    <t>北京市海淀区西八里庄0711-653地块B4综合性商业金融服务业用地</t>
  </si>
  <si>
    <t xml:space="preserve"> 中国电子科技集团公司  </t>
  </si>
  <si>
    <t>海淀区“海淀北部地区整体开发”中关村环保科技园HD-0303-0071地块</t>
  </si>
  <si>
    <t xml:space="preserve"> B2商务用地  </t>
  </si>
  <si>
    <t xml:space="preserve"> 北京龙湖中佰置业有限公司、北京龙湖天行置业有限公司联合体  </t>
  </si>
  <si>
    <t>海淀区“海淀北部地区整体开发”HD-0303-0031地块</t>
  </si>
  <si>
    <t xml:space="preserve"> 神州数码软件有限公司、神州数码(中国)有限公司联合体  </t>
  </si>
  <si>
    <t>海淀区“海淀北部地区整体开发”HD-0303-0062地块</t>
  </si>
  <si>
    <t xml:space="preserve"> B2商务用地用地  </t>
  </si>
  <si>
    <t xml:space="preserve"> 北京万科企业有限公司  </t>
  </si>
  <si>
    <t>海淀北部地区整体开发中关村永丰产业基地HD-0402-0078地块B2商务用地</t>
  </si>
  <si>
    <t xml:space="preserve"> 中关村发展集团股份有限公司、北京中关村软件园发展有限责任公司联合体  </t>
  </si>
  <si>
    <t>住宅</t>
  </si>
  <si>
    <t>租金</t>
    <phoneticPr fontId="3" type="noConversion"/>
  </si>
  <si>
    <t>北京市商品房预售合同</t>
    <phoneticPr fontId="134" type="noConversion"/>
  </si>
  <si>
    <t>楼层</t>
    <phoneticPr fontId="134" type="noConversion"/>
  </si>
  <si>
    <t>房号</t>
    <phoneticPr fontId="134" type="noConversion"/>
  </si>
  <si>
    <t>建筑面积</t>
    <phoneticPr fontId="134" type="noConversion"/>
  </si>
  <si>
    <t>套内</t>
    <phoneticPr fontId="134" type="noConversion"/>
  </si>
  <si>
    <t>套内单价</t>
    <phoneticPr fontId="134" type="noConversion"/>
  </si>
  <si>
    <t>层高</t>
    <phoneticPr fontId="134" type="noConversion"/>
  </si>
  <si>
    <t>建面单价</t>
    <phoneticPr fontId="134" type="noConversion"/>
  </si>
  <si>
    <t>签订时间</t>
    <phoneticPr fontId="134" type="noConversion"/>
  </si>
  <si>
    <r>
      <t>F</t>
    </r>
    <r>
      <rPr>
        <sz val="11"/>
        <color theme="1"/>
        <rFont val="宋体"/>
        <family val="3"/>
        <charset val="134"/>
        <scheme val="minor"/>
      </rPr>
      <t>02地块</t>
    </r>
    <phoneticPr fontId="134" type="noConversion"/>
  </si>
  <si>
    <t>规划建面</t>
    <phoneticPr fontId="134" type="noConversion"/>
  </si>
  <si>
    <t>北京开元和安投资管理有限公司</t>
    <phoneticPr fontId="134" type="noConversion"/>
  </si>
  <si>
    <t>京（2019）丰不动产权第0017458号</t>
  </si>
  <si>
    <t>京（2019）丰不动产权第0017292号</t>
  </si>
  <si>
    <t>京（2019）丰不动产权第0017293号</t>
  </si>
  <si>
    <t>京（2019）丰不动产权第0017594号</t>
  </si>
  <si>
    <t>京（2019）丰不动产权第0017286号</t>
  </si>
  <si>
    <t>京（2019）丰不动产权第0017284号</t>
  </si>
  <si>
    <t>京（2019）丰不动产权第0017287号</t>
  </si>
  <si>
    <t>京（2019）丰不动产权第0017431号</t>
  </si>
  <si>
    <t>京（2019）丰不动产权第0017285号</t>
  </si>
  <si>
    <t>京（2019）丰不动产权第0017288号</t>
  </si>
  <si>
    <t>京（2019）丰不动产权第0017283号</t>
  </si>
  <si>
    <t>京（2019）丰不动产权第0017432号</t>
  </si>
  <si>
    <t>京（2019）丰不动产权第0017291号</t>
  </si>
  <si>
    <t>京（2019）丰不动产权第0017596号</t>
  </si>
  <si>
    <t>京（2019）丰不动产权第0017289号</t>
  </si>
  <si>
    <t>京（2019）丰不动产权第0017601号</t>
  </si>
  <si>
    <t>京（2019）丰不动产权第0017435号</t>
  </si>
  <si>
    <t>京（2019）丰不动产权第0017592号</t>
  </si>
  <si>
    <t>京（2019）丰不动产权第0017434号</t>
  </si>
  <si>
    <t>京（2019）丰不动产权第0017433号</t>
  </si>
  <si>
    <t>京（2019）丰不动产权第0017436号</t>
  </si>
  <si>
    <t>京（2019）丰不动产权第0017438号</t>
  </si>
  <si>
    <t>京（2019）丰不动产权第0017439号</t>
  </si>
  <si>
    <t>京（2019）丰不动产权第0017440号</t>
  </si>
  <si>
    <t>京（2019）丰不动产权第0017456号</t>
  </si>
  <si>
    <t>丰台区丽泽路16号院1号楼1至5层101</t>
  </si>
  <si>
    <t>丰台区丽泽路16号院1号楼3至5层404</t>
  </si>
  <si>
    <t>丰台区丽泽路16号院1号楼4层402</t>
  </si>
  <si>
    <t>丰台区丽泽路16号院1号楼-1层-102</t>
  </si>
  <si>
    <t>丰台区丽泽路16号院1号楼1层104</t>
  </si>
  <si>
    <t>丰台区丽泽路16号院1号楼-1层-103</t>
  </si>
  <si>
    <t>丰台区丽泽路16号院1号楼2层201</t>
  </si>
  <si>
    <t>丰台区丽泽路16号院1号楼-2层-202</t>
  </si>
  <si>
    <t>丰台区丽泽路16号院1号楼1至5层105</t>
  </si>
  <si>
    <t>丰台区丽泽路16号院1号楼1层102</t>
  </si>
  <si>
    <t>丰台区丽泽路16号院1号楼-1层-104</t>
  </si>
  <si>
    <t>丰台区丽泽路16号院1号楼-2至-1层-105</t>
  </si>
  <si>
    <t>丰台区丽泽路16号院1号楼5层501</t>
  </si>
  <si>
    <t>丰台区丽泽路16号院1号楼-2层-201</t>
  </si>
  <si>
    <t>丰台区丽泽路16号院1号楼5层502</t>
  </si>
  <si>
    <t>丰台区丽泽路16号院1号楼4层403</t>
  </si>
  <si>
    <t>丰台区丽泽路16号院1号楼4层401</t>
  </si>
  <si>
    <t>丰台区丽泽路16号院1号楼-2至-1层-101</t>
  </si>
  <si>
    <t>丰台区丽泽路16号院1号楼3层301</t>
  </si>
  <si>
    <t>丰台区丽泽路16号院1号楼3层303</t>
  </si>
  <si>
    <t>丰台区丽泽路16号院1号楼3层302</t>
  </si>
  <si>
    <t>丰台区丽泽路16号院1号楼2层202</t>
  </si>
  <si>
    <t>丰台区丽泽路16号院1号楼2层203</t>
  </si>
  <si>
    <t>丰台区丽泽路16号院1号楼2层204</t>
  </si>
  <si>
    <t>丰台区丽泽路16号院1号楼1层103</t>
  </si>
  <si>
    <r>
      <t>6（</t>
    </r>
    <r>
      <rPr>
        <sz val="11"/>
        <color theme="1"/>
        <rFont val="宋体"/>
        <family val="3"/>
        <charset val="134"/>
        <scheme val="minor"/>
      </rPr>
      <t>-4）</t>
    </r>
    <phoneticPr fontId="134" type="noConversion"/>
  </si>
  <si>
    <t>成本比率</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</si>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</sst>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rgb="FF9C0006"/>
      <name val="宋体"/>
      <family val="3"/>
      <charset val="134"/>
      <scheme val="minor"/>
    </font>
    <font>
      <sz val="11"/>
      <color rgb="FF006100"/>
      <name val="宋体"/>
      <family val="3"/>
      <charset val="134"/>
      <scheme val="minor"/>
    </font>
    <font>
      <sz val="11"/>
      <color theme="1"/>
      <name val="Arial Unicode MS"/>
      <family val="2"/>
      <charset val="134"/>
    </font>
    <font>
      <b/>
      <sz val="11"/>
      <color theme="1"/>
      <name val="Arial Unicode MS"/>
      <family val="2"/>
      <charset val="134"/>
    </font>
    <font>
      <sz val="11"/>
      <color theme="1"/>
      <name val="华文细黑"/>
      <family val="3"/>
      <charset val="134"/>
    </font>
    <font>
      <b/>
      <sz val="11"/>
      <color theme="1"/>
      <name val="华文细黑"/>
      <family val="3"/>
      <charset val="134"/>
    </font>
    <font>
      <sz val="12"/>
      <color theme="1"/>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C7CE"/>
        <bgColor indexed="64"/>
      </patternFill>
    </fill>
    <fill>
      <patternFill patternType="solid">
        <fgColor rgb="FFC6EFCE"/>
        <bgColor indexed="64"/>
      </patternFill>
    </fill>
    <fill>
      <patternFill patternType="solid">
        <fgColor theme="9" tint="0.59999389629810485"/>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270" fillId="23" borderId="0" applyNumberFormat="0" applyBorder="0" applyAlignment="0" applyProtection="0">
      <alignment vertical="center"/>
    </xf>
    <xf numFmtId="0" fontId="271" fillId="24" borderId="0" applyNumberFormat="0" applyBorder="0" applyAlignment="0" applyProtection="0">
      <alignment vertical="center"/>
    </xf>
    <xf numFmtId="9" fontId="95" fillId="0" borderId="0" applyFont="0" applyFill="0" applyBorder="0" applyAlignment="0" applyProtection="0">
      <alignment vertical="center"/>
    </xf>
    <xf numFmtId="0" fontId="276" fillId="0" borderId="0"/>
  </cellStyleXfs>
  <cellXfs count="38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95" fillId="0" borderId="0" xfId="0" applyNumberFormat="1" applyFont="1">
      <alignment vertical="center"/>
    </xf>
    <xf numFmtId="49" fontId="0" fillId="0" borderId="0" xfId="0" applyNumberFormat="1">
      <alignment vertical="center"/>
    </xf>
    <xf numFmtId="0" fontId="95" fillId="0" borderId="0" xfId="10" applyFill="1" applyAlignment="1">
      <alignment horizontal="center" vertical="center"/>
    </xf>
    <xf numFmtId="14" fontId="95" fillId="0" borderId="0" xfId="10" applyNumberFormat="1" applyFill="1" applyAlignment="1">
      <alignment horizontal="center" vertical="center"/>
    </xf>
    <xf numFmtId="0" fontId="95" fillId="0" borderId="0" xfId="10" applyNumberFormat="1" applyFill="1" applyAlignment="1">
      <alignment horizontal="center" vertical="center"/>
    </xf>
    <xf numFmtId="196" fontId="0" fillId="0" borderId="0" xfId="19" applyNumberFormat="1" applyFont="1" applyFill="1" applyAlignment="1">
      <alignment horizontal="center" vertical="center"/>
    </xf>
    <xf numFmtId="196" fontId="95" fillId="0" borderId="0" xfId="10" applyNumberFormat="1" applyFill="1" applyAlignment="1">
      <alignment horizontal="center" vertical="center"/>
    </xf>
    <xf numFmtId="1" fontId="95" fillId="0" borderId="0" xfId="10" applyNumberFormat="1" applyFill="1" applyAlignment="1">
      <alignment horizontal="center" vertical="center"/>
    </xf>
    <xf numFmtId="49" fontId="58" fillId="0" borderId="1" xfId="8" applyNumberFormat="1" applyFont="1" applyFill="1" applyBorder="1" applyAlignment="1" applyProtection="1">
      <alignment horizontal="center" vertical="center" wrapText="1"/>
      <protection locked="0"/>
    </xf>
    <xf numFmtId="49" fontId="53" fillId="0" borderId="1" xfId="0" applyNumberFormat="1" applyFont="1" applyBorder="1" applyAlignment="1" applyProtection="1">
      <alignment vertical="center" wrapText="1"/>
      <protection locked="0"/>
    </xf>
    <xf numFmtId="0" fontId="272" fillId="0" borderId="0" xfId="10" applyFont="1">
      <alignment vertical="center"/>
    </xf>
    <xf numFmtId="0" fontId="95" fillId="0" borderId="0" xfId="10">
      <alignment vertical="center"/>
    </xf>
    <xf numFmtId="14" fontId="272" fillId="0" borderId="0" xfId="10" applyNumberFormat="1" applyFont="1" applyAlignment="1">
      <alignment horizontal="left" vertical="center"/>
    </xf>
    <xf numFmtId="0" fontId="272" fillId="0" borderId="0" xfId="10" applyNumberFormat="1" applyFont="1" applyAlignment="1">
      <alignment horizontal="left" vertical="center"/>
    </xf>
    <xf numFmtId="0" fontId="273" fillId="0" borderId="0" xfId="10" applyFont="1">
      <alignment vertical="center"/>
    </xf>
    <xf numFmtId="0" fontId="273" fillId="0" borderId="0" xfId="10" applyNumberFormat="1" applyFont="1" applyAlignment="1">
      <alignment horizontal="left" vertical="center"/>
    </xf>
    <xf numFmtId="0" fontId="274" fillId="0" borderId="1" xfId="10" applyNumberFormat="1" applyFont="1" applyBorder="1">
      <alignment vertical="center"/>
    </xf>
    <xf numFmtId="0" fontId="274" fillId="25" borderId="1" xfId="10" applyNumberFormat="1" applyFont="1" applyFill="1" applyBorder="1" applyAlignment="1">
      <alignment horizontal="left" vertical="center"/>
    </xf>
    <xf numFmtId="49" fontId="274" fillId="25" borderId="1" xfId="10" applyNumberFormat="1" applyFont="1" applyFill="1" applyBorder="1" applyAlignment="1">
      <alignment horizontal="left" vertical="center"/>
    </xf>
    <xf numFmtId="0" fontId="274" fillId="0" borderId="1" xfId="10" applyNumberFormat="1" applyFont="1" applyBorder="1" applyAlignment="1">
      <alignment horizontal="left" vertical="center"/>
    </xf>
    <xf numFmtId="10" fontId="0" fillId="0" borderId="0" xfId="22" applyNumberFormat="1" applyFont="1">
      <alignment vertical="center"/>
    </xf>
    <xf numFmtId="0" fontId="274" fillId="0" borderId="1" xfId="10" applyNumberFormat="1" applyFont="1" applyFill="1" applyBorder="1" applyAlignment="1">
      <alignment horizontal="left" vertical="center"/>
    </xf>
    <xf numFmtId="49" fontId="274" fillId="0" borderId="1" xfId="10" applyNumberFormat="1" applyFont="1" applyFill="1" applyBorder="1" applyAlignment="1">
      <alignment horizontal="left" vertical="center"/>
    </xf>
    <xf numFmtId="10" fontId="0" fillId="0" borderId="0" xfId="22" applyNumberFormat="1" applyFont="1" applyFill="1">
      <alignment vertical="center"/>
    </xf>
    <xf numFmtId="0" fontId="95" fillId="0" borderId="0" xfId="10" applyFill="1">
      <alignment vertical="center"/>
    </xf>
    <xf numFmtId="49" fontId="274" fillId="0" borderId="1" xfId="10" applyNumberFormat="1" applyFont="1" applyBorder="1" applyAlignment="1">
      <alignment horizontal="left" vertical="center"/>
    </xf>
    <xf numFmtId="197" fontId="274" fillId="0" borderId="1" xfId="10" applyNumberFormat="1" applyFont="1" applyBorder="1" applyAlignment="1">
      <alignment horizontal="left" vertical="center"/>
    </xf>
    <xf numFmtId="0" fontId="275" fillId="0" borderId="1" xfId="10" applyNumberFormat="1" applyFont="1" applyBorder="1" applyAlignment="1">
      <alignment horizontal="left" vertical="center"/>
    </xf>
    <xf numFmtId="49" fontId="275" fillId="0" borderId="1" xfId="10" applyNumberFormat="1" applyFont="1" applyBorder="1" applyAlignment="1">
      <alignment horizontal="left" vertical="center"/>
    </xf>
    <xf numFmtId="0" fontId="96" fillId="0" borderId="0" xfId="10" applyFont="1">
      <alignment vertical="center"/>
    </xf>
    <xf numFmtId="10" fontId="274" fillId="0" borderId="1" xfId="22" applyNumberFormat="1" applyFont="1" applyBorder="1" applyAlignment="1">
      <alignment horizontal="left" vertical="center"/>
    </xf>
    <xf numFmtId="0" fontId="95" fillId="0" borderId="0" xfId="10" applyFont="1" applyAlignment="1">
      <alignment horizontal="left" vertical="center"/>
    </xf>
    <xf numFmtId="0" fontId="95" fillId="0" borderId="0" xfId="10" applyAlignment="1">
      <alignment horizontal="left" vertical="center"/>
    </xf>
    <xf numFmtId="0" fontId="274" fillId="0" borderId="5" xfId="10" applyNumberFormat="1" applyFont="1" applyBorder="1" applyAlignment="1">
      <alignment vertical="center"/>
    </xf>
    <xf numFmtId="0" fontId="274" fillId="26" borderId="1" xfId="10" applyNumberFormat="1" applyFont="1" applyFill="1" applyBorder="1" applyAlignment="1">
      <alignment horizontal="left" vertical="center"/>
    </xf>
    <xf numFmtId="0" fontId="95" fillId="0" borderId="0" xfId="10" applyFont="1">
      <alignment vertical="center"/>
    </xf>
    <xf numFmtId="181" fontId="274" fillId="0" borderId="1" xfId="22" applyNumberFormat="1" applyFont="1" applyBorder="1" applyAlignment="1">
      <alignment horizontal="left" vertical="center"/>
    </xf>
    <xf numFmtId="9" fontId="274" fillId="0" borderId="1" xfId="10" applyNumberFormat="1" applyFont="1" applyBorder="1" applyAlignment="1">
      <alignment horizontal="left" vertical="center"/>
    </xf>
    <xf numFmtId="197" fontId="95" fillId="0" borderId="0" xfId="10" applyNumberFormat="1">
      <alignment vertical="center"/>
    </xf>
    <xf numFmtId="10" fontId="274" fillId="0" borderId="1" xfId="10" applyNumberFormat="1" applyFont="1" applyBorder="1" applyAlignment="1">
      <alignment horizontal="left" vertical="center"/>
    </xf>
    <xf numFmtId="0" fontId="274" fillId="0" borderId="0" xfId="10" applyNumberFormat="1" applyFont="1" applyBorder="1" applyAlignment="1">
      <alignment horizontal="left" vertical="center"/>
    </xf>
    <xf numFmtId="0" fontId="274" fillId="0" borderId="0" xfId="10" applyNumberFormat="1" applyFont="1" applyBorder="1" applyAlignment="1">
      <alignment horizontal="left" vertical="center" wrapText="1"/>
    </xf>
    <xf numFmtId="1" fontId="95" fillId="0" borderId="0" xfId="10" applyNumberFormat="1">
      <alignment vertical="center"/>
    </xf>
    <xf numFmtId="0" fontId="95" fillId="26" borderId="0" xfId="10" applyFill="1">
      <alignment vertical="center"/>
    </xf>
    <xf numFmtId="9" fontId="95" fillId="0" borderId="0" xfId="17" applyFont="1">
      <alignment vertical="center"/>
    </xf>
    <xf numFmtId="9" fontId="95" fillId="0" borderId="0" xfId="10" applyNumberFormat="1">
      <alignment vertical="center"/>
    </xf>
    <xf numFmtId="10" fontId="95" fillId="0" borderId="0" xfId="10" applyNumberFormat="1">
      <alignment vertical="center"/>
    </xf>
    <xf numFmtId="181" fontId="95" fillId="0" borderId="0" xfId="17" applyNumberFormat="1" applyFont="1">
      <alignment vertical="center"/>
    </xf>
    <xf numFmtId="2" fontId="95" fillId="0" borderId="0" xfId="10" applyNumberFormat="1">
      <alignment vertical="center"/>
    </xf>
    <xf numFmtId="10" fontId="95" fillId="0" borderId="0" xfId="17" applyNumberFormat="1" applyFont="1">
      <alignment vertical="center"/>
    </xf>
    <xf numFmtId="0" fontId="77" fillId="0" borderId="0" xfId="0" applyFont="1" applyAlignment="1" applyProtection="1">
      <alignment vertical="center"/>
      <protection locked="0"/>
    </xf>
    <xf numFmtId="49" fontId="47" fillId="0" borderId="0" xfId="0" applyNumberFormat="1" applyFont="1" applyAlignment="1" applyProtection="1">
      <alignment vertical="center"/>
      <protection locked="0"/>
    </xf>
    <xf numFmtId="49" fontId="47" fillId="12" borderId="0" xfId="0" applyNumberFormat="1" applyFont="1" applyFill="1" applyAlignment="1" applyProtection="1">
      <alignment vertical="center"/>
      <protection locked="0"/>
    </xf>
    <xf numFmtId="0" fontId="276" fillId="0" borderId="0" xfId="23" applyNumberFormat="1"/>
    <xf numFmtId="14" fontId="276" fillId="0" borderId="0" xfId="23" applyNumberFormat="1"/>
    <xf numFmtId="1" fontId="54" fillId="0" borderId="34" xfId="4" applyNumberFormat="1" applyFont="1" applyFill="1" applyBorder="1" applyAlignment="1" applyProtection="1">
      <alignment horizontal="left" vertical="center"/>
      <protection locked="0"/>
    </xf>
    <xf numFmtId="0" fontId="95" fillId="5" borderId="0" xfId="10" applyFill="1" applyAlignment="1">
      <alignment horizontal="center" vertical="center"/>
    </xf>
    <xf numFmtId="14" fontId="95" fillId="5" borderId="0" xfId="10" applyNumberFormat="1" applyFill="1" applyAlignment="1">
      <alignment horizontal="center" vertical="center"/>
    </xf>
    <xf numFmtId="0" fontId="95" fillId="5" borderId="0" xfId="10" applyNumberFormat="1" applyFill="1" applyAlignment="1">
      <alignment horizontal="center" vertical="center"/>
    </xf>
    <xf numFmtId="196" fontId="0" fillId="5" borderId="0" xfId="19" applyNumberFormat="1" applyFont="1" applyFill="1" applyAlignment="1">
      <alignment horizontal="center" vertical="center"/>
    </xf>
    <xf numFmtId="43" fontId="95" fillId="0" borderId="0" xfId="10" applyNumberFormat="1" applyFill="1" applyAlignment="1">
      <alignment horizontal="center" vertical="center"/>
    </xf>
    <xf numFmtId="0" fontId="95" fillId="0" borderId="1" xfId="0" applyFont="1" applyBorder="1">
      <alignment vertical="center"/>
    </xf>
    <xf numFmtId="49" fontId="95" fillId="0" borderId="1" xfId="0" applyNumberFormat="1" applyFont="1" applyBorder="1">
      <alignment vertical="center"/>
    </xf>
    <xf numFmtId="0" fontId="0" fillId="0" borderId="1" xfId="0"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95" fillId="0" borderId="1" xfId="0" applyFont="1" applyBorder="1" applyAlignment="1">
      <alignment horizontal="center" vertical="center"/>
    </xf>
  </cellXfs>
  <cellStyles count="24">
    <cellStyle name="百分比" xfId="17" builtinId="5"/>
    <cellStyle name="百分比 2" xfId="14"/>
    <cellStyle name="百分比 3" xfId="22"/>
    <cellStyle name="差_RESULTS" xfId="20"/>
    <cellStyle name="常规" xfId="0" builtinId="0"/>
    <cellStyle name="常规 10" xfId="23"/>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_RESULTS" xfId="21"/>
    <cellStyle name="千位分隔 2" xfId="19"/>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0854;&#20182;&#22825;&#34903;&#27979;&#31639;/&#20134;&#24196;&#40857;&#28246;-&#21608;&#24420;-&#25442;&#27604;&#36739;&#27861;&#39640;&#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42;&#32771;&#20854;&#20182;&#22825;&#34903;&#27979;&#31639;/&#20134;&#24196;&#40857;&#28246;-&#21608;&#24420;-&#39640;&#35843;%20-%20&#21103;&#264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442;&#32771;&#20854;&#20182;&#22825;&#34903;&#27979;&#31639;/&#21442;&#32771;&#20854;&#20182;&#22825;&#34903;&#27979;&#31639;/&#39318;&#24320;&#40857;&#28246;&#29081;&#24742;&#22825;&#34903;44&#22320;&#22359;7&#21495;&#27004;9.21-&#29579;&#36229;&#23731;20221216-1536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442;&#32771;&#20854;&#20182;&#22825;&#34903;&#27979;&#31639;/&#21442;&#32771;&#20854;&#20182;&#22825;&#34903;&#27979;&#31639;/&#32467;&#26524;/&#39318;&#24320;&#40857;&#28246;&#29081;&#24742;&#22825;&#34903;47&#22320;&#22359;8&#21495;&#27004;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基准地价修正办</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3">
          <cell r="I13">
            <v>83916.17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8275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8824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北京市丰台区丽泽路16号院1号楼房地产市场价值预评估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受贵公司委托，我公司对北京市丰台区丽泽路16号院1号楼房地产市场价值进行了预评估。</v>
      </c>
    </row>
    <row r="7" spans="1:2" s="1203" customFormat="1">
      <c r="A7" s="1201" t="s">
        <v>566</v>
      </c>
      <c r="B7" s="1202" t="str">
        <f>'预评函-1'!A7</f>
        <v>估价对象为北京市丰台区丽泽路16号院1号楼房地产，为北京开元和安投资管理有限公司所有。根据《国有土地使用证》[]，估价对象（分摊）出让国有建设用地使用权面积为0平方米，建筑面积为103889.93平方米。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丽泽路16号院1号楼房地产,属北京开元和安投资管理有限公司开发建设的商业项目，该项目尚在开发建设中。根据《国有土地使用证》[]，估价对象（分摊）出让国有建设用地使用权面积为0平方米，规划建筑面积为103889.93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丽泽路16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2023年10月11日（评估专业人员实地查勘之日）</v>
      </c>
    </row>
    <row r="13" spans="1:2" s="1203" customFormat="1">
      <c r="A13" s="1201" t="s">
        <v>529</v>
      </c>
      <c r="B13" s="1202"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269287</v>
      </c>
    </row>
    <row r="21" spans="1:2" s="1203" customFormat="1">
      <c r="A21" s="1201" t="s">
        <v>537</v>
      </c>
      <c r="B21" s="1202">
        <f ca="1">'预评函-2'!D7</f>
        <v>25920</v>
      </c>
    </row>
    <row r="22" spans="1:2" s="1203" customFormat="1">
      <c r="A22" s="1201" t="s">
        <v>538</v>
      </c>
      <c r="B22" s="1202" t="str">
        <f ca="1">'预评函-2'!D6</f>
        <v>贰拾陆亿玖仟贰佰捌拾柒万元整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269287</v>
      </c>
    </row>
    <row r="31" spans="1:2" s="1203" customFormat="1">
      <c r="A31" s="1201" t="s">
        <v>576</v>
      </c>
      <c r="B31" s="1202">
        <f ca="1">'预评函-2'!D15</f>
        <v>25920</v>
      </c>
    </row>
    <row r="32" spans="1:2" s="1203" customFormat="1">
      <c r="A32" s="1201" t="s">
        <v>543</v>
      </c>
      <c r="B32" s="1202" t="str">
        <f ca="1">'预评函-2'!D14</f>
        <v>贰拾陆亿玖仟贰佰捌拾柒万元整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北京市丰台区丽泽路16号院1号楼房地产</v>
      </c>
    </row>
    <row r="42" spans="1:2" s="1203" customFormat="1">
      <c r="A42" s="1201" t="s">
        <v>590</v>
      </c>
      <c r="B42" s="1202" t="str">
        <f>'预评函-3'!B2</f>
        <v>建筑面积</v>
      </c>
    </row>
    <row r="43" spans="1:2" s="1203" customFormat="1">
      <c r="A43" s="1201" t="s">
        <v>591</v>
      </c>
      <c r="B43" s="1202">
        <f>'预评函-3'!B4</f>
        <v>103889.93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200619</v>
      </c>
    </row>
    <row r="48" spans="1:2" s="1203" customFormat="1">
      <c r="A48" s="1201" t="s">
        <v>549</v>
      </c>
      <c r="B48" s="1202">
        <f ca="1">'预评函-3'!E4</f>
        <v>19310</v>
      </c>
    </row>
    <row r="49" spans="1:2" s="1203" customFormat="1">
      <c r="A49" s="1201" t="s">
        <v>550</v>
      </c>
      <c r="B49" s="1202" t="str">
        <f ca="1">'预评函-3'!D5</f>
        <v>贰拾亿零陆佰壹拾玖万元整</v>
      </c>
    </row>
    <row r="50" spans="1:2" s="1203" customFormat="1">
      <c r="A50" s="1201" t="s">
        <v>574</v>
      </c>
      <c r="B50" s="1202" t="str">
        <f>'预评函-3'!F2</f>
        <v>在建建筑物价值</v>
      </c>
    </row>
    <row r="51" spans="1:2" s="1203" customFormat="1">
      <c r="A51" s="1201" t="s">
        <v>551</v>
      </c>
      <c r="B51" s="1202">
        <f ca="1">'预评函-3'!F4</f>
        <v>68668</v>
      </c>
    </row>
    <row r="52" spans="1:2" s="1203" customFormat="1">
      <c r="A52" s="1201" t="s">
        <v>552</v>
      </c>
      <c r="B52" s="1202">
        <f ca="1">'预评函-3'!G4</f>
        <v>6610</v>
      </c>
    </row>
    <row r="53" spans="1:2" s="1203" customFormat="1">
      <c r="A53" s="1201" t="s">
        <v>580</v>
      </c>
      <c r="B53" s="1202" t="str">
        <f ca="1">'预评函-3'!F5</f>
        <v>陆亿捌仟陆佰陆拾捌万元整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2567</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2568</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2279</v>
      </c>
      <c r="C17" s="1547"/>
    </row>
    <row r="18" spans="1:3">
      <c r="A18" s="1546" t="s">
        <v>1046</v>
      </c>
      <c r="B18" s="1546" t="s">
        <v>2423</v>
      </c>
      <c r="C18" s="1547"/>
    </row>
    <row r="19" spans="1:3">
      <c r="A19" s="1546" t="s">
        <v>1047</v>
      </c>
      <c r="B19" s="1546" t="s">
        <v>3726</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丽泽路16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1554" t="s">
        <v>385</v>
      </c>
      <c r="C54" s="1551" t="s">
        <v>583</v>
      </c>
    </row>
    <row r="55" spans="1:4">
      <c r="A55" s="3580"/>
      <c r="B55" s="1554" t="s">
        <v>386</v>
      </c>
      <c r="C55" s="1551" t="s">
        <v>584</v>
      </c>
    </row>
    <row r="56" spans="1:4">
      <c r="A56" s="3580"/>
      <c r="B56" s="1554" t="s">
        <v>387</v>
      </c>
      <c r="C56" s="1551" t="s">
        <v>588</v>
      </c>
    </row>
    <row r="57" spans="1:4">
      <c r="A57" s="358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2490</v>
      </c>
      <c r="B1" s="3006"/>
      <c r="C1" s="3006"/>
      <c r="D1" s="3006"/>
      <c r="E1" s="3006"/>
      <c r="F1" s="3007"/>
      <c r="I1" s="3429" t="s">
        <v>2583</v>
      </c>
      <c r="J1" s="3218"/>
      <c r="K1" s="3218"/>
      <c r="L1" s="3218"/>
      <c r="M1" s="3218"/>
      <c r="N1" s="3430"/>
      <c r="O1" s="3430"/>
      <c r="P1" s="3430"/>
      <c r="Q1" s="3430"/>
      <c r="R1" s="3430"/>
    </row>
    <row r="2" spans="1:18">
      <c r="A2" s="3009"/>
      <c r="B2" s="3010"/>
      <c r="C2" s="3010"/>
      <c r="D2" s="3010"/>
      <c r="E2" s="3010"/>
      <c r="F2" s="3011"/>
      <c r="I2" s="3581" t="s">
        <v>2570</v>
      </c>
      <c r="J2" s="3581"/>
      <c r="K2" s="3581"/>
      <c r="L2" s="3581"/>
      <c r="M2" s="3581"/>
      <c r="N2" s="3581"/>
      <c r="O2" s="3581"/>
      <c r="P2" s="3581"/>
      <c r="Q2" s="3581"/>
      <c r="R2" s="3581"/>
    </row>
    <row r="3" spans="1:18">
      <c r="A3" s="3012" t="s">
        <v>2491</v>
      </c>
      <c r="B3" s="3013">
        <f>项目基本情况!D3</f>
        <v>45210</v>
      </c>
      <c r="C3" s="3015"/>
      <c r="D3" s="3015"/>
      <c r="E3" s="3015"/>
      <c r="F3" s="3011"/>
      <c r="I3" s="3431"/>
      <c r="J3" s="3431" t="s">
        <v>2574</v>
      </c>
      <c r="K3" s="3431" t="s">
        <v>2575</v>
      </c>
      <c r="L3" s="3431" t="s">
        <v>2576</v>
      </c>
      <c r="M3" s="3431" t="s">
        <v>2577</v>
      </c>
      <c r="N3" s="3432" t="s">
        <v>2578</v>
      </c>
      <c r="O3" s="3432" t="s">
        <v>2579</v>
      </c>
      <c r="P3" s="3432" t="s">
        <v>2580</v>
      </c>
      <c r="Q3" s="3432" t="s">
        <v>2581</v>
      </c>
      <c r="R3" s="3432" t="s">
        <v>2582</v>
      </c>
    </row>
    <row r="4" spans="1:18">
      <c r="A4" s="3012" t="s">
        <v>2492</v>
      </c>
      <c r="B4" s="3015" t="s">
        <v>2493</v>
      </c>
      <c r="C4" s="3015" t="s">
        <v>2494</v>
      </c>
      <c r="D4" s="3015" t="s">
        <v>2495</v>
      </c>
      <c r="E4" s="3015" t="s">
        <v>2496</v>
      </c>
      <c r="F4" s="3011"/>
      <c r="I4" s="3431" t="s">
        <v>2571</v>
      </c>
      <c r="J4" s="3431">
        <v>80</v>
      </c>
      <c r="K4" s="3431">
        <v>70</v>
      </c>
      <c r="L4" s="3431">
        <v>20</v>
      </c>
      <c r="M4" s="3431">
        <v>30</v>
      </c>
      <c r="N4" s="3015">
        <v>45</v>
      </c>
      <c r="O4" s="3015">
        <v>60</v>
      </c>
      <c r="P4" s="3015">
        <v>50</v>
      </c>
      <c r="Q4" s="3015">
        <v>20</v>
      </c>
      <c r="R4" s="3015">
        <v>375</v>
      </c>
    </row>
    <row r="5" spans="1:18">
      <c r="A5" s="3016">
        <v>40</v>
      </c>
      <c r="B5" s="3013">
        <v>46375</v>
      </c>
      <c r="C5" s="3015">
        <f>ROUNDDOWN(MIN((B5-B3)/365,A5),2)</f>
        <v>3.19</v>
      </c>
      <c r="D5" s="3017">
        <f>IF(ISERROR(ROUND(POWER(1+E5,A5-C5)*(POWER(1+E5,C5)-1)/(POWER(1+E5,A5)-1),3)),0,ROUND(POWER(1+E5,A5-C5)*(POWER(1+E5,C5)-1)/(POWER(1+E5,A5)-1),4))</f>
        <v>0.14849999999999999</v>
      </c>
      <c r="E5" s="3018">
        <v>0.04</v>
      </c>
      <c r="F5" s="3011"/>
      <c r="I5" s="3431" t="s">
        <v>2572</v>
      </c>
      <c r="J5" s="3431">
        <v>70</v>
      </c>
      <c r="K5" s="3431">
        <v>60</v>
      </c>
      <c r="L5" s="3431">
        <v>15</v>
      </c>
      <c r="M5" s="3431">
        <v>25</v>
      </c>
      <c r="N5" s="3015">
        <v>40</v>
      </c>
      <c r="O5" s="3015">
        <v>50</v>
      </c>
      <c r="P5" s="3015">
        <v>40</v>
      </c>
      <c r="Q5" s="3015">
        <v>15</v>
      </c>
      <c r="R5" s="3015">
        <v>315</v>
      </c>
    </row>
    <row r="6" spans="1:18">
      <c r="A6" s="3016">
        <v>50</v>
      </c>
      <c r="B6" s="3013">
        <v>50028</v>
      </c>
      <c r="C6" s="3015">
        <f>ROUNDDOWN(MIN((B6-B3)/365,A6),2)</f>
        <v>13.2</v>
      </c>
      <c r="D6" s="3017">
        <f>IF(ISERROR(ROUND(POWER(1+E6,A6-C6)*(POWER(1+E6,C6)-1)/(POWER(1+E6,A6)-1),3)),0,ROUND(POWER(1+E6,A6-C6)*(POWER(1+E6,C6)-1)/(POWER(1+E6,A6)-1),4))</f>
        <v>0.4703</v>
      </c>
      <c r="E6" s="3018">
        <v>0.04</v>
      </c>
      <c r="F6" s="3011"/>
      <c r="I6" s="3431" t="s">
        <v>2573</v>
      </c>
      <c r="J6" s="3431">
        <v>60</v>
      </c>
      <c r="K6" s="3431">
        <v>50</v>
      </c>
      <c r="L6" s="3431">
        <v>10</v>
      </c>
      <c r="M6" s="3431">
        <v>20</v>
      </c>
      <c r="N6" s="3015">
        <v>35</v>
      </c>
      <c r="O6" s="3015">
        <v>40</v>
      </c>
      <c r="P6" s="3015">
        <v>30</v>
      </c>
      <c r="Q6" s="3015">
        <v>10</v>
      </c>
      <c r="R6" s="3015">
        <v>255</v>
      </c>
    </row>
    <row r="7" spans="1:18">
      <c r="A7" s="3016">
        <v>70</v>
      </c>
      <c r="B7" s="3013">
        <v>57333</v>
      </c>
      <c r="C7" s="3015">
        <f>ROUNDDOWN(MIN((B7-B3)/365,A7),2)</f>
        <v>33.21</v>
      </c>
      <c r="D7" s="3017">
        <f>IF(ISERROR(ROUND(POWER(1+E7,A7-C7)*(POWER(1+E7,C7)-1)/(POWER(1+E7,A7)-1),3)),0,ROUND(POWER(1+E7,A7-C7)*(POWER(1+E7,C7)-1)/(POWER(1+E7,A7)-1),4))</f>
        <v>0.77810000000000001</v>
      </c>
      <c r="E7" s="3018">
        <v>0.04</v>
      </c>
      <c r="F7" s="3011"/>
    </row>
    <row r="8" spans="1:18">
      <c r="A8" s="3009"/>
      <c r="B8" s="3010"/>
      <c r="C8" s="3010"/>
      <c r="D8" s="3010"/>
      <c r="E8" s="3010"/>
      <c r="F8" s="3011"/>
    </row>
    <row r="9" spans="1:18">
      <c r="A9" s="3012" t="s">
        <v>2497</v>
      </c>
      <c r="B9" s="3015"/>
      <c r="C9" s="3015"/>
      <c r="D9" s="3015"/>
      <c r="E9" s="3015"/>
      <c r="F9" s="3019"/>
    </row>
    <row r="10" spans="1:18">
      <c r="A10" s="3012" t="s">
        <v>2498</v>
      </c>
      <c r="B10" s="3015"/>
      <c r="C10" s="3015"/>
      <c r="D10" s="3015" t="s">
        <v>2496</v>
      </c>
      <c r="E10" s="3015"/>
      <c r="F10" s="3019" t="s">
        <v>2495</v>
      </c>
    </row>
    <row r="11" spans="1:18">
      <c r="A11" s="3012" t="s">
        <v>2499</v>
      </c>
      <c r="B11" s="3020">
        <v>70</v>
      </c>
      <c r="C11" s="3015" t="s">
        <v>2500</v>
      </c>
      <c r="D11" s="3021">
        <v>4.4999999999999998E-2</v>
      </c>
      <c r="E11" s="3015" t="s">
        <v>2501</v>
      </c>
      <c r="F11" s="3022">
        <f>ROUND(1-(1/(POWER(1+D11,B11))),4)</f>
        <v>0.95409999999999995</v>
      </c>
    </row>
    <row r="12" spans="1:18">
      <c r="A12" s="3012" t="s">
        <v>2502</v>
      </c>
      <c r="B12" s="3020">
        <v>40</v>
      </c>
      <c r="C12" s="3015" t="s">
        <v>2503</v>
      </c>
      <c r="D12" s="3021">
        <v>4.4999999999999998E-2</v>
      </c>
      <c r="E12" s="3015" t="s">
        <v>2504</v>
      </c>
      <c r="F12" s="3022">
        <f>ROUND(1-(1/(POWER(1+D12,B12))),4)</f>
        <v>0.82809999999999995</v>
      </c>
    </row>
    <row r="13" spans="1:18">
      <c r="A13" s="3012" t="s">
        <v>2505</v>
      </c>
      <c r="B13" s="3015"/>
      <c r="C13" s="3015"/>
      <c r="D13" s="3010"/>
      <c r="E13" s="3010"/>
      <c r="F13" s="3011"/>
    </row>
    <row r="14" spans="1:18">
      <c r="A14" s="3012" t="s">
        <v>2506</v>
      </c>
      <c r="B14" s="3020">
        <v>5000</v>
      </c>
      <c r="C14" s="3014"/>
      <c r="D14" s="3010"/>
      <c r="E14" s="3010"/>
      <c r="F14" s="3011"/>
    </row>
    <row r="15" spans="1:18">
      <c r="A15" s="3012" t="s">
        <v>2507</v>
      </c>
      <c r="B15" s="3015">
        <f>ROUND(B14*F12/F11,2)</f>
        <v>4339.6899999999996</v>
      </c>
      <c r="C15" s="3015">
        <f>ROUND(F12/F11,4)</f>
        <v>0.8679</v>
      </c>
      <c r="D15" s="3010"/>
      <c r="E15" s="3010"/>
      <c r="F15" s="3011"/>
    </row>
    <row r="16" spans="1:18">
      <c r="A16" s="3012" t="s">
        <v>2508</v>
      </c>
      <c r="B16" s="3015"/>
      <c r="C16" s="3015"/>
      <c r="D16" s="3010"/>
      <c r="E16" s="3010"/>
      <c r="F16" s="3011"/>
    </row>
    <row r="17" spans="1:13">
      <c r="A17" s="3012" t="s">
        <v>2507</v>
      </c>
      <c r="B17" s="3021">
        <v>4810</v>
      </c>
      <c r="C17" s="3014"/>
      <c r="D17" s="3010"/>
      <c r="E17" s="3010"/>
      <c r="F17" s="3011"/>
    </row>
    <row r="18" spans="1:13" ht="14.25" thickBot="1">
      <c r="A18" s="3023" t="s">
        <v>2506</v>
      </c>
      <c r="B18" s="3024">
        <f>ROUND(B17*F11/F12,2)</f>
        <v>5541.87</v>
      </c>
      <c r="C18" s="3024">
        <f>ROUND(F11/F12,4)</f>
        <v>1.1521999999999999</v>
      </c>
      <c r="D18" s="3025"/>
      <c r="E18" s="3025"/>
      <c r="F18" s="3026"/>
    </row>
    <row r="19" spans="1:13" ht="14.25" thickBot="1"/>
    <row r="20" spans="1:13" s="3061" customFormat="1" ht="14.25" thickTop="1">
      <c r="A20" s="3058" t="s">
        <v>2509</v>
      </c>
      <c r="B20" s="3059"/>
      <c r="C20" s="3059"/>
      <c r="D20" s="3059"/>
      <c r="E20" s="3059"/>
      <c r="F20" s="3059"/>
      <c r="G20" s="3060"/>
      <c r="I20" s="3062" t="s">
        <v>2554</v>
      </c>
      <c r="J20" s="3062" t="s">
        <v>2559</v>
      </c>
      <c r="K20" s="3062"/>
      <c r="L20" s="3062"/>
      <c r="M20" s="3062"/>
    </row>
    <row r="21" spans="1:13">
      <c r="A21" s="3027"/>
      <c r="B21" s="3028" t="s">
        <v>2510</v>
      </c>
      <c r="C21" s="3028" t="s">
        <v>2511</v>
      </c>
      <c r="D21" s="3028" t="s">
        <v>2512</v>
      </c>
      <c r="E21" s="3028" t="s">
        <v>2513</v>
      </c>
      <c r="F21" s="3028" t="s">
        <v>2514</v>
      </c>
      <c r="G21" s="3029" t="s">
        <v>2515</v>
      </c>
      <c r="I21" s="3050">
        <v>5</v>
      </c>
      <c r="J21" s="3050">
        <v>54.2</v>
      </c>
    </row>
    <row r="22" spans="1:13">
      <c r="A22" s="3027" t="s">
        <v>2516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2557</v>
      </c>
      <c r="M23" s="3050" t="s">
        <v>2558</v>
      </c>
    </row>
    <row r="24" spans="1:13">
      <c r="A24" s="3027" t="s">
        <v>2518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2556</v>
      </c>
      <c r="M24" s="3050">
        <v>10</v>
      </c>
    </row>
    <row r="25" spans="1:13">
      <c r="A25" s="3027" t="s">
        <v>2519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2560</v>
      </c>
      <c r="M25" s="3050">
        <v>8</v>
      </c>
    </row>
    <row r="26" spans="1:13">
      <c r="A26" s="3032"/>
      <c r="B26" s="3033"/>
      <c r="C26" s="3033"/>
      <c r="D26" s="3033"/>
      <c r="E26" s="3033"/>
      <c r="F26" s="3033"/>
      <c r="G26" s="3034"/>
      <c r="I26" s="3050">
        <v>30</v>
      </c>
      <c r="J26" s="3050">
        <v>90.5</v>
      </c>
      <c r="K26" s="3050">
        <f t="shared" si="2"/>
        <v>4.2000000000000028</v>
      </c>
      <c r="L26" s="3050" t="s">
        <v>2561</v>
      </c>
      <c r="M26" s="3050">
        <v>5</v>
      </c>
    </row>
    <row r="27" spans="1:13">
      <c r="A27" s="3032" t="s">
        <v>2520</v>
      </c>
      <c r="B27" s="3033"/>
      <c r="C27" s="3033"/>
      <c r="D27" s="3033"/>
      <c r="E27" s="3033"/>
      <c r="F27" s="3033"/>
      <c r="G27" s="3034"/>
      <c r="I27" s="3050">
        <v>35</v>
      </c>
      <c r="J27" s="3050">
        <v>93.8</v>
      </c>
      <c r="K27" s="3050">
        <f t="shared" si="2"/>
        <v>3.2999999999999972</v>
      </c>
      <c r="L27" s="3050" t="s">
        <v>2562</v>
      </c>
      <c r="M27" s="3050">
        <v>3</v>
      </c>
    </row>
    <row r="28" spans="1:13">
      <c r="A28" s="3032" t="s">
        <v>2521</v>
      </c>
      <c r="B28" s="3033"/>
      <c r="C28" s="3033"/>
      <c r="D28" s="3033"/>
      <c r="E28" s="3033"/>
      <c r="F28" s="3033"/>
      <c r="G28" s="3034"/>
      <c r="I28" s="3050">
        <v>40</v>
      </c>
      <c r="J28" s="3050">
        <v>96.4</v>
      </c>
      <c r="K28" s="3050">
        <f t="shared" si="2"/>
        <v>2.6000000000000085</v>
      </c>
      <c r="L28" s="3050" t="s">
        <v>2563</v>
      </c>
      <c r="M28" s="3050">
        <v>2</v>
      </c>
    </row>
    <row r="29" spans="1:13">
      <c r="A29" s="3032" t="s">
        <v>2522</v>
      </c>
      <c r="B29" s="3033"/>
      <c r="C29" s="3033"/>
      <c r="D29" s="3033"/>
      <c r="E29" s="3033"/>
      <c r="F29" s="3033"/>
      <c r="G29" s="3034"/>
      <c r="I29" s="3050">
        <v>45</v>
      </c>
      <c r="J29" s="3050">
        <v>98.4</v>
      </c>
      <c r="K29" s="3050">
        <f t="shared" si="2"/>
        <v>2</v>
      </c>
    </row>
    <row r="30" spans="1:13">
      <c r="A30" s="3032" t="s">
        <v>2523</v>
      </c>
      <c r="B30" s="3033"/>
      <c r="C30" s="3033"/>
      <c r="D30" s="3033"/>
      <c r="E30" s="3033"/>
      <c r="F30" s="3033"/>
      <c r="G30" s="3034"/>
      <c r="I30" s="3050">
        <v>50</v>
      </c>
      <c r="J30" s="3050">
        <v>100</v>
      </c>
      <c r="K30" s="3050">
        <f t="shared" si="2"/>
        <v>1.5999999999999943</v>
      </c>
    </row>
    <row r="31" spans="1:13">
      <c r="A31" s="3032" t="s">
        <v>2524</v>
      </c>
      <c r="B31" s="3033"/>
      <c r="C31" s="3033"/>
      <c r="D31" s="3033"/>
      <c r="E31" s="3033"/>
      <c r="F31" s="3033"/>
      <c r="G31" s="3034"/>
      <c r="I31" s="3050" t="s">
        <v>2555</v>
      </c>
    </row>
    <row r="32" spans="1:13">
      <c r="A32" s="3032" t="s">
        <v>2525</v>
      </c>
      <c r="B32" s="3033"/>
      <c r="C32" s="3033"/>
      <c r="D32" s="3033"/>
      <c r="E32" s="3033"/>
      <c r="F32" s="3033"/>
      <c r="G32" s="3034"/>
    </row>
    <row r="33" spans="1:13">
      <c r="A33" s="3032" t="s">
        <v>2526</v>
      </c>
      <c r="B33" s="3033"/>
      <c r="C33" s="3033"/>
      <c r="D33" s="3033"/>
      <c r="E33" s="3033"/>
      <c r="F33" s="3033"/>
      <c r="G33" s="3034"/>
      <c r="I33" s="3050" t="s">
        <v>2554</v>
      </c>
      <c r="J33" s="3050" t="s">
        <v>2564</v>
      </c>
    </row>
    <row r="34" spans="1:13">
      <c r="A34" s="3032" t="s">
        <v>2527</v>
      </c>
      <c r="B34" s="3033"/>
      <c r="C34" s="3033"/>
      <c r="D34" s="3033"/>
      <c r="E34" s="3033"/>
      <c r="F34" s="3033"/>
      <c r="G34" s="3034"/>
      <c r="I34" s="3050">
        <v>5</v>
      </c>
      <c r="J34" s="3050">
        <v>55.1</v>
      </c>
    </row>
    <row r="35" spans="1:13">
      <c r="A35" s="3032" t="s">
        <v>2528</v>
      </c>
      <c r="B35" s="3033"/>
      <c r="C35" s="3033"/>
      <c r="D35" s="3033"/>
      <c r="E35" s="3033"/>
      <c r="F35" s="3033"/>
      <c r="G35" s="3034"/>
      <c r="I35" s="3050">
        <v>10</v>
      </c>
      <c r="J35" s="3050">
        <v>67</v>
      </c>
      <c r="K35" s="3050">
        <f>J35-J34</f>
        <v>11.899999999999999</v>
      </c>
    </row>
    <row r="36" spans="1:13">
      <c r="A36" s="3032" t="s">
        <v>2529</v>
      </c>
      <c r="B36" s="3033"/>
      <c r="C36" s="3033"/>
      <c r="D36" s="3033"/>
      <c r="E36" s="3033"/>
      <c r="F36" s="3033"/>
      <c r="G36" s="3034"/>
      <c r="I36" s="3050">
        <v>15</v>
      </c>
      <c r="J36" s="3050">
        <v>76.3</v>
      </c>
      <c r="K36" s="3050">
        <f t="shared" ref="K36:K41" si="3">J36-J35</f>
        <v>9.2999999999999972</v>
      </c>
      <c r="L36" s="3050" t="s">
        <v>2557</v>
      </c>
      <c r="M36" s="3050" t="s">
        <v>2558</v>
      </c>
    </row>
    <row r="37" spans="1:13">
      <c r="A37" s="3032" t="s">
        <v>2530</v>
      </c>
      <c r="B37" s="3033"/>
      <c r="C37" s="3033"/>
      <c r="D37" s="3033"/>
      <c r="E37" s="3033"/>
      <c r="F37" s="3033"/>
      <c r="G37" s="3034"/>
      <c r="I37" s="3050">
        <v>20</v>
      </c>
      <c r="J37" s="3050">
        <v>83.6</v>
      </c>
      <c r="K37" s="3050">
        <f t="shared" si="3"/>
        <v>7.2999999999999972</v>
      </c>
      <c r="L37" s="3050" t="s">
        <v>2556</v>
      </c>
      <c r="M37" s="3050">
        <v>10</v>
      </c>
    </row>
    <row r="38" spans="1:13">
      <c r="A38" s="3032" t="s">
        <v>2531</v>
      </c>
      <c r="B38" s="3033"/>
      <c r="C38" s="3033"/>
      <c r="D38" s="3033"/>
      <c r="E38" s="3033"/>
      <c r="F38" s="3033"/>
      <c r="G38" s="3034"/>
      <c r="I38" s="3050">
        <v>25</v>
      </c>
      <c r="J38" s="3050">
        <v>89.3</v>
      </c>
      <c r="K38" s="3050">
        <f t="shared" si="3"/>
        <v>5.7000000000000028</v>
      </c>
      <c r="L38" s="3050" t="s">
        <v>2560</v>
      </c>
      <c r="M38" s="3050">
        <v>8</v>
      </c>
    </row>
    <row r="39" spans="1:13">
      <c r="A39" s="3032"/>
      <c r="B39" s="3033"/>
      <c r="C39" s="3033"/>
      <c r="D39" s="3033"/>
      <c r="E39" s="3033"/>
      <c r="F39" s="3033"/>
      <c r="G39" s="3034"/>
      <c r="I39" s="3050">
        <v>30</v>
      </c>
      <c r="J39" s="3050">
        <v>93.8</v>
      </c>
      <c r="K39" s="3050">
        <f t="shared" si="3"/>
        <v>4.5</v>
      </c>
      <c r="L39" s="3050" t="s">
        <v>2561</v>
      </c>
      <c r="M39" s="3050">
        <v>6</v>
      </c>
    </row>
    <row r="40" spans="1:13">
      <c r="A40" s="3035" t="s">
        <v>2532</v>
      </c>
      <c r="B40" s="3036"/>
      <c r="C40" s="3036"/>
      <c r="D40" s="3036"/>
      <c r="E40" s="3036"/>
      <c r="F40" s="3036"/>
      <c r="G40" s="3037"/>
      <c r="I40" s="3050">
        <v>35</v>
      </c>
      <c r="J40" s="3050">
        <v>97.2</v>
      </c>
      <c r="K40" s="3050">
        <f t="shared" si="3"/>
        <v>3.4000000000000057</v>
      </c>
      <c r="L40" s="3050" t="s">
        <v>2562</v>
      </c>
      <c r="M40" s="3050">
        <v>3</v>
      </c>
    </row>
    <row r="41" spans="1:13">
      <c r="A41" s="3038" t="s">
        <v>2533</v>
      </c>
      <c r="B41" s="3039" t="s">
        <v>2534</v>
      </c>
      <c r="C41" s="3040" t="s">
        <v>2535</v>
      </c>
      <c r="D41" s="3040" t="s">
        <v>2536</v>
      </c>
      <c r="E41" s="3041"/>
      <c r="F41" s="3042"/>
      <c r="G41" s="3043"/>
      <c r="I41" s="3050">
        <v>40</v>
      </c>
      <c r="J41" s="3050">
        <v>100</v>
      </c>
      <c r="K41" s="3050">
        <f t="shared" si="3"/>
        <v>2.7999999999999972</v>
      </c>
    </row>
    <row r="42" spans="1:13">
      <c r="A42" s="3038" t="s">
        <v>2537</v>
      </c>
      <c r="B42" s="3039" t="s">
        <v>2538</v>
      </c>
      <c r="C42" s="3040" t="s">
        <v>2539</v>
      </c>
      <c r="D42" s="3044" t="s">
        <v>2540</v>
      </c>
      <c r="E42" s="3036" t="s">
        <v>2541</v>
      </c>
      <c r="F42" s="3036"/>
      <c r="G42" s="3037"/>
    </row>
    <row r="43" spans="1:13">
      <c r="A43" s="3038" t="s">
        <v>2542</v>
      </c>
      <c r="B43" s="3039" t="s">
        <v>2543</v>
      </c>
      <c r="C43" s="3040" t="s">
        <v>2544</v>
      </c>
      <c r="D43" s="3040" t="s">
        <v>2545</v>
      </c>
      <c r="E43" s="3041" t="s">
        <v>2546</v>
      </c>
      <c r="F43" s="3042"/>
      <c r="G43" s="3043"/>
      <c r="I43" s="3050" t="s">
        <v>2554</v>
      </c>
      <c r="J43" s="3050" t="s">
        <v>2565</v>
      </c>
    </row>
    <row r="44" spans="1:13">
      <c r="A44" s="3038" t="s">
        <v>2547</v>
      </c>
      <c r="B44" s="3039" t="s">
        <v>2548</v>
      </c>
      <c r="C44" s="3040" t="s">
        <v>2549</v>
      </c>
      <c r="D44" s="3044">
        <v>0.5</v>
      </c>
      <c r="E44" s="3041" t="s">
        <v>2550</v>
      </c>
      <c r="F44" s="3042"/>
      <c r="G44" s="3043"/>
      <c r="I44" s="3050">
        <v>30</v>
      </c>
      <c r="J44" s="3050">
        <v>81.7</v>
      </c>
    </row>
    <row r="45" spans="1:13" ht="14.25" thickBot="1">
      <c r="A45" s="3045" t="s">
        <v>2551</v>
      </c>
      <c r="B45" s="3046" t="s">
        <v>2538</v>
      </c>
      <c r="C45" s="3047" t="s">
        <v>2538</v>
      </c>
      <c r="D45" s="3047" t="s">
        <v>2552</v>
      </c>
      <c r="E45" s="3048" t="s">
        <v>2553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45" sqref="C4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1" customWidth="1"/>
    <col min="12" max="13" width="10" style="262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2166</v>
      </c>
      <c r="B1" s="3582" t="str">
        <f>IF(B10="北京市","北京市",C10)&amp;F10&amp;IF(结果表!G1="在建","出让国有建设用地使用权及在建建筑物",IF(结果表!G1="土地","出让国有建设用地使用权",))&amp;B9&amp;"预评估"</f>
        <v>北京市丰台区丽泽路16号院1号楼房地产市场价值预评估</v>
      </c>
      <c r="C1" s="3583"/>
      <c r="D1" s="3583"/>
      <c r="E1" s="3583"/>
      <c r="F1" s="3583"/>
      <c r="G1" s="3583"/>
      <c r="H1" s="3583"/>
      <c r="I1" s="3584"/>
      <c r="J1" s="2465"/>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北京市丰台区丽泽路16号院1号楼房地产市场价值</v>
      </c>
      <c r="T1" s="1745"/>
      <c r="U1" s="1745"/>
      <c r="V1" s="1745"/>
      <c r="W1" s="1745"/>
      <c r="X1" s="1745"/>
      <c r="Y1" s="1745"/>
      <c r="Z1" s="1745"/>
      <c r="AA1" s="1745"/>
      <c r="AB1" s="1745"/>
    </row>
    <row r="2" spans="1:30">
      <c r="A2" s="2365" t="s">
        <v>2167</v>
      </c>
      <c r="B2" s="2369"/>
      <c r="C2" s="2370"/>
      <c r="D2" s="2663"/>
      <c r="E2" s="2655"/>
      <c r="F2" s="2655"/>
      <c r="G2" s="2656"/>
      <c r="H2" s="2656"/>
      <c r="I2" s="2656"/>
      <c r="J2" s="2465"/>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北京市丰台区丽泽路16号院1号楼房地产</v>
      </c>
      <c r="T2" s="1745"/>
      <c r="U2" s="1745"/>
      <c r="V2" s="1745"/>
      <c r="W2" s="1745"/>
      <c r="X2" s="1745"/>
      <c r="Y2" s="1745"/>
      <c r="Z2" s="1745"/>
      <c r="AA2" s="1745"/>
      <c r="AB2" s="1745"/>
    </row>
    <row r="3" spans="1:30">
      <c r="A3" s="302" t="s">
        <v>2168</v>
      </c>
      <c r="B3" s="3449">
        <v>45210</v>
      </c>
      <c r="C3" s="2372" t="s">
        <v>2169</v>
      </c>
      <c r="D3" s="2371">
        <f>B3</f>
        <v>45210</v>
      </c>
      <c r="E3" s="2656"/>
      <c r="F3" s="2656"/>
      <c r="G3" s="2656"/>
      <c r="H3" s="2656"/>
      <c r="I3" s="2656"/>
      <c r="J3" s="2465"/>
      <c r="K3" s="2366"/>
      <c r="L3" s="2367"/>
      <c r="M3" s="2367"/>
      <c r="N3" s="2368"/>
      <c r="O3" s="1576"/>
      <c r="P3" s="2368"/>
      <c r="Q3" s="2368"/>
      <c r="R3" s="2368"/>
      <c r="S3" s="1682"/>
      <c r="T3" s="1745"/>
      <c r="U3" s="1745"/>
      <c r="V3" s="1745"/>
      <c r="W3" s="1745"/>
      <c r="X3" s="1745"/>
      <c r="Y3" s="1745"/>
      <c r="Z3" s="1745"/>
      <c r="AA3" s="1745"/>
      <c r="AB3" s="1745"/>
    </row>
    <row r="4" spans="1:30" ht="13.5" thickBot="1">
      <c r="A4" s="1090" t="s">
        <v>2170</v>
      </c>
      <c r="B4" s="2373" t="s">
        <v>3365</v>
      </c>
      <c r="C4" s="2374">
        <f ca="1">SUMIF(注册房地产估价师,B4,估价师及机构信息!B3:B24)</f>
        <v>1120100036</v>
      </c>
      <c r="D4" s="2373" t="s">
        <v>3366</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2171</v>
      </c>
      <c r="B5" s="2378"/>
      <c r="C5" s="2379"/>
      <c r="D5" s="2380"/>
      <c r="E5" s="2657"/>
      <c r="F5" s="2657"/>
      <c r="G5" s="2657"/>
      <c r="H5" s="2657"/>
      <c r="I5" s="2657"/>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2172</v>
      </c>
      <c r="B6" s="2382"/>
      <c r="C6" s="2383"/>
      <c r="D6" s="2384"/>
      <c r="E6" s="2655"/>
      <c r="F6" s="2657"/>
      <c r="G6" s="2657"/>
      <c r="H6" s="2657"/>
      <c r="I6" s="2657"/>
      <c r="J6" s="2437"/>
      <c r="K6" s="2608" t="str">
        <f>IF(COUNTIF(B6,"*上海银行*"),"上海银行","")</f>
        <v/>
      </c>
      <c r="L6" s="2606"/>
      <c r="M6" s="2606"/>
      <c r="N6" s="2437"/>
      <c r="O6" s="2448"/>
      <c r="P6" s="2437"/>
      <c r="Q6" s="2437"/>
      <c r="R6" s="2437"/>
    </row>
    <row r="7" spans="1:30">
      <c r="A7" s="2381" t="s">
        <v>2173</v>
      </c>
      <c r="B7" s="2385"/>
      <c r="C7" s="2383"/>
      <c r="D7" s="2384"/>
      <c r="E7" s="2655"/>
      <c r="F7" s="2657"/>
      <c r="G7" s="2657"/>
      <c r="H7" s="2657"/>
      <c r="I7" s="2657"/>
      <c r="J7" s="2437"/>
      <c r="K7" s="2609"/>
      <c r="L7" s="2606"/>
      <c r="M7" s="2606"/>
      <c r="N7" s="2437"/>
      <c r="O7" s="2448"/>
      <c r="P7" s="2437"/>
      <c r="Q7" s="2437"/>
      <c r="R7" s="2437"/>
    </row>
    <row r="8" spans="1:30">
      <c r="A8" s="2386" t="s">
        <v>2174</v>
      </c>
      <c r="B8" s="2387" t="s">
        <v>3367</v>
      </c>
      <c r="C8" s="2388"/>
      <c r="D8" s="3585" t="s">
        <v>2175</v>
      </c>
      <c r="E8" s="2389" t="s">
        <v>3369</v>
      </c>
      <c r="F8" s="2390"/>
      <c r="G8" s="2656"/>
      <c r="H8" s="2656"/>
      <c r="I8" s="2656"/>
      <c r="J8" s="2437"/>
      <c r="K8" s="2607"/>
      <c r="L8" s="2606"/>
      <c r="M8" s="2606"/>
      <c r="N8" s="2437"/>
      <c r="O8" s="2448"/>
      <c r="P8" s="2437"/>
      <c r="Q8" s="2437"/>
      <c r="R8" s="2437"/>
    </row>
    <row r="9" spans="1:30" ht="13.5" thickBot="1">
      <c r="A9" s="2391" t="s">
        <v>2176</v>
      </c>
      <c r="B9" s="2392" t="s">
        <v>3368</v>
      </c>
      <c r="C9" s="2393"/>
      <c r="D9" s="3586"/>
      <c r="E9" s="2392" t="s">
        <v>43</v>
      </c>
      <c r="F9" s="2394"/>
      <c r="G9" s="2658"/>
      <c r="H9" s="2658"/>
      <c r="I9" s="2658"/>
      <c r="J9" s="2437"/>
      <c r="K9" s="2609"/>
      <c r="L9" s="2606"/>
      <c r="M9" s="2606"/>
      <c r="N9" s="2437"/>
      <c r="O9" s="2448"/>
      <c r="P9" s="2437"/>
      <c r="Q9" s="2437"/>
      <c r="R9" s="2437"/>
    </row>
    <row r="10" spans="1:30" ht="13.5" thickTop="1">
      <c r="A10" s="2395" t="s">
        <v>2177</v>
      </c>
      <c r="B10" s="2396" t="s">
        <v>3370</v>
      </c>
      <c r="C10" s="2397"/>
      <c r="D10" s="2380"/>
      <c r="E10" s="2398" t="s">
        <v>2178</v>
      </c>
      <c r="F10" s="2659" t="s">
        <v>3711</v>
      </c>
      <c r="G10" s="2660"/>
      <c r="H10" s="2661"/>
      <c r="I10" s="2662"/>
      <c r="J10" s="2437"/>
      <c r="K10" s="2609"/>
      <c r="L10" s="2606"/>
      <c r="M10" s="2606"/>
      <c r="N10" s="2437"/>
      <c r="O10" s="2448"/>
      <c r="P10" s="2437"/>
      <c r="Q10" s="2437"/>
      <c r="R10" s="2437"/>
    </row>
    <row r="11" spans="1:30" ht="38.25">
      <c r="A11" s="2399" t="s">
        <v>2179</v>
      </c>
      <c r="B11" s="2400" t="s">
        <v>3371</v>
      </c>
      <c r="C11" s="2401" t="str">
        <f>商业!C2</f>
        <v>北京开元和安投资管理有限公司</v>
      </c>
      <c r="D11" s="2402"/>
      <c r="E11" s="2368"/>
      <c r="F11" s="2368"/>
      <c r="G11" s="2368"/>
      <c r="H11" s="2368"/>
      <c r="I11" s="2368"/>
      <c r="J11" s="3053"/>
      <c r="K11" s="3052"/>
      <c r="L11" s="2606"/>
      <c r="M11" s="2606"/>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1" t="s">
        <v>2566</v>
      </c>
      <c r="J12" s="3054"/>
      <c r="K12" s="2606"/>
      <c r="L12" s="2606"/>
      <c r="M12" s="2437"/>
      <c r="N12" s="2448"/>
      <c r="O12" s="2437"/>
      <c r="P12" s="2437"/>
      <c r="Q12" s="2437"/>
      <c r="AD12" s="1745"/>
    </row>
    <row r="13" spans="1:30">
      <c r="A13" s="3415" t="s">
        <v>3324</v>
      </c>
      <c r="B13" s="2405" t="s">
        <v>2188</v>
      </c>
      <c r="C13" s="856"/>
      <c r="D13" s="856">
        <v>55957</v>
      </c>
      <c r="E13" s="856">
        <v>59609</v>
      </c>
      <c r="F13" s="856">
        <f>E13</f>
        <v>59609</v>
      </c>
      <c r="G13" s="856"/>
      <c r="H13" s="856"/>
      <c r="I13" s="856"/>
      <c r="J13" s="3054"/>
      <c r="K13" s="2606"/>
      <c r="L13" s="2606"/>
      <c r="M13" s="2437"/>
      <c r="N13" s="2448"/>
      <c r="O13" s="2437"/>
      <c r="P13" s="2437"/>
      <c r="Q13" s="2437"/>
      <c r="AD13" s="1745"/>
    </row>
    <row r="14" spans="1:30">
      <c r="A14" s="1081"/>
      <c r="B14" s="2405" t="s">
        <v>2189</v>
      </c>
      <c r="C14" s="2406">
        <v>70</v>
      </c>
      <c r="D14" s="2406">
        <v>40</v>
      </c>
      <c r="E14" s="2406">
        <v>50</v>
      </c>
      <c r="F14" s="2406">
        <v>50</v>
      </c>
      <c r="G14" s="2406">
        <v>50</v>
      </c>
      <c r="H14" s="2406">
        <v>50</v>
      </c>
      <c r="I14" s="2406">
        <v>50</v>
      </c>
      <c r="J14" s="3055"/>
      <c r="K14" s="2606"/>
      <c r="L14" s="2606"/>
      <c r="M14" s="2437"/>
      <c r="N14" s="2448"/>
      <c r="O14" s="2437"/>
      <c r="P14" s="2437"/>
      <c r="Q14" s="2437"/>
      <c r="AD14" s="1745"/>
    </row>
    <row r="15" spans="1:30">
      <c r="A15" s="320"/>
      <c r="B15" s="2407" t="s">
        <v>2190</v>
      </c>
      <c r="C15" s="2408" t="str">
        <f>IF(A13="出让",IF(C13="","",ROUNDDOWN(MIN((C13-$D$3)/365,C14),2)),C14)</f>
        <v/>
      </c>
      <c r="D15" s="2408">
        <f>IF(A13="出让",IF(D13="","",ROUNDDOWN(MIN((D13-$D$3)/365,D14),2)),D14)</f>
        <v>29.44</v>
      </c>
      <c r="E15" s="2408">
        <f>IF(A13="出让",IF(E13="","",ROUNDDOWN(MIN((E13-$D$3)/365,E14),2)),E14)</f>
        <v>39.44</v>
      </c>
      <c r="F15" s="2408">
        <f>IF(A13="出让",IF(F13="","",ROUNDDOWN(MIN((F13-$D$3)/365,F14),2)),F14)</f>
        <v>39.44</v>
      </c>
      <c r="G15" s="2408" t="str">
        <f>IF(A13="出让",IF(G13="","",ROUNDDOWN(MIN((G13-$D$3)/365,G14),2)),G14)</f>
        <v/>
      </c>
      <c r="H15" s="2408" t="str">
        <f>IF(A13="出让",IF(H13="","",ROUNDDOWN(MIN((H13-$D$3)/365,H14),2)),H14)</f>
        <v/>
      </c>
      <c r="I15" s="2408" t="str">
        <f>IF(A13="出让",IF(I13="","",ROUNDDOWN(MIN((I13-$D$3)/365,I14),2)),I14)</f>
        <v/>
      </c>
      <c r="J15" s="3056"/>
      <c r="K15" s="2449"/>
      <c r="L15" s="2449"/>
      <c r="M15" s="2502"/>
      <c r="N15" s="2449"/>
      <c r="O15" s="2502"/>
      <c r="P15" s="2437"/>
      <c r="Q15" s="2437"/>
      <c r="AD15" s="1745"/>
    </row>
    <row r="16" spans="1:30">
      <c r="A16" s="2398" t="s">
        <v>2191</v>
      </c>
      <c r="B16" s="3592"/>
      <c r="C16" s="3593"/>
      <c r="D16" s="3594"/>
      <c r="E16" s="2411" t="s">
        <v>2192</v>
      </c>
      <c r="F16" s="3595"/>
      <c r="G16" s="3596"/>
      <c r="H16" s="3596"/>
      <c r="I16" s="3597"/>
      <c r="J16" s="2437"/>
      <c r="K16" s="2610"/>
      <c r="L16" s="2449"/>
      <c r="M16" s="2449"/>
      <c r="N16" s="2502"/>
      <c r="O16" s="2449"/>
      <c r="P16" s="2502"/>
      <c r="Q16" s="2437"/>
      <c r="R16" s="2437"/>
    </row>
    <row r="17" spans="1:28">
      <c r="A17" s="313" t="s">
        <v>2193</v>
      </c>
      <c r="B17" s="302" t="s">
        <v>2194</v>
      </c>
      <c r="C17" s="8">
        <f>'数据-汇总表'!E3</f>
        <v>103889.93</v>
      </c>
      <c r="D17" s="2320" t="s">
        <v>2195</v>
      </c>
      <c r="E17" s="3598" t="s">
        <v>2196</v>
      </c>
      <c r="F17" s="3599"/>
      <c r="G17" s="3599"/>
      <c r="H17" s="3599"/>
      <c r="I17" s="3600"/>
      <c r="J17" s="2437"/>
      <c r="K17" s="2611"/>
      <c r="L17" s="2449"/>
      <c r="M17" s="2449"/>
      <c r="N17" s="2502"/>
      <c r="O17" s="2449"/>
      <c r="P17" s="2502"/>
      <c r="Q17" s="2437"/>
      <c r="R17" s="2437"/>
      <c r="S17" s="2437"/>
      <c r="T17" s="2437"/>
      <c r="U17" s="2437"/>
      <c r="V17" s="2437"/>
    </row>
    <row r="18" spans="1:28" ht="24.75" thickBot="1">
      <c r="A18" s="2412" t="s">
        <v>2197</v>
      </c>
      <c r="B18" s="1090" t="s">
        <v>2198</v>
      </c>
      <c r="C18" s="2413">
        <f>'数据-汇总表'!D3</f>
        <v>0</v>
      </c>
      <c r="D18" s="1092" t="s">
        <v>2199</v>
      </c>
      <c r="E18" s="3601" t="s">
        <v>2200</v>
      </c>
      <c r="F18" s="3602"/>
      <c r="G18" s="3602"/>
      <c r="H18" s="3602"/>
      <c r="I18" s="3603"/>
      <c r="J18" s="2437"/>
      <c r="K18" s="2611"/>
      <c r="L18" s="2449"/>
      <c r="M18" s="2449"/>
      <c r="N18" s="2502"/>
      <c r="O18" s="2449"/>
      <c r="P18" s="2502"/>
      <c r="Q18" s="2437"/>
      <c r="R18" s="2437"/>
      <c r="S18" s="2437"/>
      <c r="T18" s="2437"/>
      <c r="U18" s="2437"/>
      <c r="V18" s="2437"/>
    </row>
    <row r="19" spans="1:28" ht="37.5" thickTop="1" thickBot="1">
      <c r="A19" s="327" t="s">
        <v>1055</v>
      </c>
      <c r="B19" s="307" t="s">
        <v>2201</v>
      </c>
      <c r="C19" s="1563"/>
      <c r="D19" s="1564" t="s">
        <v>2202</v>
      </c>
      <c r="E19" s="1565"/>
      <c r="F19" s="1566" t="str">
        <f>IF(AND(C19="是",E19="否"),"是否提供他项权证或相关说明","")</f>
        <v/>
      </c>
      <c r="G19" s="1567"/>
      <c r="H19" s="2657"/>
      <c r="I19" s="2657"/>
      <c r="J19" s="2437"/>
      <c r="K19" s="2609"/>
      <c r="L19" s="2606"/>
      <c r="M19" s="2606"/>
      <c r="N19" s="2502"/>
      <c r="O19" s="2449"/>
      <c r="P19" s="2502"/>
      <c r="Q19" s="2437"/>
      <c r="R19" s="2437"/>
      <c r="S19" s="2437"/>
      <c r="T19" s="2437"/>
      <c r="U19" s="2437"/>
      <c r="V19" s="2437"/>
    </row>
    <row r="20" spans="1:28">
      <c r="A20" s="2625" t="s">
        <v>2203</v>
      </c>
      <c r="B20" s="3588" t="s">
        <v>2204</v>
      </c>
      <c r="C20" s="3589"/>
      <c r="D20" s="3590" t="s">
        <v>2205</v>
      </c>
      <c r="E20" s="3591"/>
      <c r="F20" s="2640" t="s">
        <v>1056</v>
      </c>
      <c r="G20" s="2657"/>
      <c r="H20" s="2657"/>
      <c r="I20" s="2657"/>
      <c r="J20" s="2437"/>
      <c r="K20" s="3587"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6.25" thickBot="1">
      <c r="A21" s="2625"/>
      <c r="B21" s="2626" t="s">
        <v>3712</v>
      </c>
      <c r="C21" s="2627" t="s">
        <v>3713</v>
      </c>
      <c r="D21" s="1568"/>
      <c r="E21" s="2628"/>
      <c r="F21" s="2641"/>
      <c r="G21" s="2657"/>
      <c r="H21" s="2657"/>
      <c r="I21" s="2657"/>
      <c r="J21" s="2437"/>
      <c r="K21" s="358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13.5" thickBot="1">
      <c r="A22" s="2625"/>
      <c r="B22" s="2629"/>
      <c r="C22" s="2627"/>
      <c r="D22" s="2656"/>
      <c r="E22" s="2656"/>
      <c r="F22" s="2656"/>
      <c r="G22" s="2657"/>
      <c r="H22" s="2657"/>
      <c r="I22" s="2657"/>
      <c r="J22" s="2437"/>
      <c r="K22" s="358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0" t="s">
        <v>2207</v>
      </c>
      <c r="B23" s="2495" t="s">
        <v>2208</v>
      </c>
      <c r="C23" s="2631"/>
      <c r="D23" s="2632" t="s">
        <v>2208</v>
      </c>
      <c r="E23" s="2633"/>
      <c r="F23" s="2656"/>
      <c r="G23" s="2657"/>
      <c r="H23" s="2657"/>
      <c r="I23" s="2657"/>
      <c r="J23" s="2437"/>
      <c r="K23" s="2612"/>
      <c r="L23" s="2468"/>
      <c r="M23" s="2606"/>
      <c r="N23" s="2502"/>
      <c r="O23" s="2449"/>
      <c r="P23" s="2502"/>
      <c r="Q23" s="2437"/>
      <c r="R23" s="2437"/>
      <c r="S23" s="2437"/>
      <c r="T23" s="2437"/>
      <c r="U23" s="2437"/>
      <c r="V23" s="2437"/>
    </row>
    <row r="24" spans="1:28">
      <c r="A24" s="2630"/>
      <c r="B24" s="2495" t="s">
        <v>1057</v>
      </c>
      <c r="C24" s="2634"/>
      <c r="D24" s="2630" t="s">
        <v>1057</v>
      </c>
      <c r="E24" s="2635"/>
      <c r="F24" s="2656"/>
      <c r="G24" s="2657"/>
      <c r="H24" s="2657"/>
      <c r="I24" s="2657"/>
      <c r="J24" s="2437"/>
      <c r="K24" s="2612"/>
      <c r="L24" s="2468"/>
      <c r="M24" s="2606"/>
      <c r="N24" s="2502"/>
      <c r="O24" s="2449"/>
      <c r="P24" s="2502"/>
      <c r="Q24" s="2437"/>
      <c r="R24" s="2437"/>
      <c r="S24" s="2437"/>
      <c r="T24" s="2437"/>
      <c r="U24" s="2437"/>
      <c r="V24" s="2437"/>
    </row>
    <row r="25" spans="1:28">
      <c r="A25" s="2630"/>
      <c r="B25" s="2495" t="s">
        <v>1058</v>
      </c>
      <c r="C25" s="2634"/>
      <c r="D25" s="2630" t="s">
        <v>1058</v>
      </c>
      <c r="E25" s="2635"/>
      <c r="F25" s="2656"/>
      <c r="G25" s="2657"/>
      <c r="H25" s="2657"/>
      <c r="I25" s="2657"/>
      <c r="J25" s="2437"/>
      <c r="K25" s="2609"/>
      <c r="L25" s="2606"/>
      <c r="M25" s="2606"/>
      <c r="N25" s="2502"/>
      <c r="O25" s="2449"/>
      <c r="P25" s="2502"/>
      <c r="Q25" s="2437"/>
      <c r="R25" s="2437"/>
      <c r="S25" s="2437"/>
      <c r="T25" s="2437"/>
      <c r="U25" s="2437"/>
      <c r="V25" s="2437"/>
    </row>
    <row r="26" spans="1:28" ht="13.5" thickBot="1">
      <c r="A26" s="2636"/>
      <c r="B26" s="2637" t="s">
        <v>1059</v>
      </c>
      <c r="C26" s="2638"/>
      <c r="D26" s="2636" t="s">
        <v>1059</v>
      </c>
      <c r="E26" s="2639"/>
      <c r="F26" s="2658"/>
      <c r="G26" s="2658"/>
      <c r="H26" s="2658"/>
      <c r="I26" s="2658"/>
      <c r="J26" s="2437"/>
      <c r="K26" s="2609"/>
      <c r="L26" s="2606"/>
      <c r="M26" s="2606"/>
      <c r="N26" s="2502"/>
      <c r="O26" s="2449"/>
      <c r="P26" s="2502"/>
      <c r="Q26" s="2437"/>
      <c r="R26" s="2437"/>
      <c r="S26" s="2437"/>
      <c r="T26" s="2437"/>
      <c r="U26" s="2437"/>
      <c r="V26" s="2437"/>
    </row>
    <row r="27" spans="1:28" ht="13.5" thickTop="1">
      <c r="A27" s="3605" t="s">
        <v>2209</v>
      </c>
      <c r="B27" s="320" t="s">
        <v>2210</v>
      </c>
      <c r="C27" s="2414" t="s">
        <v>3714</v>
      </c>
      <c r="D27" s="2415"/>
      <c r="E27" s="2657"/>
      <c r="F27" s="2657"/>
      <c r="G27" s="2657"/>
      <c r="H27" s="2657"/>
      <c r="I27" s="2657"/>
      <c r="J27" s="2437"/>
      <c r="K27" s="2610"/>
      <c r="L27" s="2449"/>
      <c r="M27" s="2449"/>
      <c r="N27" s="2502"/>
      <c r="O27" s="2449"/>
      <c r="P27" s="2502"/>
      <c r="Q27" s="2437"/>
      <c r="R27" s="2437"/>
      <c r="S27" s="2437"/>
      <c r="T27" s="2437"/>
      <c r="U27" s="2437"/>
      <c r="V27" s="2437"/>
    </row>
    <row r="28" spans="1:28">
      <c r="A28" s="3605"/>
      <c r="B28" s="302" t="s">
        <v>2211</v>
      </c>
      <c r="C28" s="2416" t="s">
        <v>3715</v>
      </c>
      <c r="D28" s="2417"/>
      <c r="E28" s="2657"/>
      <c r="F28" s="2657"/>
      <c r="G28" s="2657"/>
      <c r="H28" s="2657"/>
      <c r="I28" s="2657"/>
      <c r="J28" s="2437"/>
      <c r="K28" s="2609"/>
      <c r="L28" s="2606"/>
      <c r="M28" s="2606"/>
      <c r="N28" s="2437"/>
      <c r="O28" s="2448"/>
      <c r="P28" s="2437"/>
      <c r="Q28" s="2437"/>
      <c r="R28" s="2437"/>
      <c r="S28" s="2437"/>
      <c r="T28" s="2437"/>
      <c r="U28" s="2437"/>
      <c r="V28" s="2437"/>
    </row>
    <row r="29" spans="1:28">
      <c r="A29" s="3605"/>
      <c r="B29" s="302" t="s">
        <v>2212</v>
      </c>
      <c r="C29" s="2418" t="s">
        <v>3404</v>
      </c>
      <c r="D29" s="2419"/>
      <c r="E29" s="2657"/>
      <c r="F29" s="2657"/>
      <c r="G29" s="2657"/>
      <c r="H29" s="2657"/>
      <c r="I29" s="2657"/>
      <c r="J29" s="2437"/>
      <c r="K29" s="2609"/>
      <c r="L29" s="2606"/>
      <c r="M29" s="2606"/>
      <c r="N29" s="2437"/>
      <c r="O29" s="2448"/>
      <c r="P29" s="2437"/>
      <c r="Q29" s="2437"/>
      <c r="R29" s="2437"/>
      <c r="S29" s="2437"/>
      <c r="T29" s="2437"/>
      <c r="U29" s="2437"/>
      <c r="V29" s="2437"/>
    </row>
    <row r="30" spans="1:28">
      <c r="A30" s="3606"/>
      <c r="B30" s="302" t="s">
        <v>2213</v>
      </c>
      <c r="C30" s="3607"/>
      <c r="D30" s="3608"/>
      <c r="E30" s="2657"/>
      <c r="F30" s="2657"/>
      <c r="G30" s="2657"/>
      <c r="H30" s="2657"/>
      <c r="I30" s="2657"/>
      <c r="J30" s="2437"/>
      <c r="K30" s="2609"/>
      <c r="L30" s="2606"/>
      <c r="M30" s="2606"/>
      <c r="N30" s="2437"/>
      <c r="O30" s="2448"/>
      <c r="P30" s="2437"/>
      <c r="Q30" s="2437"/>
      <c r="R30" s="2437"/>
      <c r="S30" s="2437"/>
      <c r="T30" s="2437"/>
      <c r="U30" s="2437"/>
      <c r="V30" s="2437"/>
    </row>
    <row r="31" spans="1:28">
      <c r="A31" s="3609" t="s">
        <v>2214</v>
      </c>
      <c r="B31" s="2420" t="s">
        <v>3372</v>
      </c>
      <c r="C31" s="2321" t="str">
        <f>IF(B31="现房","成新及维护状况正常否",IF(B31="在建","工程状态是否正常",IF(B31="土地","是否闲置","-")))</f>
        <v>成新及维护状况正常否</v>
      </c>
      <c r="D31" s="1373"/>
      <c r="E31" s="2421"/>
      <c r="F31" s="2657"/>
      <c r="G31" s="2657"/>
      <c r="H31" s="2657"/>
      <c r="I31" s="2657"/>
      <c r="J31" s="2437"/>
      <c r="K31" s="2608"/>
      <c r="L31" s="2606"/>
      <c r="M31" s="2606"/>
      <c r="N31" s="2437"/>
      <c r="O31" s="2448"/>
      <c r="P31" s="2437"/>
      <c r="Q31" s="2437"/>
      <c r="R31" s="2437"/>
      <c r="S31" s="2437"/>
      <c r="T31" s="2437"/>
      <c r="U31" s="2437"/>
      <c r="V31" s="2437"/>
    </row>
    <row r="32" spans="1:28">
      <c r="A32" s="3610"/>
      <c r="B32" s="2420"/>
      <c r="C32" s="2321" t="str">
        <f>IF(B32="现房","成新及维护状况是否正常",IF(B32="在建","工程状态是否正常",IF(B32="土地","是否闲置","-")))</f>
        <v>-</v>
      </c>
      <c r="D32" s="1373"/>
      <c r="E32" s="2421"/>
      <c r="F32" s="2657"/>
      <c r="G32" s="2657"/>
      <c r="H32" s="2657"/>
      <c r="I32" s="2657"/>
      <c r="J32" s="2437"/>
      <c r="K32" s="2609"/>
      <c r="L32" s="2606"/>
      <c r="M32" s="2606"/>
      <c r="N32" s="2437"/>
      <c r="O32" s="2448"/>
      <c r="P32" s="2437"/>
      <c r="Q32" s="2437"/>
      <c r="R32" s="2437"/>
      <c r="S32" s="2437"/>
      <c r="T32" s="2437"/>
      <c r="U32" s="2437"/>
      <c r="V32" s="2437"/>
    </row>
    <row r="33" spans="1:30">
      <c r="A33" s="3610"/>
      <c r="B33" s="2423"/>
      <c r="C33" s="1590" t="str">
        <f>IF(B33="现房","成新及维护状况是否正常",IF(B33="在建","工程状态是否正常",IF(B33="土地","是否闲置","-")))</f>
        <v>-</v>
      </c>
      <c r="D33" s="1365"/>
      <c r="E33" s="2424"/>
      <c r="F33" s="2657"/>
      <c r="G33" s="2657"/>
      <c r="H33" s="2657"/>
      <c r="I33" s="2657"/>
      <c r="J33" s="2437"/>
      <c r="K33" s="2609"/>
      <c r="L33" s="2606"/>
      <c r="M33" s="2606"/>
      <c r="N33" s="2437"/>
      <c r="O33" s="2448"/>
      <c r="P33" s="2437"/>
      <c r="Q33" s="2437"/>
      <c r="R33" s="2437"/>
      <c r="S33" s="2437"/>
      <c r="T33" s="2437"/>
      <c r="U33" s="2437"/>
      <c r="V33" s="2437"/>
    </row>
    <row r="34" spans="1:30">
      <c r="A34" s="302" t="s">
        <v>2215</v>
      </c>
      <c r="B34" s="2024" t="s">
        <v>3373</v>
      </c>
      <c r="C34" s="2024" t="s">
        <v>3374</v>
      </c>
      <c r="D34" s="2024" t="s">
        <v>3375</v>
      </c>
      <c r="E34" s="2024" t="s">
        <v>3376</v>
      </c>
      <c r="F34" s="2024" t="s">
        <v>3377</v>
      </c>
      <c r="G34" s="2024" t="s">
        <v>3378</v>
      </c>
      <c r="H34" s="2024" t="s">
        <v>3716</v>
      </c>
      <c r="I34" s="2657"/>
      <c r="J34" s="2437"/>
      <c r="K34" s="2425">
        <f>COUNTIF(B34:H34,"——")</f>
        <v>0</v>
      </c>
      <c r="L34" s="323" t="s">
        <v>2216</v>
      </c>
      <c r="M34" s="323" t="s">
        <v>2217</v>
      </c>
      <c r="N34" s="323" t="s">
        <v>2218</v>
      </c>
      <c r="O34" s="323" t="s">
        <v>2219</v>
      </c>
      <c r="P34" s="323" t="s">
        <v>2220</v>
      </c>
      <c r="Q34" s="323" t="s">
        <v>2221</v>
      </c>
      <c r="R34" s="323" t="s">
        <v>2222</v>
      </c>
      <c r="S34" s="3604" t="s">
        <v>2223</v>
      </c>
      <c r="T34" s="2426" t="str">
        <f>NUMBERSTRING(7-K34,1)&amp;"通"</f>
        <v>七通</v>
      </c>
      <c r="U34" s="2437"/>
      <c r="V34" s="2437"/>
    </row>
    <row r="35" spans="1:30">
      <c r="A35" s="2427"/>
      <c r="B35" s="3611" t="s">
        <v>2224</v>
      </c>
      <c r="C35" s="3611"/>
      <c r="D35" s="3611"/>
      <c r="E35" s="3611"/>
      <c r="F35" s="664">
        <f>C10</f>
        <v>0</v>
      </c>
      <c r="G35" s="2657"/>
      <c r="H35" s="2657"/>
      <c r="I35" s="2657"/>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604"/>
      <c r="T35" s="329" t="str">
        <f>IF(T34="一通",L35,IF(T34="二通",M35,IF(T34="三通",N35,IF(T34="四通",O35,IF(T34="五通",P35,IF(T34="六通",Q35,R35))))))</f>
        <v>通路、通电、通讯、通上水、通下水、平整、燃气</v>
      </c>
      <c r="U35" s="2437"/>
      <c r="V35" s="2437"/>
    </row>
    <row r="36" spans="1:30">
      <c r="A36" s="2428"/>
      <c r="B36" s="664" t="s">
        <v>2183</v>
      </c>
      <c r="C36" s="664" t="s">
        <v>2184</v>
      </c>
      <c r="D36" s="664" t="s">
        <v>2182</v>
      </c>
      <c r="E36" s="664" t="s">
        <v>2187</v>
      </c>
      <c r="F36" s="3057" t="s">
        <v>2569</v>
      </c>
      <c r="G36" s="2657"/>
      <c r="H36" s="2657"/>
      <c r="I36" s="2657"/>
      <c r="J36" s="2437"/>
      <c r="K36" s="2609"/>
      <c r="L36" s="2606"/>
      <c r="M36" s="2606"/>
      <c r="N36" s="2437"/>
      <c r="O36" s="2448"/>
      <c r="P36" s="2437"/>
      <c r="Q36" s="2437"/>
      <c r="R36" s="2437"/>
      <c r="S36" s="2437"/>
      <c r="T36" s="2437"/>
      <c r="U36" s="2437"/>
      <c r="V36" s="2437"/>
    </row>
    <row r="37" spans="1:30">
      <c r="A37" s="2623" t="s">
        <v>2225</v>
      </c>
      <c r="B37" s="2429" t="s">
        <v>296</v>
      </c>
      <c r="C37" s="2429" t="s">
        <v>296</v>
      </c>
      <c r="D37" s="2429" t="s">
        <v>296</v>
      </c>
      <c r="E37" s="2429" t="s">
        <v>296</v>
      </c>
      <c r="F37" s="2429" t="s">
        <v>296</v>
      </c>
      <c r="G37" s="2657"/>
      <c r="H37" s="2657"/>
      <c r="I37" s="2657"/>
      <c r="J37" s="2437"/>
      <c r="K37" s="2609"/>
      <c r="L37" s="2606"/>
      <c r="M37" s="2606"/>
      <c r="N37" s="2437"/>
      <c r="O37" s="2448"/>
      <c r="P37" s="2437"/>
      <c r="Q37" s="2437"/>
      <c r="R37" s="2437"/>
      <c r="S37" s="2437"/>
      <c r="T37" s="2437"/>
      <c r="U37" s="2437"/>
      <c r="V37" s="2437"/>
    </row>
    <row r="38" spans="1:30" ht="13.5" thickBot="1">
      <c r="A38" s="2624" t="s">
        <v>2226</v>
      </c>
      <c r="B38" s="2430" t="s">
        <v>195</v>
      </c>
      <c r="C38" s="2430" t="s">
        <v>195</v>
      </c>
      <c r="D38" s="2430" t="s">
        <v>195</v>
      </c>
      <c r="E38" s="2430" t="s">
        <v>195</v>
      </c>
      <c r="F38" s="2430" t="s">
        <v>195</v>
      </c>
      <c r="G38" s="2658"/>
      <c r="H38" s="2658"/>
      <c r="I38" s="2658"/>
      <c r="J38" s="2437"/>
      <c r="K38" s="2609"/>
      <c r="L38" s="2606"/>
      <c r="M38" s="2606"/>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9"/>
      <c r="M40" s="2449"/>
      <c r="N40" s="2502"/>
      <c r="O40" s="2449"/>
      <c r="P40" s="2437"/>
      <c r="Q40" s="2437"/>
      <c r="R40" s="2437"/>
      <c r="S40" s="2437"/>
      <c r="T40" s="2437"/>
      <c r="U40" s="2437"/>
      <c r="V40" s="2437"/>
    </row>
    <row r="41" spans="1:30">
      <c r="A41" s="2434" t="s">
        <v>2228</v>
      </c>
      <c r="B41" s="1757"/>
      <c r="C41" s="1373"/>
      <c r="D41" s="2368"/>
      <c r="E41" s="2368"/>
      <c r="F41" s="2368"/>
      <c r="G41" s="2368"/>
      <c r="H41" s="2368"/>
      <c r="I41" s="1576"/>
      <c r="J41" s="2437"/>
      <c r="K41" s="2609"/>
      <c r="L41" s="2606"/>
      <c r="M41" s="2606"/>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S44" sqref="S4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103889.93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103889.93</v>
      </c>
      <c r="H5" s="13">
        <f t="shared" ref="H5:AT5" si="0">SUM(H13:H656)</f>
        <v>103889.93</v>
      </c>
      <c r="I5" s="13">
        <f t="shared" si="0"/>
        <v>67424.87</v>
      </c>
      <c r="J5" s="13">
        <f t="shared" si="0"/>
        <v>0</v>
      </c>
      <c r="K5" s="13">
        <f t="shared" si="0"/>
        <v>24588.749999999996</v>
      </c>
      <c r="L5" s="13">
        <f t="shared" si="0"/>
        <v>0</v>
      </c>
      <c r="M5" s="13">
        <f t="shared" si="0"/>
        <v>11876.310000000001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103889.93</v>
      </c>
      <c r="BA5" s="15">
        <f t="shared" si="1"/>
        <v>103889.93</v>
      </c>
      <c r="BB5" s="15">
        <f t="shared" si="1"/>
        <v>67424.87</v>
      </c>
      <c r="BC5" s="15">
        <f t="shared" si="1"/>
        <v>24588.749999999996</v>
      </c>
      <c r="BD5" s="15">
        <f t="shared" si="1"/>
        <v>11876.310000000001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3379</v>
      </c>
      <c r="J9" s="809"/>
      <c r="K9" s="1603" t="s">
        <v>3719</v>
      </c>
      <c r="L9" s="809"/>
      <c r="M9" s="1603" t="s">
        <v>3719</v>
      </c>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3325</v>
      </c>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3718</v>
      </c>
      <c r="J11" s="1615"/>
      <c r="K11" s="1614" t="s">
        <v>3718</v>
      </c>
      <c r="L11" s="1615"/>
      <c r="M11" s="1614" t="s">
        <v>3325</v>
      </c>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独立商业</v>
      </c>
      <c r="BC12" s="1624" t="str">
        <f>K11</f>
        <v>独立商业</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3717</v>
      </c>
      <c r="E13" s="13">
        <f>IF($C$3="是",ROUND($A$3*G13/$B$3,2),ROUND($A$3*(G13-AT13)/$B$3,2))</f>
        <v>0</v>
      </c>
      <c r="F13" s="29"/>
      <c r="G13" s="30">
        <f>H13+AC13+AT13</f>
        <v>103889.93</v>
      </c>
      <c r="H13" s="17">
        <f>SUMIF(I$12:AB$12,"总值",I13:AB13)</f>
        <v>103889.93</v>
      </c>
      <c r="I13" s="1626">
        <f>商业!C34+商业!C35+商业!C36+商业!C37+商业!C38</f>
        <v>67424.87</v>
      </c>
      <c r="J13" s="1626"/>
      <c r="K13" s="1626">
        <f>商业!C32+商业!C33</f>
        <v>24588.749999999996</v>
      </c>
      <c r="L13" s="1626"/>
      <c r="M13" s="1626">
        <f>车位!F62</f>
        <v>11876.310000000001</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103889.93</v>
      </c>
      <c r="BA13" s="13">
        <f>SUM(BB13:BK13)</f>
        <v>103889.93</v>
      </c>
      <c r="BB13" s="13">
        <f>IF($D13="是",I13-J13,0)</f>
        <v>67424.87</v>
      </c>
      <c r="BC13" s="13">
        <f>IF($D13="是",K13-L13,0)</f>
        <v>24588.749999999996</v>
      </c>
      <c r="BD13" s="13">
        <f>IF($D13="是",M13-N13,0)</f>
        <v>11876.310000000001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5" sqref="E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21" t="s">
        <v>1129</v>
      </c>
      <c r="B2" s="3621"/>
      <c r="C2" s="3621"/>
      <c r="D2" s="796" t="s">
        <v>1105</v>
      </c>
      <c r="E2" s="1639" t="s">
        <v>1106</v>
      </c>
      <c r="F2" s="2652"/>
      <c r="G2" s="2643"/>
      <c r="H2" s="2644"/>
      <c r="I2" s="2323" t="s">
        <v>1130</v>
      </c>
      <c r="J2" s="2652"/>
      <c r="K2" s="2652"/>
      <c r="L2" s="2652"/>
      <c r="M2" s="2652"/>
      <c r="N2" s="2654"/>
      <c r="O2" s="2652"/>
      <c r="P2" s="2652"/>
    </row>
    <row r="3" spans="1:16" ht="15.75" thickBot="1">
      <c r="A3" s="3622" t="s">
        <v>1103</v>
      </c>
      <c r="B3" s="3622"/>
      <c r="C3" s="3622"/>
      <c r="D3" s="43">
        <f>'数据-基础表'!AY6</f>
        <v>0</v>
      </c>
      <c r="E3" s="43">
        <f>'数据-基础表'!AZ5</f>
        <v>103889.93</v>
      </c>
      <c r="F3" s="2652"/>
      <c r="G3" s="1145"/>
      <c r="H3" s="1026" t="s">
        <v>1104</v>
      </c>
      <c r="I3" s="855" t="e">
        <f>ROUND('数据-基础表'!B3/'数据-基础表'!A3,2)</f>
        <v>#DIV/0!</v>
      </c>
      <c r="J3" s="2652"/>
      <c r="K3" s="2652"/>
      <c r="L3" s="2652"/>
      <c r="M3" s="2652"/>
      <c r="N3" s="2654"/>
      <c r="O3" s="2652"/>
      <c r="P3" s="2652"/>
    </row>
    <row r="4" spans="1:16" ht="15">
      <c r="A4" s="3623"/>
      <c r="B4" s="3624"/>
      <c r="C4" s="3625"/>
      <c r="D4" s="1641" t="s">
        <v>1105</v>
      </c>
      <c r="E4" s="1642" t="s">
        <v>1106</v>
      </c>
      <c r="F4" s="2652"/>
      <c r="G4" s="2645" t="s">
        <v>1131</v>
      </c>
      <c r="H4" s="1026" t="s">
        <v>1111</v>
      </c>
      <c r="I4" s="855" t="e">
        <f>ROUND(SUMIF('数据-基础表'!I9:AS9,"地上",'数据-基础表'!I5:AS5)/'数据-基础表'!A3,2)</f>
        <v>#DIV/0!</v>
      </c>
      <c r="J4" s="2652"/>
      <c r="K4" s="2652"/>
      <c r="L4" s="2652"/>
      <c r="M4" s="2652"/>
      <c r="N4" s="2654"/>
      <c r="O4" s="2652"/>
      <c r="P4" s="2652"/>
    </row>
    <row r="5" spans="1:16">
      <c r="A5" s="44" t="s">
        <v>1107</v>
      </c>
      <c r="B5" s="3626" t="s">
        <v>1108</v>
      </c>
      <c r="C5" s="3626"/>
      <c r="D5" s="45">
        <f>ROUND($D$3*E5/$E$3,2)</f>
        <v>0</v>
      </c>
      <c r="E5" s="46">
        <f>SUMIF('数据-基础表'!$11:$11,"住宅",'数据-基础表'!$5:$5)</f>
        <v>0</v>
      </c>
      <c r="F5" s="2652"/>
      <c r="G5" s="1145"/>
      <c r="H5" s="1026" t="s">
        <v>1104</v>
      </c>
      <c r="I5" s="855" t="e">
        <f>ROUND(E31/D31,2)</f>
        <v>#DIV/0!</v>
      </c>
      <c r="J5" s="2652"/>
      <c r="K5" s="2652"/>
      <c r="L5" s="2652"/>
      <c r="M5" s="2652"/>
      <c r="N5" s="2652"/>
      <c r="O5" s="2652"/>
      <c r="P5" s="2652"/>
    </row>
    <row r="6" spans="1:16" ht="15" thickBot="1">
      <c r="A6" s="1644"/>
      <c r="B6" s="3626" t="s">
        <v>1109</v>
      </c>
      <c r="C6" s="3626"/>
      <c r="D6" s="45">
        <f>ROUND($D$3*E6/$E$3,2)</f>
        <v>0</v>
      </c>
      <c r="E6" s="46">
        <f>E3-E5</f>
        <v>103889.93</v>
      </c>
      <c r="F6" s="2652"/>
      <c r="G6" s="2646" t="s">
        <v>1110</v>
      </c>
      <c r="H6" s="1146" t="s">
        <v>1111</v>
      </c>
      <c r="I6" s="2647" t="e">
        <f>ROUND(F31/D31,2)</f>
        <v>#DIV/0!</v>
      </c>
      <c r="J6" s="2652"/>
      <c r="K6" s="2652"/>
      <c r="L6" s="2652"/>
      <c r="M6" s="2652"/>
      <c r="N6" s="2652"/>
      <c r="O6" s="2652"/>
      <c r="P6" s="2652"/>
    </row>
    <row r="7" spans="1:16" ht="15.75" thickBot="1">
      <c r="A7" s="3618"/>
      <c r="B7" s="3619"/>
      <c r="C7" s="3620"/>
      <c r="D7" s="1641" t="s">
        <v>1105</v>
      </c>
      <c r="E7" s="1645" t="s">
        <v>1112</v>
      </c>
      <c r="F7" s="2652"/>
      <c r="G7" s="2648" t="s">
        <v>1113</v>
      </c>
      <c r="H7" s="2649"/>
      <c r="I7" s="2650"/>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67424.87</v>
      </c>
      <c r="F8" s="2652"/>
      <c r="G8" s="2653"/>
      <c r="H8" s="2653"/>
      <c r="I8" s="2652"/>
      <c r="J8" s="2652"/>
      <c r="K8" s="2652"/>
      <c r="L8" s="2652"/>
      <c r="M8" s="2652"/>
      <c r="N8" s="2652"/>
      <c r="O8" s="2652"/>
      <c r="P8" s="2652"/>
    </row>
    <row r="9" spans="1:16">
      <c r="A9" s="1646"/>
      <c r="B9" s="1647"/>
      <c r="C9" s="45" t="s">
        <v>1117</v>
      </c>
      <c r="D9" s="45">
        <f t="shared" si="0"/>
        <v>0</v>
      </c>
      <c r="E9" s="49">
        <v>0</v>
      </c>
      <c r="F9" s="2652"/>
      <c r="G9" s="2653"/>
      <c r="H9" s="2653"/>
      <c r="I9" s="2652"/>
      <c r="J9" s="2652"/>
      <c r="K9" s="2652"/>
      <c r="L9" s="2652"/>
      <c r="M9" s="2652"/>
      <c r="N9" s="2652"/>
      <c r="O9" s="2652"/>
      <c r="P9" s="2652"/>
    </row>
    <row r="10" spans="1:16">
      <c r="A10" s="1646"/>
      <c r="B10" s="1647"/>
      <c r="C10" s="45" t="s">
        <v>1126</v>
      </c>
      <c r="D10" s="45">
        <f t="shared" si="0"/>
        <v>0</v>
      </c>
      <c r="E10" s="48">
        <f>SUMPRODUCT(('数据-基础表'!BB10:BK10="地下")*('数据-基础表'!BB11:BK11="商业")*('数据-基础表'!BB5:BK5))</f>
        <v>24588.749999999996</v>
      </c>
      <c r="F10" s="2652"/>
      <c r="G10" s="2653"/>
      <c r="H10" s="2653"/>
      <c r="I10" s="2652"/>
      <c r="J10" s="2652"/>
      <c r="K10" s="2652"/>
      <c r="L10" s="2652"/>
      <c r="M10" s="2652"/>
      <c r="N10" s="2652"/>
      <c r="O10" s="2652"/>
      <c r="P10" s="2652"/>
    </row>
    <row r="11" spans="1:16">
      <c r="A11" s="1646"/>
      <c r="B11" s="1647"/>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6"/>
      <c r="B12" s="1647"/>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6"/>
      <c r="B13" s="1647"/>
      <c r="C13" s="45" t="s">
        <v>1120</v>
      </c>
      <c r="D13" s="45">
        <f t="shared" si="0"/>
        <v>0</v>
      </c>
      <c r="E13" s="48">
        <f>SUMPRODUCT(('数据-基础表'!BB10:BK10="地下")*('数据-基础表'!BB11:BK11="车库")*('数据-基础表'!BB5:BK5))</f>
        <v>11876.310000000001</v>
      </c>
      <c r="F13" s="2652"/>
      <c r="G13" s="2653"/>
      <c r="H13" s="2653"/>
      <c r="I13" s="2652"/>
      <c r="J13" s="2652"/>
      <c r="K13" s="2652"/>
      <c r="L13" s="2652"/>
      <c r="M13" s="2652"/>
      <c r="N13" s="2652"/>
      <c r="O13" s="2652"/>
      <c r="P13" s="2652"/>
    </row>
    <row r="14" spans="1:16">
      <c r="A14" s="1646"/>
      <c r="B14" s="1647"/>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6"/>
      <c r="B15" s="1647"/>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4"/>
      <c r="B16" s="1647"/>
      <c r="C16" s="47" t="s">
        <v>1121</v>
      </c>
      <c r="D16" s="47">
        <f>SUM(D8:D15)</f>
        <v>0</v>
      </c>
      <c r="E16" s="50">
        <f>SUM(E8:E15)</f>
        <v>103889.93</v>
      </c>
      <c r="F16" s="2652"/>
      <c r="G16" s="2653"/>
      <c r="H16" s="1648" t="s">
        <v>1133</v>
      </c>
      <c r="I16" s="1649"/>
      <c r="J16" s="1139"/>
      <c r="K16" s="3615" t="s">
        <v>1133</v>
      </c>
      <c r="L16" s="3616"/>
      <c r="M16" s="3616"/>
      <c r="N16" s="3616"/>
      <c r="O16" s="3616"/>
      <c r="P16" s="3617"/>
    </row>
    <row r="17" spans="1:19" ht="15">
      <c r="A17" s="1650" t="s">
        <v>1134</v>
      </c>
      <c r="B17" s="1651" t="s">
        <v>1135</v>
      </c>
      <c r="C17" s="1652" t="s">
        <v>1136</v>
      </c>
      <c r="D17" s="1653" t="s">
        <v>1124</v>
      </c>
      <c r="E17" s="1654" t="s">
        <v>1125</v>
      </c>
      <c r="F17" s="1655"/>
      <c r="G17" s="1656"/>
      <c r="H17" s="1657" t="s">
        <v>1137</v>
      </c>
      <c r="I17" s="1658" t="s">
        <v>1122</v>
      </c>
      <c r="J17" s="1139"/>
      <c r="K17" s="3612" t="s">
        <v>1138</v>
      </c>
      <c r="L17" s="3613"/>
      <c r="M17" s="3614"/>
      <c r="N17" s="3612" t="s">
        <v>1139</v>
      </c>
      <c r="O17" s="3613"/>
      <c r="P17" s="3614"/>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09" t="s">
        <v>3720</v>
      </c>
      <c r="D19" s="45">
        <f>ROUND($D$3*E19/$E$3,2)</f>
        <v>0</v>
      </c>
      <c r="E19" s="53">
        <f t="shared" ref="E19:E26" si="1">SUM(F19:G19)</f>
        <v>92013.62</v>
      </c>
      <c r="F19" s="2788">
        <f>'数据-基础表'!I5</f>
        <v>67424.87</v>
      </c>
      <c r="G19" s="2789">
        <f>'数据-基础表'!K5</f>
        <v>24588.749999999996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92013.62</v>
      </c>
    </row>
    <row r="20" spans="1:19">
      <c r="A20" s="1670"/>
      <c r="B20" s="47" t="s">
        <v>1151</v>
      </c>
      <c r="C20" s="3409" t="s">
        <v>3721</v>
      </c>
      <c r="D20" s="45">
        <f t="shared" ref="D20:D26" si="6">ROUND($D$3*E20/$E$3,2)</f>
        <v>0</v>
      </c>
      <c r="E20" s="53">
        <f t="shared" si="1"/>
        <v>11876.310000000001</v>
      </c>
      <c r="F20" s="2788"/>
      <c r="G20" s="2789">
        <f>'数据-基础表'!M5</f>
        <v>11876.310000000001</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11876.310000000001</v>
      </c>
    </row>
    <row r="21" spans="1:19">
      <c r="A21" s="1670"/>
      <c r="B21" s="47" t="s">
        <v>1151</v>
      </c>
      <c r="C21" s="3409"/>
      <c r="D21" s="45">
        <f t="shared" si="6"/>
        <v>0</v>
      </c>
      <c r="E21" s="53">
        <f t="shared" si="1"/>
        <v>0</v>
      </c>
      <c r="F21" s="2788"/>
      <c r="G21" s="278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0"/>
      <c r="D22" s="45">
        <f t="shared" si="6"/>
        <v>0</v>
      </c>
      <c r="E22" s="53">
        <f t="shared" si="1"/>
        <v>0</v>
      </c>
      <c r="F22" s="2790"/>
      <c r="G22" s="279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0"/>
      <c r="D23" s="45">
        <f>ROUND($D$3*E23/$E$3,2)</f>
        <v>0</v>
      </c>
      <c r="E23" s="53">
        <f>SUM(F23:G23)</f>
        <v>0</v>
      </c>
      <c r="F23" s="2790"/>
      <c r="G23" s="279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0"/>
      <c r="D24" s="45">
        <f>ROUND($D$3*E24/$E$3,2)</f>
        <v>0</v>
      </c>
      <c r="E24" s="53">
        <f>SUM(F24:G24)</f>
        <v>0</v>
      </c>
      <c r="F24" s="2790"/>
      <c r="G24" s="279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0"/>
      <c r="D25" s="45">
        <f t="shared" si="6"/>
        <v>0</v>
      </c>
      <c r="E25" s="53">
        <f t="shared" si="1"/>
        <v>0</v>
      </c>
      <c r="F25" s="2790"/>
      <c r="G25" s="279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103889.93</v>
      </c>
      <c r="F27" s="1140">
        <f>IF(SUM(F19:F26)=E8,SUM(F19:F26),"地上面积有误")</f>
        <v>67424.87</v>
      </c>
      <c r="G27" s="1142">
        <f>SUM(G19:G26)</f>
        <v>36465.06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103889.93</v>
      </c>
    </row>
    <row r="28" spans="1:19">
      <c r="A28" s="1670"/>
      <c r="B28" s="47" t="s">
        <v>1153</v>
      </c>
      <c r="C28" s="1038"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70"/>
      <c r="B29" s="47" t="s">
        <v>1153</v>
      </c>
      <c r="C29" s="1674"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70"/>
      <c r="B30" s="47"/>
      <c r="C30" s="1675" t="s">
        <v>1152</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6"/>
      <c r="B31" s="1677"/>
      <c r="C31" s="835" t="s">
        <v>1156</v>
      </c>
      <c r="D31" s="676">
        <f>D27+D30</f>
        <v>0</v>
      </c>
      <c r="E31" s="676">
        <f>E27+E30</f>
        <v>103889.93</v>
      </c>
      <c r="F31" s="677">
        <f>F27+F30</f>
        <v>67424.87</v>
      </c>
      <c r="G31" s="678">
        <f>G27+G30</f>
        <v>36465.06</v>
      </c>
      <c r="H31" s="2652"/>
      <c r="I31" s="2652"/>
      <c r="J31" s="2652"/>
      <c r="K31" s="2652"/>
      <c r="L31" s="2652"/>
      <c r="M31" s="2652"/>
      <c r="N31" s="2652"/>
      <c r="O31" s="2652"/>
      <c r="P31" s="2652"/>
    </row>
    <row r="32" spans="1:19">
      <c r="A32" s="1643"/>
      <c r="B32" s="1643" t="s">
        <v>1157</v>
      </c>
      <c r="C32" s="1643"/>
      <c r="D32" s="1643"/>
      <c r="E32" s="1053">
        <f>SUMIF(C19:C26,"*住宅*",E19:E26)</f>
        <v>0</v>
      </c>
      <c r="F32" s="1643"/>
      <c r="G32" s="1643"/>
      <c r="H32" s="2652"/>
      <c r="I32" s="2652"/>
      <c r="J32" s="2652"/>
      <c r="K32" s="2652"/>
      <c r="L32" s="2652"/>
      <c r="M32" s="2652"/>
      <c r="N32" s="2652"/>
      <c r="O32" s="2652"/>
      <c r="P32" s="265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R38" sqref="R37:R3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3" t="s">
        <v>1159</v>
      </c>
      <c r="B2" s="1045">
        <f>项目基本情况!D3</f>
        <v>45210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6"/>
      <c r="AO2" s="2666"/>
      <c r="AP2" s="2666"/>
      <c r="AQ2" s="2666"/>
      <c r="AR2" s="266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6"/>
      <c r="AO3" s="2666"/>
      <c r="AP3" s="2666"/>
      <c r="AQ3" s="2666"/>
      <c r="AR3" s="266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1"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6"/>
      <c r="AO4" s="2666"/>
      <c r="AP4" s="2666"/>
      <c r="AQ4" s="2666"/>
      <c r="AR4" s="266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3384</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55957</v>
      </c>
      <c r="F6" s="64">
        <f>SUMIF(项目基本情况!C$12:I$12,C6,项目基本情况!C$15:I$15)</f>
        <v>29.44</v>
      </c>
      <c r="G6" s="65">
        <f>IF(ISERROR(ROUND(POWER(1+H6,D6-F6)*(POWER(1+H6,F6)-1)/(POWER(1+H6,D6)-1),3)),0,ROUND(POWER(1+H6,D6-F6)*(POWER(1+H6,F6)-1)/(POWER(1+H6,D6)-1),3))</f>
        <v>0.89900000000000002</v>
      </c>
      <c r="H6" s="732">
        <v>5.5E-2</v>
      </c>
      <c r="I6" s="732">
        <v>0.06</v>
      </c>
      <c r="J6" s="66">
        <v>7.0000000000000007E-2</v>
      </c>
      <c r="K6" s="1030">
        <f>SUMIF('数据-汇总表'!C$19:C$33,A6,'数据-汇总表'!E$19:E$33)</f>
        <v>92013.62</v>
      </c>
      <c r="L6" s="733">
        <v>5500</v>
      </c>
      <c r="M6" s="67">
        <f t="shared" ref="M6:M14" si="0">ROUND(K6*L6/10000,0)</f>
        <v>50607</v>
      </c>
      <c r="N6" s="731">
        <f>N19</f>
        <v>0.9</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0">
        <v>4.66</v>
      </c>
      <c r="V6" s="70">
        <v>2.5000000000000001E-2</v>
      </c>
      <c r="W6" s="70">
        <v>0.03</v>
      </c>
      <c r="X6" s="1040"/>
      <c r="Y6" s="71">
        <f>N6</f>
        <v>0.9</v>
      </c>
      <c r="Z6" s="72"/>
      <c r="AA6" s="66"/>
      <c r="AB6" s="66"/>
      <c r="AC6" s="1040"/>
      <c r="AD6" s="73"/>
      <c r="AE6" s="1041">
        <f ca="1">IF(AN6="",0,SUMIF(INDIRECT("'"&amp;AN6&amp;"'"&amp;"!E:E"),$AE$5,INDIRECT("'"&amp;AN6&amp;"'"&amp;"!F:F")))</f>
        <v>29.44</v>
      </c>
      <c r="AF6" s="1348"/>
      <c r="AG6" s="138">
        <f>IF(AF6="",0,AE6-AF6)</f>
        <v>0</v>
      </c>
      <c r="AH6" s="74"/>
      <c r="AI6" s="76">
        <v>365</v>
      </c>
      <c r="AJ6" s="77"/>
      <c r="AK6" s="78">
        <v>1.4999999999999999E-2</v>
      </c>
      <c r="AL6" s="79">
        <v>1.5E-3</v>
      </c>
      <c r="AM6" s="80">
        <v>0.02</v>
      </c>
      <c r="AN6" s="1715" t="s">
        <v>3385</v>
      </c>
      <c r="AO6" s="52">
        <f ca="1">SUMIF(INDIRECT("'"&amp;AN6&amp;"'"&amp;"!A:A"),"总价",INDIRECT("'"&amp;AN6&amp;"'"&amp;"!B:B"))</f>
        <v>201903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3325</v>
      </c>
      <c r="D7" s="858">
        <f>SUMIF(项目基本情况!C$12:I$12,C7,项目基本情况!C$14:I$14)</f>
        <v>50</v>
      </c>
      <c r="E7" s="857">
        <f>IF(B7="","",SUMIF(项目基本情况!C$12:I$12,C7,项目基本情况!C$13:I$13))</f>
        <v>59609</v>
      </c>
      <c r="F7" s="64">
        <f>SUMIF(项目基本情况!C$12:I$12,C7,项目基本情况!C$15:I$15)</f>
        <v>39.44</v>
      </c>
      <c r="G7" s="65">
        <f t="shared" ref="G7:G11" si="2">IF(ISERROR(ROUND(POWER(1+H7,D7-F7)*(POWER(1+H7,F7)-1)/(POWER(1+H7,D7)-1),3)),0,ROUND(POWER(1+H7,D7-F7)*(POWER(1+H7,F7)-1)/(POWER(1+H7,D7)-1),3))</f>
        <v>0.92600000000000005</v>
      </c>
      <c r="H7" s="732">
        <v>4.4999999999999998E-2</v>
      </c>
      <c r="I7" s="732">
        <v>0.05</v>
      </c>
      <c r="J7" s="66">
        <f>J6</f>
        <v>7.0000000000000007E-2</v>
      </c>
      <c r="K7" s="1030">
        <f>SUMIF('数据-汇总表'!C$19:C$33,A7,'数据-汇总表'!E$19:E$33)</f>
        <v>11876.310000000001</v>
      </c>
      <c r="L7" s="733">
        <v>4500</v>
      </c>
      <c r="M7" s="67">
        <f t="shared" si="0"/>
        <v>5344</v>
      </c>
      <c r="N7" s="731">
        <f>N6</f>
        <v>0.9</v>
      </c>
      <c r="O7" s="67" t="str">
        <f t="shared" ref="O7:O14" si="3">IF($N$5="成新度","——",ROUND(M7*N7,0))</f>
        <v>——</v>
      </c>
      <c r="P7" s="68" t="str">
        <f t="shared" ref="P7:P14" si="4">IF($N$5="成新度","——",M7-O7)</f>
        <v>——</v>
      </c>
      <c r="Q7" s="734">
        <v>0.1</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v>1200</v>
      </c>
      <c r="V7" s="70">
        <v>2.5000000000000001E-2</v>
      </c>
      <c r="W7" s="70">
        <v>0.05</v>
      </c>
      <c r="X7" s="1040"/>
      <c r="Y7" s="71">
        <f>Y6</f>
        <v>0.9</v>
      </c>
      <c r="Z7" s="72"/>
      <c r="AA7" s="66"/>
      <c r="AB7" s="66"/>
      <c r="AC7" s="1040"/>
      <c r="AD7" s="73"/>
      <c r="AE7" s="1041">
        <f t="shared" ref="AE7:AE13" ca="1" si="6">IF(AN7="",0,SUMIF(INDIRECT("'"&amp;AN7&amp;"'"&amp;"!E:E"),$AE$5,INDIRECT("'"&amp;AN7&amp;"'"&amp;"!F:F")))</f>
        <v>39.44</v>
      </c>
      <c r="AF7" s="1348"/>
      <c r="AG7" s="138">
        <f t="shared" ref="AG7:AG13" si="7">IF(AF7="",0,AE7-AF7)</f>
        <v>0</v>
      </c>
      <c r="AH7" s="74">
        <v>335</v>
      </c>
      <c r="AI7" s="76">
        <v>12</v>
      </c>
      <c r="AJ7" s="77"/>
      <c r="AK7" s="78">
        <v>0.01</v>
      </c>
      <c r="AL7" s="79">
        <v>1.5E-3</v>
      </c>
      <c r="AM7" s="80">
        <v>0.01</v>
      </c>
      <c r="AN7" s="1715" t="s">
        <v>3725</v>
      </c>
      <c r="AO7" s="52">
        <f t="shared" ref="AO7:AO13" ca="1" si="8">SUMIF(INDIRECT("'"&amp;AN7&amp;"'"&amp;"!A:A"),"总价",INDIRECT("'"&amp;AN7&amp;"'"&amp;"!B:B"))</f>
        <v>7314</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0.90200000000000002</v>
      </c>
      <c r="H16" s="90">
        <f>ROUND(SUMPRODUCT(H6:H13,K6:K13)/SUMPRODUCT((H6:H13&gt;0)*(K6:K13)),3)</f>
        <v>5.3999999999999999E-2</v>
      </c>
      <c r="I16" s="91"/>
      <c r="J16" s="91"/>
      <c r="K16" s="92">
        <f>SUM(K6:K15)</f>
        <v>103889.93</v>
      </c>
      <c r="L16" s="93">
        <f>ROUND(M16*10000/SUM(K6:K14),0)</f>
        <v>5386</v>
      </c>
      <c r="M16" s="93">
        <f>SUM(M6:M14)</f>
        <v>55951</v>
      </c>
      <c r="N16" s="94">
        <f>ROUND(SUMPRODUCT(M6:M14,N6:N14)/M16,3)</f>
        <v>0.9</v>
      </c>
      <c r="O16" s="93">
        <f>SUM(O6:O14)</f>
        <v>0</v>
      </c>
      <c r="P16" s="93">
        <f>SUM(P6:P14)</f>
        <v>0</v>
      </c>
      <c r="Q16" s="95">
        <f>ROUND(SUMPRODUCT(Q6:Q13,K6:K13)/SUMPRODUCT((Q6:Q13&gt;0)*(K6:K13)),2)</f>
        <v>0.23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5"/>
      <c r="C17" s="2664"/>
      <c r="D17" s="2668"/>
      <c r="E17" s="2668"/>
      <c r="F17" s="2664"/>
      <c r="G17" s="2664"/>
      <c r="H17" s="2664"/>
      <c r="I17" s="2664"/>
      <c r="J17" s="2664"/>
      <c r="K17" s="2665"/>
      <c r="L17" s="2665"/>
      <c r="M17" s="2664"/>
      <c r="N17" s="2664"/>
      <c r="O17" s="2664"/>
      <c r="P17" s="2664"/>
      <c r="Q17" s="2664"/>
      <c r="R17" s="2664"/>
      <c r="S17" s="2664"/>
      <c r="T17" s="2664"/>
      <c r="U17" s="2664">
        <f>租赁台账!J178/365/K6</f>
        <v>4.6639347617962663</v>
      </c>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42" t="s">
        <v>3380</v>
      </c>
      <c r="N18" s="2664">
        <v>2017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2" t="s">
        <v>1209</v>
      </c>
      <c r="B19" s="103">
        <v>0</v>
      </c>
      <c r="C19" s="2792" t="s">
        <v>2291</v>
      </c>
      <c r="D19" s="2669"/>
      <c r="E19" s="2666"/>
      <c r="F19" s="2666"/>
      <c r="G19" s="2666"/>
      <c r="H19" s="2666"/>
      <c r="I19" s="2666"/>
      <c r="J19" s="2666"/>
      <c r="K19" s="2665"/>
      <c r="L19" s="2665"/>
      <c r="M19" s="3442" t="s">
        <v>3381</v>
      </c>
      <c r="N19" s="2664">
        <f>ROUND(1-(1-0%)*(2023-N18)/60,2)</f>
        <v>0.9</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3" t="s">
        <v>1210</v>
      </c>
      <c r="B20" s="104">
        <v>3</v>
      </c>
      <c r="C20" s="2793" t="s">
        <v>2289</v>
      </c>
      <c r="D20" s="2669"/>
      <c r="E20" s="2666"/>
      <c r="F20" s="2666"/>
      <c r="G20" s="2666"/>
      <c r="H20" s="2666"/>
      <c r="I20" s="2666"/>
      <c r="J20" s="2666"/>
      <c r="K20" s="2665"/>
      <c r="L20" s="2665"/>
      <c r="M20" s="3442" t="s">
        <v>3382</v>
      </c>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4" t="s">
        <v>1211</v>
      </c>
      <c r="B21" s="104">
        <f>B20</f>
        <v>3</v>
      </c>
      <c r="C21" s="2666"/>
      <c r="D21" s="2669"/>
      <c r="E21" s="2666"/>
      <c r="F21" s="2666"/>
      <c r="G21" s="2666"/>
      <c r="H21" s="2666"/>
      <c r="I21" s="2666"/>
      <c r="J21" s="2666"/>
      <c r="K21" s="2665"/>
      <c r="L21" s="2665"/>
      <c r="M21" s="3442" t="s">
        <v>3383</v>
      </c>
      <c r="N21" s="2664">
        <f>ROUND((N19+N20)/2,2)</f>
        <v>0.45</v>
      </c>
      <c r="O21" s="2664"/>
      <c r="P21" s="2664"/>
      <c r="Q21" s="2664"/>
      <c r="R21" s="2664"/>
      <c r="S21" s="2664"/>
      <c r="T21" s="2664"/>
      <c r="U21" s="3526" t="s">
        <v>3796</v>
      </c>
      <c r="V21" s="3442" t="s">
        <v>3795</v>
      </c>
      <c r="W21" s="3442" t="s">
        <v>3797</v>
      </c>
      <c r="X21" s="3442" t="s">
        <v>3897</v>
      </c>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3" t="s">
        <v>1212</v>
      </c>
      <c r="B22" s="105">
        <f>B19+B20</f>
        <v>3</v>
      </c>
      <c r="C22" s="2666"/>
      <c r="D22" s="2669"/>
      <c r="E22" s="2666"/>
      <c r="F22" s="2666"/>
      <c r="G22" s="2666"/>
      <c r="H22" s="2666"/>
      <c r="I22" s="2666"/>
      <c r="J22" s="2666"/>
      <c r="K22" s="2665"/>
      <c r="L22" s="2665"/>
      <c r="M22" s="2664"/>
      <c r="N22" s="2664"/>
      <c r="O22" s="2664"/>
      <c r="P22" s="2664"/>
      <c r="Q22" s="2664"/>
      <c r="R22" s="2664"/>
      <c r="S22" s="2664"/>
      <c r="T22" s="2664"/>
      <c r="U22" s="3527">
        <f>商业!C32</f>
        <v>12446.259999999998</v>
      </c>
      <c r="V22" s="2664">
        <v>-2</v>
      </c>
      <c r="W22" s="2664">
        <v>0.65</v>
      </c>
      <c r="X22" s="2664">
        <f>ROUND($X$24*W22,1)</f>
        <v>9.8000000000000007</v>
      </c>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4" t="s">
        <v>1213</v>
      </c>
      <c r="B23" s="105">
        <f>B19+B21</f>
        <v>3</v>
      </c>
      <c r="C23" s="2666"/>
      <c r="D23" s="2669"/>
      <c r="E23" s="2666"/>
      <c r="F23" s="2666"/>
      <c r="G23" s="2666"/>
      <c r="H23" s="2666"/>
      <c r="I23" s="2666"/>
      <c r="J23" s="2666"/>
      <c r="K23" s="2665"/>
      <c r="L23" s="2665"/>
      <c r="M23" s="2664"/>
      <c r="N23" s="2664"/>
      <c r="O23" s="2664"/>
      <c r="P23" s="2664"/>
      <c r="Q23" s="2664"/>
      <c r="R23" s="2664"/>
      <c r="S23" s="2664"/>
      <c r="T23" s="2664"/>
      <c r="U23" s="3527">
        <f>商业!C33</f>
        <v>12142.489999999998</v>
      </c>
      <c r="V23" s="2664">
        <v>-1</v>
      </c>
      <c r="W23" s="2664">
        <v>0.8</v>
      </c>
      <c r="X23" s="2664">
        <f>ROUND($X$24*W23,1)</f>
        <v>12</v>
      </c>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5"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3527">
        <f>商业!C34</f>
        <v>11867.841999999999</v>
      </c>
      <c r="V24" s="2664">
        <v>1</v>
      </c>
      <c r="W24" s="2664">
        <v>1</v>
      </c>
      <c r="X24" s="2664">
        <v>15</v>
      </c>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7"/>
      <c r="C25" s="2666"/>
      <c r="D25" s="2669"/>
      <c r="E25" s="2666"/>
      <c r="F25" s="2666"/>
      <c r="G25" s="2666"/>
      <c r="H25" s="2666"/>
      <c r="I25" s="2666"/>
      <c r="J25" s="2666"/>
      <c r="K25" s="2665"/>
      <c r="L25" s="2665"/>
      <c r="M25" s="2664"/>
      <c r="N25" s="2664"/>
      <c r="O25" s="2664"/>
      <c r="P25" s="2664"/>
      <c r="Q25" s="2664" t="s">
        <v>3790</v>
      </c>
      <c r="R25" s="2664"/>
      <c r="S25" s="2664"/>
      <c r="T25" s="2664"/>
      <c r="U25" s="3527">
        <f>商业!C35</f>
        <v>12367.142</v>
      </c>
      <c r="V25" s="2664">
        <v>2</v>
      </c>
      <c r="W25" s="2664">
        <v>0.8</v>
      </c>
      <c r="X25" s="2664">
        <f>ROUND($X$24*W25,1)</f>
        <v>12</v>
      </c>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3" t="s">
        <v>1215</v>
      </c>
      <c r="B26" s="1726" t="s">
        <v>1216</v>
      </c>
      <c r="C26" s="2670" t="s">
        <v>1217</v>
      </c>
      <c r="D26" s="2669"/>
      <c r="E26" s="2666"/>
      <c r="F26" s="2666"/>
      <c r="G26" s="2666"/>
      <c r="H26" s="2666"/>
      <c r="I26" s="2666"/>
      <c r="J26" s="2666"/>
      <c r="K26" s="2665"/>
      <c r="L26" s="2665"/>
      <c r="M26" s="2664"/>
      <c r="N26" s="2664"/>
      <c r="O26" s="2664"/>
      <c r="P26" s="2664"/>
      <c r="Q26" s="2664"/>
      <c r="R26" s="2664"/>
      <c r="S26" s="2664"/>
      <c r="T26" s="2664"/>
      <c r="U26" s="3527">
        <f>商业!C36</f>
        <v>14066.822</v>
      </c>
      <c r="V26" s="2664">
        <v>3</v>
      </c>
      <c r="W26" s="2664">
        <v>0.7</v>
      </c>
      <c r="X26" s="2664">
        <f>ROUND($X$24*W26,1)</f>
        <v>10.5</v>
      </c>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8" customFormat="1" ht="27.75">
      <c r="A27" s="1727" t="s">
        <v>1218</v>
      </c>
      <c r="B27" s="107">
        <v>160</v>
      </c>
      <c r="C27" s="2794" t="s">
        <v>2293</v>
      </c>
      <c r="D27" s="2672"/>
      <c r="E27" s="2654"/>
      <c r="F27" s="2654"/>
      <c r="G27" s="2666"/>
      <c r="H27" s="2666"/>
      <c r="I27" s="2666"/>
      <c r="J27" s="2666"/>
      <c r="K27" s="2665"/>
      <c r="L27" s="2665"/>
      <c r="M27" s="2664"/>
      <c r="N27" s="2664"/>
      <c r="O27" s="2664"/>
      <c r="P27" s="2664"/>
      <c r="Q27" s="2664"/>
      <c r="R27" s="2664"/>
      <c r="S27" s="2664"/>
      <c r="T27" s="2664"/>
      <c r="U27" s="3527">
        <f>商业!C37</f>
        <v>14391.531999999999</v>
      </c>
      <c r="V27" s="2664">
        <v>4</v>
      </c>
      <c r="W27" s="2664">
        <v>0.65</v>
      </c>
      <c r="X27" s="2664">
        <f>ROUND($X$24*W27,1)</f>
        <v>9.8000000000000007</v>
      </c>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3"/>
      <c r="D28" s="2672"/>
      <c r="E28" s="2654"/>
      <c r="F28" s="2654"/>
      <c r="G28" s="2666"/>
      <c r="H28" s="2666"/>
      <c r="I28" s="2666"/>
      <c r="J28" s="2666"/>
      <c r="K28" s="2665"/>
      <c r="L28" s="2665"/>
      <c r="M28" s="2664"/>
      <c r="N28" s="2664"/>
      <c r="O28" s="2664"/>
      <c r="P28" s="2664"/>
      <c r="Q28" s="2664"/>
      <c r="R28" s="2664"/>
      <c r="S28" s="2664"/>
      <c r="T28" s="2664"/>
      <c r="U28" s="3527">
        <f>商业!C38</f>
        <v>14731.531999999996</v>
      </c>
      <c r="V28" s="2664">
        <v>5</v>
      </c>
      <c r="W28" s="2664">
        <v>0.6</v>
      </c>
      <c r="X28" s="2664">
        <f>ROUND($X$24*W28,1)</f>
        <v>9</v>
      </c>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成本法!C10+成本法!C9</f>
        <v>2078</v>
      </c>
      <c r="C29" s="2795" t="s">
        <v>2280</v>
      </c>
      <c r="D29" s="2672"/>
      <c r="E29" s="2654"/>
      <c r="F29" s="2654"/>
      <c r="G29" s="2666"/>
      <c r="H29" s="2666"/>
      <c r="I29" s="2666"/>
      <c r="J29" s="2666"/>
      <c r="K29" s="2665"/>
      <c r="L29" s="2665"/>
      <c r="M29" s="2664"/>
      <c r="N29" s="2664"/>
      <c r="O29" s="2664"/>
      <c r="P29" s="2664"/>
      <c r="Q29" s="2664"/>
      <c r="R29" s="2664"/>
      <c r="S29" s="2664"/>
      <c r="T29" s="2664"/>
      <c r="U29" s="3528">
        <f>SUM(U22:U28)</f>
        <v>92013.619999999981</v>
      </c>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796" t="s">
        <v>2281</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6" t="s">
        <v>2282</v>
      </c>
      <c r="D34" s="2677" t="s">
        <v>2290</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6" t="s">
        <v>2283</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6" t="s">
        <v>2284</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1" t="s">
        <v>1228</v>
      </c>
      <c r="B37" s="115">
        <v>0.02</v>
      </c>
      <c r="C37" s="2796" t="s">
        <v>2285</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9" t="s">
        <v>1229</v>
      </c>
      <c r="B38" s="113">
        <v>0.02</v>
      </c>
      <c r="C38" s="2796" t="s">
        <v>2285</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2"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2300</v>
      </c>
      <c r="B40" s="1078">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7"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3"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3"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4" t="s">
        <v>1234</v>
      </c>
      <c r="B44" s="119">
        <v>7.0000000000000007E-2</v>
      </c>
      <c r="C44" s="2796" t="s">
        <v>2294</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4" t="s">
        <v>1235</v>
      </c>
      <c r="B45" s="117">
        <v>0.03</v>
      </c>
      <c r="C45" s="2795" t="s">
        <v>2286</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4" t="s">
        <v>1236</v>
      </c>
      <c r="B46" s="117">
        <v>0.02</v>
      </c>
      <c r="C46" s="2795" t="s">
        <v>2287</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5" t="s">
        <v>1237</v>
      </c>
      <c r="B47" s="120">
        <v>0</v>
      </c>
      <c r="C47" s="2798" t="s">
        <v>2295</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6" t="s">
        <v>1238</v>
      </c>
      <c r="B48" s="121">
        <v>0.03</v>
      </c>
      <c r="C48" s="2795" t="s">
        <v>2286</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2" t="s">
        <v>1239</v>
      </c>
      <c r="B49" s="117">
        <v>5.0000000000000001E-4</v>
      </c>
      <c r="C49" s="2795" t="s">
        <v>2288</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7"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30"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7" t="s">
        <v>1242</v>
      </c>
      <c r="B52" s="124">
        <f>SUMIF(A54:A63,B53,B54:B63)</f>
        <v>18</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9" t="s">
        <v>1243</v>
      </c>
      <c r="B53" s="1738" t="s">
        <v>296</v>
      </c>
      <c r="C53" s="2654" t="s">
        <v>1244</v>
      </c>
      <c r="D53" s="2797" t="s">
        <v>2292</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9"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9"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9" t="s">
        <v>1247</v>
      </c>
      <c r="B56" s="75">
        <v>18</v>
      </c>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9"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9"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9" t="s">
        <v>1250</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9"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9"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9"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40"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4.25"/>
  <cols>
    <col min="1" max="1" width="9.5" style="1686"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6"/>
  </cols>
  <sheetData>
    <row r="1" spans="1:29" s="2455" customFormat="1" ht="18.75" thickBot="1">
      <c r="A1" s="3627" t="s">
        <v>2272</v>
      </c>
      <c r="B1" s="3628"/>
      <c r="C1" s="3628"/>
      <c r="D1" s="3628"/>
      <c r="E1" s="3628"/>
      <c r="F1" s="3628"/>
      <c r="G1" s="362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2269</v>
      </c>
      <c r="D2" s="2459"/>
      <c r="E2" s="2456"/>
      <c r="F2" s="2460"/>
      <c r="G2" s="2458" t="s">
        <v>2270</v>
      </c>
      <c r="H2" s="799"/>
      <c r="I2" s="799"/>
      <c r="J2" s="799"/>
      <c r="K2" s="799"/>
      <c r="L2" s="799"/>
      <c r="M2" s="799"/>
      <c r="N2" s="799"/>
      <c r="O2" s="799"/>
      <c r="P2" s="799"/>
      <c r="Q2" s="799"/>
      <c r="R2" s="799"/>
    </row>
    <row r="3" spans="1:29" ht="24">
      <c r="A3" s="2439" t="s">
        <v>2271</v>
      </c>
      <c r="B3" s="2461" t="s">
        <v>2247</v>
      </c>
      <c r="C3" s="3443" t="s">
        <v>3387</v>
      </c>
      <c r="D3" s="2462"/>
      <c r="E3" s="2440" t="s">
        <v>2271</v>
      </c>
      <c r="F3" s="2463" t="s">
        <v>2248</v>
      </c>
      <c r="G3" s="3446" t="s">
        <v>3387</v>
      </c>
      <c r="H3" s="799"/>
      <c r="I3" s="799"/>
      <c r="J3" s="799"/>
      <c r="K3" s="799"/>
      <c r="L3" s="799"/>
      <c r="M3" s="799"/>
      <c r="N3" s="799"/>
      <c r="O3" s="799"/>
      <c r="P3" s="799"/>
      <c r="Q3" s="799"/>
      <c r="R3" s="799"/>
    </row>
    <row r="4" spans="1:29">
      <c r="A4" s="2440"/>
      <c r="B4" s="323" t="s">
        <v>2249</v>
      </c>
      <c r="C4" s="3444" t="s">
        <v>3388</v>
      </c>
      <c r="D4" s="2462"/>
      <c r="E4" s="2464"/>
      <c r="F4" s="1373" t="s">
        <v>2250</v>
      </c>
      <c r="G4" s="3445" t="s">
        <v>3389</v>
      </c>
      <c r="H4" s="799"/>
      <c r="I4" s="799"/>
      <c r="J4" s="799"/>
      <c r="K4" s="799"/>
      <c r="L4" s="799"/>
      <c r="M4" s="799"/>
      <c r="N4" s="799"/>
      <c r="O4" s="799"/>
      <c r="P4" s="799"/>
      <c r="Q4" s="799"/>
      <c r="R4" s="799"/>
    </row>
    <row r="5" spans="1:29">
      <c r="A5" s="2440"/>
      <c r="B5" s="323" t="s">
        <v>2251</v>
      </c>
      <c r="C5" s="3444" t="s">
        <v>3388</v>
      </c>
      <c r="D5" s="2462"/>
      <c r="E5" s="2464"/>
      <c r="F5" s="323" t="s">
        <v>2252</v>
      </c>
      <c r="G5" s="3445" t="s">
        <v>3389</v>
      </c>
      <c r="H5" s="799"/>
      <c r="I5" s="799"/>
      <c r="J5" s="799"/>
      <c r="K5" s="799"/>
      <c r="L5" s="799"/>
      <c r="M5" s="799"/>
      <c r="N5" s="799"/>
      <c r="O5" s="799"/>
      <c r="P5" s="799"/>
      <c r="Q5" s="799"/>
      <c r="R5" s="799"/>
    </row>
    <row r="6" spans="1:29">
      <c r="A6" s="2440"/>
      <c r="B6" s="323" t="s">
        <v>2253</v>
      </c>
      <c r="C6" s="3445" t="s">
        <v>3389</v>
      </c>
      <c r="D6" s="2462"/>
      <c r="E6" s="2464"/>
      <c r="F6" s="323" t="s">
        <v>2254</v>
      </c>
      <c r="G6" s="3445" t="s">
        <v>3391</v>
      </c>
      <c r="H6" s="799"/>
      <c r="I6" s="799"/>
      <c r="J6" s="799"/>
      <c r="K6" s="799"/>
      <c r="L6" s="799"/>
      <c r="M6" s="799"/>
      <c r="N6" s="799"/>
      <c r="O6" s="799"/>
      <c r="P6" s="799"/>
      <c r="Q6" s="799"/>
      <c r="R6" s="799"/>
    </row>
    <row r="7" spans="1:29" ht="15" thickBot="1">
      <c r="A7" s="2440"/>
      <c r="B7" s="323" t="s">
        <v>2252</v>
      </c>
      <c r="C7" s="3445" t="s">
        <v>3389</v>
      </c>
      <c r="D7" s="2465"/>
      <c r="E7" s="2466"/>
      <c r="F7" s="2467" t="s">
        <v>2255</v>
      </c>
      <c r="G7" s="3447" t="s">
        <v>3389</v>
      </c>
      <c r="H7" s="799"/>
      <c r="I7" s="799"/>
      <c r="J7" s="799"/>
      <c r="K7" s="799"/>
      <c r="L7" s="799"/>
      <c r="M7" s="799"/>
      <c r="N7" s="799"/>
      <c r="O7" s="799"/>
      <c r="P7" s="799"/>
      <c r="Q7" s="799"/>
      <c r="R7" s="799"/>
    </row>
    <row r="8" spans="1:29">
      <c r="A8" s="2440"/>
      <c r="B8" s="323" t="s">
        <v>2254</v>
      </c>
      <c r="C8" s="3445" t="s">
        <v>3391</v>
      </c>
      <c r="D8" s="2465"/>
      <c r="E8" s="2465"/>
      <c r="F8" s="2468"/>
      <c r="G8" s="2468"/>
      <c r="H8" s="799"/>
      <c r="I8" s="799"/>
      <c r="J8" s="799"/>
      <c r="K8" s="799"/>
      <c r="L8" s="799"/>
      <c r="M8" s="799"/>
      <c r="N8" s="799"/>
      <c r="O8" s="799"/>
      <c r="P8" s="799"/>
      <c r="Q8" s="799"/>
      <c r="R8" s="799"/>
    </row>
    <row r="9" spans="1:29">
      <c r="A9" s="2440"/>
      <c r="B9" s="323" t="s">
        <v>2256</v>
      </c>
      <c r="C9" s="3444" t="s">
        <v>3389</v>
      </c>
      <c r="D9" s="2462"/>
      <c r="E9" s="2465"/>
      <c r="F9" s="2468"/>
      <c r="G9" s="2468"/>
      <c r="H9" s="799"/>
      <c r="I9" s="799"/>
      <c r="J9" s="799"/>
      <c r="K9" s="799"/>
      <c r="L9" s="799"/>
      <c r="M9" s="799"/>
      <c r="N9" s="799"/>
      <c r="O9" s="799"/>
      <c r="P9" s="799"/>
      <c r="Q9" s="799"/>
      <c r="R9" s="799"/>
    </row>
    <row r="10" spans="1:29" s="2474" customFormat="1" ht="15" thickBot="1">
      <c r="A10" s="2441"/>
      <c r="B10" s="2469" t="s">
        <v>2257</v>
      </c>
      <c r="C10" s="2470"/>
      <c r="D10" s="2462"/>
      <c r="E10" s="2462"/>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5"/>
      <c r="C11" s="2462"/>
      <c r="D11" s="2462"/>
      <c r="E11" s="2462"/>
      <c r="F11" s="2465"/>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5" customFormat="1" ht="18">
      <c r="A12" s="2475"/>
      <c r="B12" s="2465"/>
      <c r="C12" s="2462"/>
      <c r="D12" s="2477"/>
      <c r="E12" s="2462"/>
      <c r="F12" s="2465"/>
      <c r="G12" s="2476"/>
      <c r="H12" s="2478"/>
      <c r="I12" s="2479"/>
      <c r="J12" s="2478"/>
      <c r="K12" s="2478"/>
      <c r="L12" s="2480"/>
      <c r="M12" s="2478"/>
      <c r="N12" s="2481"/>
      <c r="O12" s="2482"/>
      <c r="P12" s="2481"/>
      <c r="Q12" s="2481"/>
      <c r="R12" s="2453"/>
      <c r="S12" s="2454"/>
      <c r="T12" s="2454"/>
      <c r="U12" s="2454"/>
      <c r="V12" s="2454"/>
      <c r="W12" s="2454"/>
      <c r="X12" s="2454"/>
      <c r="Y12" s="2454"/>
      <c r="Z12" s="2454"/>
      <c r="AA12" s="2454"/>
      <c r="AB12" s="2454"/>
      <c r="AC12" s="2454"/>
    </row>
    <row r="13" spans="1:29" ht="15.75" thickBot="1">
      <c r="A13" s="2483" t="s">
        <v>2273</v>
      </c>
      <c r="B13" s="2477"/>
      <c r="C13" s="2477"/>
      <c r="D13" s="2475"/>
      <c r="E13" s="2477"/>
      <c r="F13" s="2477"/>
      <c r="G13" s="2477"/>
    </row>
    <row r="14" spans="1:29" ht="15" thickBot="1">
      <c r="A14" s="2487"/>
      <c r="B14" s="2487"/>
      <c r="C14" s="2488" t="s">
        <v>2258</v>
      </c>
      <c r="D14" s="2462"/>
      <c r="E14" s="2489"/>
      <c r="F14" s="2489"/>
      <c r="G14" s="2458" t="s">
        <v>2259</v>
      </c>
    </row>
    <row r="15" spans="1:29" ht="24">
      <c r="A15" s="2442" t="s">
        <v>2260</v>
      </c>
      <c r="B15" s="2490" t="s">
        <v>2247</v>
      </c>
      <c r="C15" s="2491" t="str">
        <f>C3</f>
        <v>较好</v>
      </c>
      <c r="D15" s="2462"/>
      <c r="E15" s="2443" t="s">
        <v>2261</v>
      </c>
      <c r="F15" s="2490" t="s">
        <v>2262</v>
      </c>
      <c r="G15" s="2492" t="str">
        <f>G3</f>
        <v>较好</v>
      </c>
    </row>
    <row r="16" spans="1:29">
      <c r="A16" s="2444"/>
      <c r="B16" s="2493" t="s">
        <v>2249</v>
      </c>
      <c r="C16" s="2494" t="str">
        <f>C4</f>
        <v>较好</v>
      </c>
      <c r="D16" s="2462"/>
      <c r="E16" s="2445"/>
      <c r="F16" s="2495" t="s">
        <v>2250</v>
      </c>
      <c r="G16" s="2496" t="str">
        <f>G4</f>
        <v>较好</v>
      </c>
    </row>
    <row r="17" spans="1:18">
      <c r="A17" s="2444"/>
      <c r="B17" s="2493" t="s">
        <v>2251</v>
      </c>
      <c r="C17" s="2494" t="str">
        <f>C5</f>
        <v>较好</v>
      </c>
      <c r="D17" s="2465"/>
      <c r="E17" s="2445"/>
      <c r="F17" s="2495" t="s">
        <v>2263</v>
      </c>
      <c r="G17" s="3448" t="s">
        <v>3392</v>
      </c>
    </row>
    <row r="18" spans="1:18">
      <c r="A18" s="2444"/>
      <c r="B18" s="2495" t="s">
        <v>2253</v>
      </c>
      <c r="C18" s="2496" t="str">
        <f>C6</f>
        <v>较好</v>
      </c>
      <c r="D18" s="2465"/>
      <c r="E18" s="2445"/>
      <c r="F18" s="2495" t="s">
        <v>2255</v>
      </c>
      <c r="G18" s="2496" t="str">
        <f>G7</f>
        <v>较好</v>
      </c>
    </row>
    <row r="19" spans="1:18">
      <c r="A19" s="2444"/>
      <c r="B19" s="2495" t="s">
        <v>2264</v>
      </c>
      <c r="C19" s="3448" t="s">
        <v>3392</v>
      </c>
      <c r="D19" s="2462"/>
      <c r="E19" s="2445"/>
      <c r="F19" s="323" t="s">
        <v>2252</v>
      </c>
      <c r="G19" s="2496" t="str">
        <f>G5</f>
        <v>较好</v>
      </c>
    </row>
    <row r="20" spans="1:18">
      <c r="A20" s="2444"/>
      <c r="B20" s="2495" t="s">
        <v>2265</v>
      </c>
      <c r="C20" s="2494" t="str">
        <f>C9</f>
        <v>较好</v>
      </c>
      <c r="D20" s="2465"/>
      <c r="E20" s="2445"/>
      <c r="F20" s="323" t="s">
        <v>2254</v>
      </c>
      <c r="G20" s="2496" t="str">
        <f>G6</f>
        <v>七通</v>
      </c>
    </row>
    <row r="21" spans="1:18">
      <c r="A21" s="2444"/>
      <c r="B21" s="323" t="s">
        <v>2252</v>
      </c>
      <c r="C21" s="2496" t="str">
        <f>C7</f>
        <v>较好</v>
      </c>
      <c r="D21" s="2462"/>
      <c r="E21" s="2445"/>
      <c r="F21" s="2495" t="s">
        <v>2266</v>
      </c>
      <c r="G21" s="2498"/>
    </row>
    <row r="22" spans="1:18" ht="13.5" customHeight="1">
      <c r="A22" s="2444"/>
      <c r="B22" s="323" t="s">
        <v>2254</v>
      </c>
      <c r="C22" s="2496" t="str">
        <f>C8</f>
        <v>七通</v>
      </c>
      <c r="D22" s="2462"/>
      <c r="E22" s="2445"/>
      <c r="F22" s="2495" t="s">
        <v>2257</v>
      </c>
      <c r="G22" s="2497"/>
    </row>
    <row r="23" spans="1:18" s="799" customFormat="1" ht="15" thickBot="1">
      <c r="A23" s="2444"/>
      <c r="B23" s="2495" t="s">
        <v>2266</v>
      </c>
      <c r="C23" s="2498"/>
      <c r="D23" s="1741"/>
      <c r="E23" s="2446"/>
      <c r="F23" s="2499" t="s">
        <v>2267</v>
      </c>
      <c r="G23" s="2500"/>
      <c r="H23" s="2484"/>
      <c r="I23" s="2485"/>
      <c r="J23" s="2484"/>
      <c r="K23" s="2484"/>
      <c r="L23" s="2485"/>
      <c r="M23" s="2484"/>
      <c r="N23" s="2484"/>
      <c r="O23" s="2485"/>
      <c r="P23" s="2484"/>
      <c r="Q23" s="2484"/>
      <c r="R23" s="2486"/>
    </row>
    <row r="24" spans="1:18" s="799" customFormat="1" ht="15" thickBot="1">
      <c r="A24" s="2447"/>
      <c r="B24" s="2499" t="s">
        <v>2268</v>
      </c>
      <c r="C24" s="2501">
        <f>C10</f>
        <v>0</v>
      </c>
      <c r="D24" s="1741"/>
      <c r="E24" s="2437"/>
      <c r="F24" s="2437"/>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103889.93</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45210</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269287</v>
      </c>
      <c r="C5" s="2505">
        <f ca="1">IF(B5=D14,结果表!H102,ROUND(B5*10000/$B$1,0))</f>
        <v>25920</v>
      </c>
      <c r="D5" s="2505" t="e">
        <f ca="1">ROUND(B5*10000/$B$2,0)</f>
        <v>#DIV/0!</v>
      </c>
      <c r="E5" s="2679"/>
      <c r="F5" s="2680"/>
      <c r="G5" s="2680"/>
      <c r="H5" s="2681"/>
      <c r="I5" s="2681"/>
      <c r="J5" s="2681"/>
      <c r="K5" s="2681"/>
    </row>
    <row r="6" spans="1:11" ht="16.5">
      <c r="A6" s="2505" t="s">
        <v>656</v>
      </c>
      <c r="B6" s="2505">
        <f ca="1">SUM(G14:G23)</f>
        <v>269287</v>
      </c>
      <c r="C6" s="2505">
        <f ca="1">IF(B6=G14,结果表!H108,ROUND(B6*10000/$B$1,0))</f>
        <v>25920</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3347</v>
      </c>
      <c r="D10" s="2505" t="s">
        <v>3348</v>
      </c>
      <c r="E10" s="3433"/>
      <c r="F10" s="3437" t="s">
        <v>3349</v>
      </c>
      <c r="G10" s="3434"/>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103889.93</v>
      </c>
      <c r="C14" s="2511">
        <f>结果表!C118</f>
        <v>0</v>
      </c>
      <c r="D14" s="2511">
        <f ca="1">结果表!H118</f>
        <v>269287</v>
      </c>
      <c r="E14" s="2511">
        <f ca="1">ROUND(D14*10000/B14,0)</f>
        <v>25920</v>
      </c>
      <c r="F14" s="2511" t="e">
        <f ca="1">ROUND(D14*10000/C14,0)</f>
        <v>#DIV/0!</v>
      </c>
      <c r="G14" s="2511">
        <f ca="1">结果表!H107</f>
        <v>269287</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31"/>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1" zoomScale="90" zoomScaleNormal="100" zoomScaleSheetLayoutView="90" zoomScalePageLayoutView="80" workbookViewId="0">
      <selection activeCell="D127" sqref="D127:I1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96" t="str">
        <f>项目基本情况!S2</f>
        <v>北京市丰台区丽泽路16号院1号楼房地产</v>
      </c>
      <c r="B2" s="3697"/>
      <c r="C2" s="3697"/>
      <c r="D2" s="3697"/>
      <c r="E2" s="3697"/>
      <c r="F2" s="3697"/>
      <c r="G2" s="3697"/>
      <c r="H2" s="3697"/>
      <c r="I2" s="3698"/>
    </row>
    <row r="3" spans="1:12" ht="12.75">
      <c r="A3" s="3700" t="s">
        <v>1262</v>
      </c>
      <c r="B3" s="3701"/>
      <c r="C3" s="3701"/>
      <c r="D3" s="3701"/>
      <c r="E3" s="3701"/>
      <c r="F3" s="3701"/>
      <c r="G3" s="3701"/>
      <c r="H3" s="3701"/>
      <c r="I3" s="3701"/>
    </row>
    <row r="4" spans="1:12" ht="14.25">
      <c r="A4" s="1754" t="s">
        <v>1263</v>
      </c>
      <c r="B4" s="1755" t="s">
        <v>1264</v>
      </c>
      <c r="C4" s="1756" t="s">
        <v>3398</v>
      </c>
      <c r="D4" s="1756" t="s">
        <v>3727</v>
      </c>
      <c r="E4" s="3705" t="s">
        <v>1265</v>
      </c>
      <c r="F4" s="3706"/>
      <c r="G4" s="3706"/>
      <c r="H4" s="3706"/>
      <c r="I4" s="370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4" t="s">
        <v>1266</v>
      </c>
      <c r="B5" s="3699">
        <v>25</v>
      </c>
      <c r="C5" s="3702"/>
      <c r="D5" s="3690"/>
      <c r="E5" s="131" t="s">
        <v>1267</v>
      </c>
      <c r="F5" s="1757"/>
      <c r="G5" s="1757"/>
      <c r="H5" s="1757"/>
      <c r="I5" s="1373"/>
    </row>
    <row r="6" spans="1:12" ht="12.75">
      <c r="A6" s="3644"/>
      <c r="B6" s="3699"/>
      <c r="C6" s="3704"/>
      <c r="D6" s="3690"/>
      <c r="E6" s="131" t="s">
        <v>1268</v>
      </c>
      <c r="F6" s="1757"/>
      <c r="G6" s="1757"/>
      <c r="H6" s="1757"/>
      <c r="I6" s="1373"/>
    </row>
    <row r="7" spans="1:12" ht="12.75">
      <c r="A7" s="3644"/>
      <c r="B7" s="3699"/>
      <c r="C7" s="3703"/>
      <c r="D7" s="3690"/>
      <c r="E7" s="131" t="s">
        <v>1269</v>
      </c>
      <c r="F7" s="1757"/>
      <c r="G7" s="1757"/>
      <c r="H7" s="1757"/>
      <c r="I7" s="1373"/>
    </row>
    <row r="8" spans="1:12" ht="12.75">
      <c r="A8" s="3644" t="s">
        <v>1270</v>
      </c>
      <c r="B8" s="3699">
        <v>15</v>
      </c>
      <c r="C8" s="3702"/>
      <c r="D8" s="3690"/>
      <c r="E8" s="131" t="s">
        <v>1271</v>
      </c>
      <c r="F8" s="1757"/>
      <c r="G8" s="1757"/>
      <c r="H8" s="1757"/>
      <c r="I8" s="1373"/>
    </row>
    <row r="9" spans="1:12" ht="12.75">
      <c r="A9" s="3644"/>
      <c r="B9" s="3699"/>
      <c r="C9" s="3703"/>
      <c r="D9" s="3690"/>
      <c r="E9" s="131" t="s">
        <v>1272</v>
      </c>
      <c r="F9" s="1757"/>
      <c r="G9" s="1757"/>
      <c r="H9" s="1757"/>
      <c r="I9" s="1373"/>
    </row>
    <row r="10" spans="1:12" ht="12.75">
      <c r="A10" s="3644" t="s">
        <v>1273</v>
      </c>
      <c r="B10" s="3699">
        <v>15</v>
      </c>
      <c r="C10" s="3702"/>
      <c r="D10" s="3690"/>
      <c r="E10" s="131" t="s">
        <v>1274</v>
      </c>
      <c r="F10" s="1757"/>
      <c r="G10" s="1757"/>
      <c r="H10" s="1757"/>
      <c r="I10" s="1373"/>
    </row>
    <row r="11" spans="1:12" ht="12.75">
      <c r="A11" s="3644"/>
      <c r="B11" s="3699"/>
      <c r="C11" s="3703"/>
      <c r="D11" s="3690"/>
      <c r="E11" s="131" t="s">
        <v>1275</v>
      </c>
      <c r="F11" s="1757"/>
      <c r="G11" s="1757"/>
      <c r="H11" s="1757"/>
      <c r="I11" s="1373"/>
    </row>
    <row r="12" spans="1:12" ht="12.75">
      <c r="A12" s="3644" t="s">
        <v>1276</v>
      </c>
      <c r="B12" s="3699">
        <v>15</v>
      </c>
      <c r="C12" s="3702"/>
      <c r="D12" s="3690"/>
      <c r="E12" s="131" t="s">
        <v>1277</v>
      </c>
      <c r="F12" s="1757"/>
      <c r="G12" s="1757"/>
      <c r="H12" s="1757"/>
      <c r="I12" s="1373"/>
    </row>
    <row r="13" spans="1:12" ht="12.75">
      <c r="A13" s="3644"/>
      <c r="B13" s="3699"/>
      <c r="C13" s="3703"/>
      <c r="D13" s="3690"/>
      <c r="E13" s="131" t="s">
        <v>1278</v>
      </c>
      <c r="F13" s="1757"/>
      <c r="G13" s="1757"/>
      <c r="H13" s="1757"/>
      <c r="I13" s="1373"/>
    </row>
    <row r="14" spans="1:12" ht="12.75">
      <c r="A14" s="3644" t="s">
        <v>1279</v>
      </c>
      <c r="B14" s="3699">
        <v>30</v>
      </c>
      <c r="C14" s="3702">
        <v>6</v>
      </c>
      <c r="D14" s="3690">
        <f>10-C14</f>
        <v>4</v>
      </c>
      <c r="E14" s="131" t="s">
        <v>1280</v>
      </c>
      <c r="F14" s="1757"/>
      <c r="G14" s="1757"/>
      <c r="H14" s="1757"/>
      <c r="I14" s="1373"/>
    </row>
    <row r="15" spans="1:12" ht="12.75">
      <c r="A15" s="3644"/>
      <c r="B15" s="3699"/>
      <c r="C15" s="3704"/>
      <c r="D15" s="3690"/>
      <c r="E15" s="131" t="s">
        <v>1281</v>
      </c>
      <c r="F15" s="1757"/>
      <c r="G15" s="1757"/>
      <c r="H15" s="1757"/>
      <c r="I15" s="1373"/>
    </row>
    <row r="16" spans="1:12" ht="12.75">
      <c r="A16" s="3644"/>
      <c r="B16" s="3699"/>
      <c r="C16" s="3703"/>
      <c r="D16" s="3690"/>
      <c r="E16" s="131" t="s">
        <v>1282</v>
      </c>
      <c r="F16" s="1757"/>
      <c r="G16" s="1757"/>
      <c r="H16" s="1757"/>
      <c r="I16" s="1373"/>
    </row>
    <row r="17" spans="1:36" ht="15">
      <c r="A17" s="1758" t="s">
        <v>1283</v>
      </c>
      <c r="B17" s="56"/>
      <c r="C17" s="132">
        <f>SUM(C5:C16)</f>
        <v>6</v>
      </c>
      <c r="D17" s="132">
        <f>SUM(D5:D16)</f>
        <v>4</v>
      </c>
      <c r="E17" s="129"/>
      <c r="F17" s="129"/>
      <c r="G17" s="129"/>
      <c r="H17" s="129"/>
      <c r="I17" s="129"/>
      <c r="K17" s="302"/>
      <c r="L17" s="302" t="s">
        <v>1284</v>
      </c>
      <c r="M17" s="302" t="s">
        <v>1285</v>
      </c>
    </row>
    <row r="18" spans="1:36" ht="31.9" customHeight="1" thickBot="1">
      <c r="A18" s="1759" t="s">
        <v>1286</v>
      </c>
      <c r="B18" s="1760"/>
      <c r="C18" s="133">
        <f>ROUND(C17/SUM(C17:D17),2)</f>
        <v>0.6</v>
      </c>
      <c r="D18" s="133">
        <f>1-C18</f>
        <v>0.4</v>
      </c>
      <c r="E18" s="3721" t="s">
        <v>2129</v>
      </c>
      <c r="F18" s="3722"/>
      <c r="G18" s="3722"/>
      <c r="H18" s="3722"/>
      <c r="I18" s="3722"/>
      <c r="K18" s="302" t="s">
        <v>1287</v>
      </c>
      <c r="L18" s="302">
        <f>IF(C1="",'数据-汇总表'!E3,SUMIF(项目类型,C1,'数据-汇总表'!E17:E26)+SUMIF(项目类型,C1,'数据-汇总表'!I17:I26))</f>
        <v>103889.93</v>
      </c>
      <c r="M18" s="302">
        <f>IF(C1="",'数据-汇总表'!E3,SUMIF(项目类型,C1,'数据-汇总表'!E17:E26))</f>
        <v>103889.93</v>
      </c>
    </row>
    <row r="19" spans="1:36" ht="15">
      <c r="A19" s="1761" t="s">
        <v>1288</v>
      </c>
      <c r="B19" s="1762" t="s">
        <v>1289</v>
      </c>
      <c r="C19" s="134">
        <f ca="1">SUMIF(INDIRECT("'"&amp;C4&amp;"'"&amp;"!A:A"),结果表!B19,INDIRECT("'"&amp;C4&amp;"'"&amp;"!B:B"))</f>
        <v>309333</v>
      </c>
      <c r="D19" s="135">
        <f ca="1">SUMIF(INDIRECT("'"&amp;D4&amp;"'"&amp;"!A:A"),结果表!B19,INDIRECT("'"&amp;D4&amp;"'"&amp;"!B:B"))</f>
        <v>209217</v>
      </c>
      <c r="E19" s="1761" t="s">
        <v>1290</v>
      </c>
      <c r="F19" s="1762" t="s">
        <v>1289</v>
      </c>
      <c r="G19" s="136">
        <f ca="1">ROUND(C19*$C$18+D19*$D$18,0)</f>
        <v>269287</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29775</v>
      </c>
      <c r="D20" s="138">
        <f ca="1">SUMIF(INDIRECT("'"&amp;D4&amp;"'"&amp;"!A:A"),结果表!B20,INDIRECT("'"&amp;D4&amp;"'"&amp;"!B:B"))</f>
        <v>20138</v>
      </c>
      <c r="E20" s="1764"/>
      <c r="F20" s="1026" t="s">
        <v>1293</v>
      </c>
      <c r="G20" s="139">
        <f ca="1">ROUND(C20*$C$18+D20*$D$18,0)</f>
        <v>25920</v>
      </c>
      <c r="H20" s="808" t="s">
        <v>1294</v>
      </c>
      <c r="I20" s="129"/>
      <c r="J20" s="725">
        <f ca="1">G19/'数据-汇总表'!F27</f>
        <v>3.993882376043143</v>
      </c>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0.47852707953942564</v>
      </c>
      <c r="E22" s="129"/>
      <c r="F22" s="129"/>
      <c r="G22" s="129"/>
      <c r="H22" s="129"/>
      <c r="I22" s="129"/>
    </row>
    <row r="23" spans="1:36" ht="13.5" thickBot="1">
      <c r="A23" s="1747"/>
      <c r="B23" s="1747"/>
      <c r="C23" s="1747"/>
      <c r="D23" s="1747"/>
      <c r="E23" s="129"/>
      <c r="F23" s="129"/>
      <c r="G23" s="129"/>
      <c r="H23" s="129"/>
      <c r="I23" s="129"/>
    </row>
    <row r="24" spans="1:36" ht="14.25">
      <c r="A24" s="3714" t="s">
        <v>1297</v>
      </c>
      <c r="B24" s="1762" t="s">
        <v>1289</v>
      </c>
      <c r="C24" s="136">
        <f>IF(B30=0,0,D30)</f>
        <v>0</v>
      </c>
      <c r="D24" s="1769"/>
      <c r="E24" s="129"/>
      <c r="F24" s="129"/>
      <c r="G24" s="129"/>
      <c r="H24" s="129"/>
      <c r="I24" s="129"/>
    </row>
    <row r="25" spans="1:36" ht="14.25">
      <c r="A25" s="3715"/>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1303</v>
      </c>
      <c r="B32" s="1774"/>
      <c r="C32" s="144">
        <f ca="1">IF(D32="总价",G19-C24,G20-C25)</f>
        <v>269287</v>
      </c>
      <c r="D32" s="1775" t="s">
        <v>3393</v>
      </c>
      <c r="E32" s="129"/>
      <c r="F32" s="129"/>
      <c r="G32" s="129"/>
      <c r="H32" s="129"/>
      <c r="I32" s="129"/>
    </row>
    <row r="33" spans="1:15" ht="15">
      <c r="A33" s="786" t="s">
        <v>1304</v>
      </c>
      <c r="B33" s="1776"/>
      <c r="C33" s="1777" t="s">
        <v>3961</v>
      </c>
      <c r="D33" s="1778" t="s">
        <v>3398</v>
      </c>
      <c r="E33" s="1779" t="s">
        <v>1305</v>
      </c>
      <c r="F33" s="1780" t="str">
        <f>IF(D32="楼面单价","取值（单价）","取值（总价）")</f>
        <v>取值（总价）</v>
      </c>
      <c r="G33" s="129"/>
      <c r="H33" s="129"/>
      <c r="I33" s="129"/>
    </row>
    <row r="34" spans="1:15" ht="15">
      <c r="A34" s="1781"/>
      <c r="B34" s="1782" t="s">
        <v>1306</v>
      </c>
      <c r="C34" s="148">
        <f ca="1">IF(C33="自定义",F34,C32-C35)</f>
        <v>200619</v>
      </c>
      <c r="D34" s="861">
        <f ca="1">IF(C33="自定义",ROUND(C34/C32,3),IF(C33="收益比率",SUMIF(INDIRECT("'"&amp;D33&amp;"'"&amp;"!b:b"),"土地收益比率",INDIRECT("'"&amp;D33&amp;"'"&amp;"!c:c")),SUMIF(INDIRECT("'"&amp;D33&amp;"'"&amp;"!b:b"),"土地成本比率",INDIRECT("'"&amp;D33&amp;"'"&amp;"!c:c"))))</f>
        <v>0.745</v>
      </c>
      <c r="E34" s="1783" t="s">
        <v>1307</v>
      </c>
      <c r="F34" s="1330"/>
      <c r="G34" s="129"/>
      <c r="H34" s="129"/>
      <c r="I34" s="129"/>
    </row>
    <row r="35" spans="1:15" ht="15.75" thickBot="1">
      <c r="A35" s="1784"/>
      <c r="B35" s="1785" t="s">
        <v>1308</v>
      </c>
      <c r="C35" s="1170">
        <f ca="1">IF(C33="自定义",F35,ROUND(C32*D35,0))</f>
        <v>68668</v>
      </c>
      <c r="D35" s="1171">
        <f ca="1">IF(C33="自定义",ROUND(C35/C32,3),IF(C33="收益比率",SUMIF(INDIRECT("'"&amp;D33&amp;"'"&amp;"!b:b"),"建筑物收益比率",INDIRECT("'"&amp;D33&amp;"'"&amp;"!c:c")),SUMIF(INDIRECT("'"&amp;D33&amp;"'"&amp;"!b:b"),"建筑物成本比率",INDIRECT("'"&amp;D33&amp;"'"&amp;"!c:c"))))</f>
        <v>0.255</v>
      </c>
      <c r="E35" s="1786" t="s">
        <v>1309</v>
      </c>
      <c r="F35" s="154"/>
      <c r="G35" s="129"/>
      <c r="H35" s="129"/>
      <c r="I35" s="129"/>
    </row>
    <row r="36" spans="1:15" ht="15.75" thickBot="1">
      <c r="A36" s="3691" t="s">
        <v>1310</v>
      </c>
      <c r="B36" s="1787" t="s">
        <v>1311</v>
      </c>
      <c r="C36" s="145"/>
      <c r="D36" s="1788"/>
      <c r="E36" s="1789"/>
      <c r="F36" s="1790"/>
      <c r="G36" s="129"/>
      <c r="H36" s="129"/>
      <c r="I36" s="129"/>
    </row>
    <row r="37" spans="1:15" ht="15.75" thickBot="1">
      <c r="A37" s="3692"/>
      <c r="B37" s="1674" t="s">
        <v>1312</v>
      </c>
      <c r="C37" s="147"/>
      <c r="D37" s="1139"/>
      <c r="E37" s="1139"/>
      <c r="F37" s="1790"/>
      <c r="G37" s="129"/>
      <c r="H37" s="129"/>
      <c r="I37" s="129"/>
    </row>
    <row r="38" spans="1:15" ht="15.75" thickBot="1">
      <c r="A38" s="3693"/>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711" t="s">
        <v>1324</v>
      </c>
      <c r="B45" s="3712"/>
      <c r="C45" s="3713"/>
      <c r="D45" s="155">
        <f ca="1">ROUND(H101*F45,0)</f>
        <v>269287</v>
      </c>
      <c r="E45" s="156" t="s">
        <v>1325</v>
      </c>
      <c r="F45" s="157">
        <v>1</v>
      </c>
      <c r="G45" s="158" t="s">
        <v>1326</v>
      </c>
      <c r="H45" s="129"/>
      <c r="I45" s="129"/>
      <c r="J45" s="3631" t="s">
        <v>1327</v>
      </c>
      <c r="K45" s="3631"/>
      <c r="L45" s="3631"/>
      <c r="M45" s="3631"/>
      <c r="N45" s="3631"/>
      <c r="O45" s="3631"/>
    </row>
    <row r="46" spans="1:15" ht="14.25" hidden="1" customHeight="1">
      <c r="A46" s="3708" t="s">
        <v>1328</v>
      </c>
      <c r="B46" s="3709"/>
      <c r="C46" s="3709"/>
      <c r="D46" s="3709"/>
      <c r="E46" s="3709"/>
      <c r="F46" s="3709"/>
      <c r="G46" s="3710"/>
      <c r="H46" s="1806"/>
      <c r="I46" s="159"/>
      <c r="J46" s="2516">
        <v>1</v>
      </c>
      <c r="K46" s="3632" t="s">
        <v>1329</v>
      </c>
      <c r="L46" s="3632"/>
      <c r="M46" s="3633"/>
      <c r="N46" s="3633"/>
      <c r="O46" s="3633"/>
    </row>
    <row r="47" spans="1:15" ht="12" hidden="1" customHeight="1">
      <c r="A47" s="160" t="s">
        <v>1330</v>
      </c>
      <c r="B47" s="161"/>
      <c r="C47" s="162"/>
      <c r="D47" s="1087" t="s">
        <v>1331</v>
      </c>
      <c r="E47" s="302" t="s">
        <v>1332</v>
      </c>
      <c r="F47" s="163" t="s">
        <v>1333</v>
      </c>
      <c r="G47" s="2539" t="s">
        <v>1334</v>
      </c>
      <c r="H47" s="2540"/>
      <c r="I47" s="159"/>
      <c r="J47" s="2516">
        <v>2</v>
      </c>
      <c r="K47" s="3632" t="s">
        <v>1335</v>
      </c>
      <c r="L47" s="3632"/>
      <c r="M47" s="3634">
        <f>'数据-取费表'!B2</f>
        <v>45210</v>
      </c>
      <c r="N47" s="3634"/>
      <c r="O47" s="3634"/>
    </row>
    <row r="48" spans="1:15" ht="25.5" hidden="1">
      <c r="A48" s="3694" t="s">
        <v>1336</v>
      </c>
      <c r="B48" s="3695"/>
      <c r="C48" s="3695"/>
      <c r="D48" s="2322">
        <f ca="1">IF(H48="情况1",0,IF(H48="情况2",D52,IF(H48="情况3",D53,IF(H48="情况4",D54))))</f>
        <v>14362</v>
      </c>
      <c r="E48" s="2332" t="str">
        <f>IF(H48="情况4","(销售额-原购置价)×税（费）率","销售额×税（费）率")</f>
        <v>销售额×税（费）率</v>
      </c>
      <c r="F48" s="2541">
        <f>IF(H48="情况1","免征",'数据-取费表'!B41)</f>
        <v>5.6000000000000001E-2</v>
      </c>
      <c r="G48" s="2542" t="s">
        <v>1337</v>
      </c>
      <c r="H48" s="2543" t="s">
        <v>3394</v>
      </c>
      <c r="I48" s="1806"/>
      <c r="J48" s="2516">
        <v>3</v>
      </c>
      <c r="K48" s="3632" t="s">
        <v>1338</v>
      </c>
      <c r="L48" s="3632"/>
      <c r="M48" s="3635">
        <f ca="1">H101</f>
        <v>269287</v>
      </c>
      <c r="N48" s="3635"/>
      <c r="O48" s="3635"/>
    </row>
    <row r="49" spans="1:35" ht="25.5" hidden="1" customHeight="1">
      <c r="A49" s="2331" t="s">
        <v>1339</v>
      </c>
      <c r="B49" s="3680" t="s">
        <v>1340</v>
      </c>
      <c r="C49" s="3680"/>
      <c r="D49" s="1590">
        <v>0</v>
      </c>
      <c r="E49" s="324" t="s">
        <v>1341</v>
      </c>
      <c r="F49" s="2422" t="s">
        <v>28</v>
      </c>
      <c r="G49" s="3663"/>
      <c r="H49" s="2308" t="s">
        <v>2132</v>
      </c>
      <c r="I49" s="2309"/>
      <c r="J49" s="2516">
        <v>4</v>
      </c>
      <c r="K49" s="3632" t="str">
        <f>IF(项目基本情况!E8="房地产抵押价值","房地产抵押价值","抵押担保权已注销时的房地产抵押价值")</f>
        <v>房地产抵押价值</v>
      </c>
      <c r="L49" s="3632"/>
      <c r="M49" s="3635">
        <f ca="1">IF(项目基本情况!E8="房地产抵押价值",H107,H109)</f>
        <v>269287</v>
      </c>
      <c r="N49" s="3635"/>
      <c r="O49" s="3635"/>
    </row>
    <row r="50" spans="1:35" ht="25.5" hidden="1" customHeight="1">
      <c r="A50" s="2544"/>
      <c r="B50" s="3680" t="s">
        <v>1342</v>
      </c>
      <c r="C50" s="3680"/>
      <c r="D50" s="2545"/>
      <c r="E50" s="332"/>
      <c r="F50" s="2422"/>
      <c r="G50" s="3664"/>
      <c r="H50" s="2310" t="s">
        <v>2133</v>
      </c>
      <c r="I50" s="2309"/>
      <c r="J50" s="3631" t="s">
        <v>1343</v>
      </c>
      <c r="K50" s="3631"/>
      <c r="L50" s="3631"/>
      <c r="M50" s="3631"/>
      <c r="N50" s="3631"/>
      <c r="O50" s="3631"/>
    </row>
    <row r="51" spans="1:35" ht="20.45" hidden="1" customHeight="1">
      <c r="A51" s="2546"/>
      <c r="B51" s="3680" t="s">
        <v>1344</v>
      </c>
      <c r="C51" s="3680"/>
      <c r="D51" s="1087"/>
      <c r="E51" s="327"/>
      <c r="F51" s="2422"/>
      <c r="G51" s="3665"/>
      <c r="H51" s="2310" t="s">
        <v>2134</v>
      </c>
      <c r="I51" s="2309"/>
      <c r="J51" s="2517" t="s">
        <v>1345</v>
      </c>
      <c r="K51" s="3632" t="s">
        <v>1346</v>
      </c>
      <c r="L51" s="3632"/>
      <c r="M51" s="2517" t="s">
        <v>1347</v>
      </c>
      <c r="N51" s="2517" t="s">
        <v>1348</v>
      </c>
      <c r="O51" s="2517" t="s">
        <v>1349</v>
      </c>
    </row>
    <row r="52" spans="1:35" ht="24" hidden="1" customHeight="1">
      <c r="A52" s="2333" t="s">
        <v>1350</v>
      </c>
      <c r="B52" s="3680" t="s">
        <v>1351</v>
      </c>
      <c r="C52" s="3680"/>
      <c r="D52" s="1087">
        <f ca="1">ROUND(D45*'数据-取费表'!B41/(1+'数据-取费表'!C42),0)</f>
        <v>14362</v>
      </c>
      <c r="E52" s="2332" t="s">
        <v>1352</v>
      </c>
      <c r="F52" s="2547">
        <f>'数据-取费表'!B41</f>
        <v>5.6000000000000001E-2</v>
      </c>
      <c r="G52" s="2548"/>
      <c r="H52" s="2537"/>
      <c r="I52" s="1807"/>
      <c r="J52" s="2516">
        <v>1</v>
      </c>
      <c r="K52" s="3657" t="s">
        <v>1353</v>
      </c>
      <c r="L52" s="3657"/>
      <c r="M52" s="2518">
        <f ca="1">D48</f>
        <v>14362</v>
      </c>
      <c r="N52" s="2516" t="str">
        <f>E48</f>
        <v>销售额×税（费）率</v>
      </c>
      <c r="O52" s="2519">
        <f>F48</f>
        <v>5.6000000000000001E-2</v>
      </c>
    </row>
    <row r="53" spans="1:35" ht="12" hidden="1" customHeight="1">
      <c r="A53" s="2333" t="s">
        <v>1354</v>
      </c>
      <c r="B53" s="3681" t="s">
        <v>2277</v>
      </c>
      <c r="C53" s="3682"/>
      <c r="D53" s="1087">
        <f ca="1">ROUND(D45*'数据-取费表'!B41/(1+'数据-取费表'!C42),0)</f>
        <v>14362</v>
      </c>
      <c r="E53" s="2332" t="s">
        <v>1352</v>
      </c>
      <c r="F53" s="2547">
        <f>'数据-取费表'!B41</f>
        <v>5.6000000000000001E-2</v>
      </c>
      <c r="G53" s="2548"/>
      <c r="H53" s="2537"/>
      <c r="I53" s="1807"/>
      <c r="J53" s="2516">
        <v>2</v>
      </c>
      <c r="K53" s="3657" t="s">
        <v>1355</v>
      </c>
      <c r="L53" s="3657"/>
      <c r="M53" s="2518">
        <f t="shared" ref="M53:O54" ca="1" si="0">D55</f>
        <v>135</v>
      </c>
      <c r="N53" s="2516" t="str">
        <f t="shared" si="0"/>
        <v>销售额×税（费）率</v>
      </c>
      <c r="O53" s="2519">
        <f t="shared" si="0"/>
        <v>5.0000000000000001E-4</v>
      </c>
    </row>
    <row r="54" spans="1:35" ht="12" hidden="1" customHeight="1">
      <c r="A54" s="2333" t="s">
        <v>1356</v>
      </c>
      <c r="B54" s="3681" t="s">
        <v>2278</v>
      </c>
      <c r="C54" s="3682"/>
      <c r="D54" s="1087">
        <f ca="1">C68</f>
        <v>14362</v>
      </c>
      <c r="E54" s="327" t="s">
        <v>1357</v>
      </c>
      <c r="F54" s="2547">
        <f>'数据-取费表'!B41</f>
        <v>5.6000000000000001E-2</v>
      </c>
      <c r="G54" s="2548"/>
      <c r="H54" s="2549"/>
      <c r="I54" s="1807"/>
      <c r="J54" s="2516">
        <v>3</v>
      </c>
      <c r="K54" s="3657" t="s">
        <v>1358</v>
      </c>
      <c r="L54" s="3657"/>
      <c r="M54" s="2518">
        <f t="shared" ca="1" si="0"/>
        <v>152416</v>
      </c>
      <c r="N54" s="2516" t="str">
        <f t="shared" si="0"/>
        <v>增值额×税（费）率</v>
      </c>
      <c r="O54" s="2520" t="str">
        <f t="shared" si="0"/>
        <v>——</v>
      </c>
    </row>
    <row r="55" spans="1:35" ht="24" hidden="1" customHeight="1">
      <c r="A55" s="3717" t="s">
        <v>1359</v>
      </c>
      <c r="B55" s="3695"/>
      <c r="C55" s="3695"/>
      <c r="D55" s="2322">
        <f ca="1">IF(H55="个人住宅",0,ROUND(D45*I55,0))</f>
        <v>135</v>
      </c>
      <c r="E55" s="2332" t="s">
        <v>1360</v>
      </c>
      <c r="F55" s="2547">
        <f>IF(H55="正常",I55,"免征")</f>
        <v>5.0000000000000001E-4</v>
      </c>
      <c r="G55" s="2548"/>
      <c r="H55" s="2543" t="s">
        <v>3395</v>
      </c>
      <c r="I55" s="165">
        <f>'数据-取费表'!B49</f>
        <v>5.0000000000000001E-4</v>
      </c>
      <c r="J55" s="2516" t="str">
        <f>IF(H59="非个人房产","",4)</f>
        <v/>
      </c>
      <c r="K55" s="3657" t="str">
        <f>IF(H59="非个人房产","——","个人所得税")</f>
        <v>——</v>
      </c>
      <c r="L55" s="3657"/>
      <c r="M55" s="2521" t="str">
        <f>D59</f>
        <v>——</v>
      </c>
      <c r="N55" s="2038" t="str">
        <f>E59</f>
        <v>——</v>
      </c>
      <c r="O55" s="2522" t="str">
        <f>F59</f>
        <v>——</v>
      </c>
    </row>
    <row r="56" spans="1:35" ht="24.75" hidden="1">
      <c r="A56" s="3717" t="s">
        <v>1361</v>
      </c>
      <c r="B56" s="3695"/>
      <c r="C56" s="3695"/>
      <c r="D56" s="2322">
        <f ca="1">IF(H56="个人住宅",D57,D58)</f>
        <v>152416</v>
      </c>
      <c r="E56" s="2332" t="s">
        <v>1362</v>
      </c>
      <c r="F56" s="2547" t="str">
        <f>IF(H56="正常",F58,"免征")</f>
        <v>——</v>
      </c>
      <c r="G56" s="2550" t="s">
        <v>1363</v>
      </c>
      <c r="H56" s="2551" t="s">
        <v>3395</v>
      </c>
      <c r="I56" s="1808"/>
      <c r="J56" s="2516" t="str">
        <f>IF(项目基本情况!K6="上海银行",IF(J55="",4,J55+1),"")</f>
        <v/>
      </c>
      <c r="K56" s="3638" t="str">
        <f>IF(项目基本情况!K6="上海银行","其他处置费用","")</f>
        <v/>
      </c>
      <c r="L56" s="3639"/>
      <c r="M56" s="2518" t="str">
        <f>IF(项目基本情况!K6="上海银行",M69,"")</f>
        <v/>
      </c>
      <c r="N56" s="3638" t="str">
        <f>IF(项目基本情况!K6="上海银行","包含处置中涉及的律师、诉讼、拍卖、评估等费用","")</f>
        <v/>
      </c>
      <c r="O56" s="3641"/>
    </row>
    <row r="57" spans="1:35" ht="12.75" hidden="1">
      <c r="A57" s="2333" t="s">
        <v>1339</v>
      </c>
      <c r="B57" s="3681" t="s">
        <v>1364</v>
      </c>
      <c r="C57" s="3682"/>
      <c r="D57" s="1590">
        <v>0</v>
      </c>
      <c r="E57" s="324" t="s">
        <v>1341</v>
      </c>
      <c r="F57" s="302"/>
      <c r="G57" s="2548"/>
      <c r="H57" s="2552"/>
      <c r="I57" s="1808"/>
      <c r="J57" s="3657">
        <f>IF(AND(J55="",J56=""),4,IF(项目基本情况!K6="上海银行",结果表!J56+1,结果表!J55+1))</f>
        <v>4</v>
      </c>
      <c r="K57" s="3657" t="s">
        <v>1365</v>
      </c>
      <c r="L57" s="2523" t="s">
        <v>1366</v>
      </c>
      <c r="M57" s="2524"/>
      <c r="N57" s="2525">
        <f ca="1">SUMIF(M52:M56,"&lt;9e307")</f>
        <v>166913</v>
      </c>
      <c r="O57" s="2526"/>
      <c r="P57" s="2683">
        <f ca="1">N57/M49</f>
        <v>0.61983311485515458</v>
      </c>
    </row>
    <row r="58" spans="1:35" ht="24.75" hidden="1">
      <c r="A58" s="2333" t="s">
        <v>1350</v>
      </c>
      <c r="B58" s="3681" t="s">
        <v>1367</v>
      </c>
      <c r="C58" s="3680"/>
      <c r="D58" s="2322">
        <f ca="1">IF(H58="转让取得",C81,C97)</f>
        <v>152416</v>
      </c>
      <c r="E58" s="2332" t="s">
        <v>1362</v>
      </c>
      <c r="F58" s="302" t="s">
        <v>28</v>
      </c>
      <c r="G58" s="2548"/>
      <c r="H58" s="2551" t="s">
        <v>3396</v>
      </c>
      <c r="I58" s="1808"/>
      <c r="J58" s="3657"/>
      <c r="K58" s="3657"/>
      <c r="L58" s="2523" t="s">
        <v>1368</v>
      </c>
      <c r="M58" s="2527"/>
      <c r="N58" s="2528" t="str">
        <f ca="1">NUMBERSTRING(INT(N57*10000),2)&amp;"元整"</f>
        <v>壹拾陆亿陆仟玖佰壹拾叁万元整</v>
      </c>
      <c r="O58" s="2529"/>
    </row>
    <row r="59" spans="1:35" ht="24.75" hidden="1" thickBot="1">
      <c r="A59" s="3661" t="s">
        <v>1369</v>
      </c>
      <c r="B59" s="3662"/>
      <c r="C59" s="3662"/>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1363</v>
      </c>
      <c r="H59" s="2312" t="s">
        <v>3397</v>
      </c>
      <c r="I59" s="2311" t="s">
        <v>2135</v>
      </c>
      <c r="J59" s="3659">
        <f>J57+1</f>
        <v>5</v>
      </c>
      <c r="K59" s="3657" t="s">
        <v>1370</v>
      </c>
      <c r="L59" s="2516" t="s">
        <v>1366</v>
      </c>
      <c r="M59" s="2530"/>
      <c r="N59" s="2531">
        <f ca="1">M49-N57</f>
        <v>102374</v>
      </c>
      <c r="O59" s="2532"/>
    </row>
    <row r="60" spans="1:35" ht="12" hidden="1" customHeight="1">
      <c r="A60" s="1809"/>
      <c r="B60" s="1747"/>
      <c r="C60" s="1747"/>
      <c r="D60" s="1747"/>
      <c r="E60" s="1578"/>
      <c r="F60" s="1808"/>
      <c r="G60" s="1808"/>
      <c r="H60" s="1810"/>
      <c r="I60" s="129"/>
      <c r="J60" s="3660"/>
      <c r="K60" s="3657"/>
      <c r="L60" s="2523" t="s">
        <v>1368</v>
      </c>
      <c r="M60" s="2527"/>
      <c r="N60" s="2528" t="str">
        <f ca="1">NUMBERSTRING(INT(N59*10000),2)&amp;"元整"</f>
        <v>壹拾亿贰仟叁佰柒拾肆万元整</v>
      </c>
      <c r="O60" s="2529"/>
    </row>
    <row r="61" spans="1:35" ht="13.5" hidden="1" thickBot="1">
      <c r="A61" s="3716" t="s">
        <v>1371</v>
      </c>
      <c r="B61" s="3716"/>
      <c r="C61" s="3716"/>
      <c r="D61" s="3716"/>
      <c r="E61" s="3716"/>
      <c r="F61" s="1808"/>
      <c r="G61" s="1808"/>
      <c r="H61" s="1810"/>
      <c r="I61" s="129"/>
      <c r="J61" s="2516">
        <f>J59+1</f>
        <v>6</v>
      </c>
      <c r="K61" s="3657" t="s">
        <v>1372</v>
      </c>
      <c r="L61" s="3657"/>
      <c r="M61" s="2533"/>
      <c r="N61" s="2534">
        <f ca="1">ROUND(N59*10000/'数据-汇总表'!E3,0)</f>
        <v>9854</v>
      </c>
      <c r="O61" s="2535"/>
    </row>
    <row r="62" spans="1:35" ht="12.75" hidden="1">
      <c r="A62" s="3676" t="s">
        <v>1373</v>
      </c>
      <c r="B62" s="3677"/>
      <c r="C62" s="2019"/>
      <c r="D62" s="2019" t="s">
        <v>1374</v>
      </c>
      <c r="E62" s="166" t="s">
        <v>1375</v>
      </c>
      <c r="F62" s="1808"/>
      <c r="G62" s="1808"/>
      <c r="H62" s="1810"/>
      <c r="I62" s="129"/>
    </row>
    <row r="63" spans="1:35" ht="12.75" hidden="1">
      <c r="A63" s="173" t="s">
        <v>330</v>
      </c>
      <c r="B63" s="167" t="s">
        <v>1376</v>
      </c>
      <c r="C63" s="2557">
        <f ca="1">ROUND((C64+C65)/(1+'数据-取费表'!C42),0)</f>
        <v>256464</v>
      </c>
      <c r="D63" s="167"/>
      <c r="E63" s="168"/>
      <c r="F63" s="1808"/>
      <c r="G63" s="1808"/>
      <c r="H63" s="1810"/>
      <c r="I63" s="129"/>
      <c r="J63" s="3640" t="s">
        <v>1377</v>
      </c>
      <c r="K63" s="1332" t="s">
        <v>1378</v>
      </c>
      <c r="L63" s="1332">
        <f ca="1">IF(M49&gt;10000,M49*0.5%,IF(AND(M49&gt;1000,M49&lt;=10000),M49*1%,IF(AND(M49&gt;100,M49&lt;=1000),M49*3%,IF(AND(M49&gt;10,M49&lt;=100),M49*5%,M49*8%))))</f>
        <v>1346.4349999999999</v>
      </c>
      <c r="M63" s="302">
        <f ca="1">ROUND(L63,1)</f>
        <v>1346.4</v>
      </c>
      <c r="N63" s="2536"/>
      <c r="Z63" s="1752"/>
      <c r="AI63" s="1753"/>
    </row>
    <row r="64" spans="1:35" ht="14.25" hidden="1" customHeight="1">
      <c r="A64" s="169" t="s">
        <v>325</v>
      </c>
      <c r="B64" s="170" t="s">
        <v>1379</v>
      </c>
      <c r="C64" s="2558">
        <f ca="1">D45</f>
        <v>269287</v>
      </c>
      <c r="D64" s="170" t="s">
        <v>26</v>
      </c>
      <c r="E64" s="172"/>
      <c r="F64" s="1808"/>
      <c r="G64" s="1808"/>
      <c r="H64" s="1810"/>
      <c r="I64" s="129"/>
      <c r="J64" s="3640"/>
      <c r="K64" s="1332" t="s">
        <v>1380</v>
      </c>
      <c r="L64" s="1332">
        <f ca="1">IF(M49&gt;2000,M49*0.5%,IF(AND(M49&gt;1000,M49&lt;=2000),M49*0.6%,IF(AND(M49&gt;500,M49&lt;=1000),M49*0.7%,IF(AND(M49&gt;200,M49&lt;=500),M49*0.8%,IF(AND(M49&gt;100,M49&lt;=200),M49*0.9%,IF(AND(M49&gt;50,M49&lt;=100),M49*1%,IF(AND(M49&gt;20,M49&lt;=50),M49*1.5%,IF(AND(M49&gt;10,M49&lt;=20),M49*2%,IF(AND(M49&gt;1,M49&lt;=10),M49*2.5%)))))))))</f>
        <v>1346.4349999999999</v>
      </c>
      <c r="M64" s="302">
        <f t="shared" ref="M64:M65" ca="1" si="1">ROUND(L64,1)</f>
        <v>1346.4</v>
      </c>
      <c r="N64" s="2537" t="s">
        <v>1381</v>
      </c>
      <c r="Z64" s="1752"/>
      <c r="AI64" s="1753"/>
    </row>
    <row r="65" spans="1:35" ht="14.25" hidden="1" customHeight="1">
      <c r="A65" s="169" t="s">
        <v>326</v>
      </c>
      <c r="B65" s="170" t="s">
        <v>1382</v>
      </c>
      <c r="C65" s="2559"/>
      <c r="D65" s="170"/>
      <c r="E65" s="172"/>
      <c r="F65" s="1808"/>
      <c r="G65" s="1808"/>
      <c r="H65" s="1810"/>
      <c r="I65" s="129"/>
      <c r="J65" s="3640"/>
      <c r="K65" s="1332" t="s">
        <v>1383</v>
      </c>
      <c r="L65" s="1332">
        <f ca="1">IF(M49&gt;1000,M49*0.1%,IF(AND(M49&gt;500,M49&lt;=1000),M49*0.5%,IF(AND(M49&gt;50,M49&lt;=500),M49*1%,IF(AND(M49&gt;1,M49&lt;=50),M49*1.5%))))</f>
        <v>269.28699999999998</v>
      </c>
      <c r="M65" s="302">
        <f t="shared" ca="1" si="1"/>
        <v>269.3</v>
      </c>
      <c r="N65" s="2537" t="s">
        <v>1381</v>
      </c>
      <c r="Z65" s="1752"/>
      <c r="AI65" s="1753"/>
    </row>
    <row r="66" spans="1:35" ht="14.25" hidden="1" customHeight="1">
      <c r="A66" s="173" t="s">
        <v>327</v>
      </c>
      <c r="B66" s="174" t="s">
        <v>1384</v>
      </c>
      <c r="C66" s="2560"/>
      <c r="D66" s="174" t="s">
        <v>26</v>
      </c>
      <c r="E66" s="1338" t="s">
        <v>671</v>
      </c>
      <c r="F66" s="1808"/>
      <c r="G66" s="1808"/>
      <c r="H66" s="1810"/>
      <c r="I66" s="129"/>
      <c r="J66" s="3640"/>
      <c r="K66" s="1332" t="s">
        <v>1385</v>
      </c>
      <c r="L66" s="1332">
        <f ca="1">M49*0.5%</f>
        <v>1346.4349999999999</v>
      </c>
      <c r="M66" s="302">
        <f ca="1">IF(L66&gt;0.5,0.5,ROUND(L66,0))</f>
        <v>0.5</v>
      </c>
      <c r="N66" s="2537" t="s">
        <v>1386</v>
      </c>
      <c r="Z66" s="1752"/>
      <c r="AI66" s="1753"/>
    </row>
    <row r="67" spans="1:35" ht="14.25" hidden="1" customHeight="1">
      <c r="A67" s="173" t="s">
        <v>328</v>
      </c>
      <c r="B67" s="174" t="s">
        <v>1387</v>
      </c>
      <c r="C67" s="2561">
        <f ca="1">C63-C66</f>
        <v>256464</v>
      </c>
      <c r="D67" s="170" t="s">
        <v>26</v>
      </c>
      <c r="E67" s="172"/>
      <c r="F67" s="1808"/>
      <c r="G67" s="1808"/>
      <c r="H67" s="1810"/>
      <c r="I67" s="129"/>
      <c r="J67" s="3640"/>
      <c r="K67" s="1332" t="s">
        <v>1388</v>
      </c>
      <c r="L67" s="1332">
        <f ca="1">IF(M49&gt;=10000,(8.25+(M49-10000)*0.01%),IF(AND(M49&gt;=8000,M49&lt;10000),(7.85+(M49-8000)*0.02%),IF(AND(M49&gt;=5000,M49&lt;8000),(6.65+(M49-5000)*0.04%),IF(AND(M49&gt;=2000,M49&lt;5000),(4.25+(PM49-2000)*0.08%),IF(AND(M49&gt;=1000,M49&lt;2000),(2.75+(M49-1000)*0.15%),IF(AND(M49&gt;=100,M49&lt;1000),(0.5+(M49-100)*0.25%),IF(AND(M49&gt;0,M49&lt;100),M49*0.5%)))))))</f>
        <v>34.178700000000006</v>
      </c>
      <c r="M67" s="302">
        <f ca="1">ROUND(L67*0.9,1)</f>
        <v>30.8</v>
      </c>
      <c r="N67" s="2536"/>
      <c r="Z67" s="1752"/>
      <c r="AI67" s="1753"/>
    </row>
    <row r="68" spans="1:35" ht="14.25" hidden="1" customHeight="1" thickBot="1">
      <c r="A68" s="176" t="s">
        <v>329</v>
      </c>
      <c r="B68" s="177" t="s">
        <v>1389</v>
      </c>
      <c r="C68" s="2562">
        <f ca="1">IF(C67&lt;=0,0,ROUND(C67*D68,0))</f>
        <v>14362</v>
      </c>
      <c r="D68" s="2563">
        <f>'数据-取费表'!B41</f>
        <v>5.6000000000000001E-2</v>
      </c>
      <c r="E68" s="178"/>
      <c r="F68" s="1808"/>
      <c r="G68" s="1808"/>
      <c r="H68" s="1810"/>
      <c r="I68" s="129"/>
      <c r="J68" s="3640"/>
      <c r="K68" s="1332" t="s">
        <v>1390</v>
      </c>
      <c r="L68" s="1332">
        <f ca="1">IF(M49&gt;10000,M49*0.5%,IF(AND(M49&gt;5000,M49&lt;=10000),M49*1%,IF(AND(M49&gt;1000,M49&lt;=5000),M49*2%,IF(AND(M49&gt;200,M49&lt;=1000),M49*3%,M49*5%))))</f>
        <v>1346.4349999999999</v>
      </c>
      <c r="M68" s="302">
        <f ca="1">ROUND(L68,1)</f>
        <v>1346.4</v>
      </c>
      <c r="N68" s="2536"/>
      <c r="Z68" s="1752"/>
      <c r="AI68" s="1753"/>
    </row>
    <row r="69" spans="1:35" s="1772" customFormat="1" ht="16.5" hidden="1" customHeight="1">
      <c r="A69" s="1811"/>
      <c r="B69" s="1812"/>
      <c r="C69" s="1813"/>
      <c r="D69" s="1814"/>
      <c r="E69" s="1815"/>
      <c r="F69" s="1578"/>
      <c r="G69" s="1578"/>
      <c r="H69" s="1577"/>
      <c r="I69" s="1747"/>
      <c r="J69" s="3640"/>
      <c r="K69" s="1332" t="s">
        <v>1391</v>
      </c>
      <c r="L69" s="1332"/>
      <c r="M69" s="302">
        <f ca="1">ROUND(SUM(M63:M68),0)</f>
        <v>4340</v>
      </c>
      <c r="N69" s="2538">
        <f ca="1">M69/M49</f>
        <v>1.6116633925885766E-2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84" t="s">
        <v>1392</v>
      </c>
      <c r="B70" s="3685"/>
      <c r="C70" s="3685"/>
      <c r="D70" s="3685"/>
      <c r="E70" s="3685"/>
      <c r="F70" s="3685"/>
      <c r="G70" s="3685"/>
      <c r="H70" s="3685"/>
      <c r="I70" s="1816"/>
      <c r="J70" s="2684"/>
      <c r="K70" s="2684"/>
      <c r="L70" s="2684"/>
      <c r="M70" s="268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76" t="s">
        <v>1373</v>
      </c>
      <c r="B71" s="3677"/>
      <c r="C71" s="2019"/>
      <c r="D71" s="2019" t="s">
        <v>1374</v>
      </c>
      <c r="E71" s="179" t="s">
        <v>1375</v>
      </c>
      <c r="F71" s="180"/>
      <c r="G71" s="180"/>
      <c r="H71" s="181"/>
      <c r="I71" s="1820"/>
      <c r="J71" s="2684"/>
      <c r="K71" s="2684"/>
      <c r="L71" s="2684"/>
      <c r="M71" s="268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1">
        <f ca="1">ROUND(D45/(1+'数据-取费表'!C42),0)</f>
        <v>256464</v>
      </c>
      <c r="D72" s="170" t="s">
        <v>26</v>
      </c>
      <c r="E72" s="2329"/>
      <c r="F72" s="2328"/>
      <c r="G72" s="2328"/>
      <c r="H72" s="182"/>
      <c r="I72" s="1820"/>
      <c r="J72" s="2684"/>
      <c r="K72" s="2684"/>
      <c r="L72" s="2684"/>
      <c r="M72" s="268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1">
        <f ca="1">C74+C78</f>
        <v>1539</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4"/>
      <c r="D75" s="170" t="s">
        <v>26</v>
      </c>
      <c r="E75" s="184" t="s">
        <v>1397</v>
      </c>
      <c r="F75" s="2565"/>
      <c r="G75" s="184" t="s">
        <v>1398</v>
      </c>
      <c r="H75" s="256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7">
        <v>0.05</v>
      </c>
      <c r="E76" s="3681" t="s">
        <v>1400</v>
      </c>
      <c r="F76" s="3680"/>
      <c r="G76" s="3680"/>
      <c r="H76" s="368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2" t="s">
        <v>1402</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69">
        <f ca="1">ROUND(D45*D78/(1+'数据-取费表'!C42),0)</f>
        <v>1539</v>
      </c>
      <c r="D78" s="2570">
        <f>'数据-取费表'!B43</f>
        <v>6.000000000000001E-3</v>
      </c>
      <c r="E78" s="3673" t="s">
        <v>1404</v>
      </c>
      <c r="F78" s="3674"/>
      <c r="G78" s="3674"/>
      <c r="H78" s="36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1">
        <f ca="1">C72-C73</f>
        <v>254925</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1">
        <f ca="1">IF(C79&lt;=0,0,C79/C73)</f>
        <v>165.64327485380116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2">
        <f ca="1">ROUND(IF(C79&lt;=0,0,IF(C80&gt;=200%,C79*60%-C73*35%,IF(C80&gt;=100%,C79*50%-C73*15%,IF(C80&gt;=50%,C79*40%-C73*5%,IF(C80&lt;50%,C79*30%,0))))),0)</f>
        <v>152416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84" t="s">
        <v>1408</v>
      </c>
      <c r="B83" s="3685"/>
      <c r="C83" s="3685"/>
      <c r="D83" s="3685"/>
      <c r="E83" s="3685"/>
      <c r="F83" s="3685"/>
      <c r="G83" s="3685"/>
      <c r="H83" s="368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76" t="s">
        <v>1373</v>
      </c>
      <c r="B84" s="3677"/>
      <c r="C84" s="2019"/>
      <c r="D84" s="2019"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1">
        <f ca="1">ROUND(D45/(1+'数据-取费表'!C42),0)</f>
        <v>256464</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1">
        <f ca="1">IF(H88="仅含出让金",C87+C90+C91+C92+C93+C94,C87+C91+C92+C93+C94)</f>
        <v>1539</v>
      </c>
      <c r="D86" s="2574"/>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69">
        <f>C88+C89</f>
        <v>0</v>
      </c>
      <c r="D87" s="2570"/>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5"/>
      <c r="D88" s="2570"/>
      <c r="E88" s="193" t="s">
        <v>1411</v>
      </c>
      <c r="F88" s="2325"/>
      <c r="G88" s="194" t="s">
        <v>1412</v>
      </c>
      <c r="H88" s="1824"/>
      <c r="I88" s="1821"/>
      <c r="J88" s="2514"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69">
        <f>ROUND(C88*D89,0)</f>
        <v>0</v>
      </c>
      <c r="D89" s="2570">
        <f>'数据-取费表'!B48+'数据-取费表'!B49</f>
        <v>3.0499999999999999E-2</v>
      </c>
      <c r="E89" s="193" t="s">
        <v>1413</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5"/>
      <c r="D90" s="2570"/>
      <c r="E90" s="193" t="str">
        <f>IF(H88="-","土地取得成本中已包含该笔费用"," ")</f>
        <v xml:space="preserve"> </v>
      </c>
      <c r="F90" s="2325"/>
      <c r="G90" s="3642" t="s">
        <v>2127</v>
      </c>
      <c r="H90" s="3643"/>
      <c r="I90" s="1821"/>
      <c r="J90" s="2514"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69">
        <f>IF(H91="——",成本法!C33,I91)</f>
        <v>0</v>
      </c>
      <c r="D91" s="2570"/>
      <c r="E91" s="3673" t="s">
        <v>1417</v>
      </c>
      <c r="F91" s="3674"/>
      <c r="G91" s="367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69">
        <f>ROUND((C87+C90+C91)*D92,0)</f>
        <v>0</v>
      </c>
      <c r="D92" s="2576"/>
      <c r="E92" s="3673" t="s">
        <v>1420</v>
      </c>
      <c r="F92" s="3674"/>
      <c r="G92" s="3674"/>
      <c r="H92" s="3675"/>
      <c r="I92" s="1821"/>
      <c r="J92" s="2515"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69">
        <f ca="1">ROUND(D45*D93/(1+'数据-取费表'!C42),0)</f>
        <v>1539</v>
      </c>
      <c r="D93" s="2570">
        <f>'数据-取费表'!B43</f>
        <v>6.000000000000001E-3</v>
      </c>
      <c r="E93" s="3673" t="s">
        <v>1404</v>
      </c>
      <c r="F93" s="3674"/>
      <c r="G93" s="3674"/>
      <c r="H93" s="36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5">
        <f>ROUND((C87+C90+C91)*D94,0)</f>
        <v>0</v>
      </c>
      <c r="D94" s="2570">
        <v>0.2</v>
      </c>
      <c r="E94" s="3718" t="s">
        <v>1424</v>
      </c>
      <c r="F94" s="3719"/>
      <c r="G94" s="3719"/>
      <c r="H94" s="372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1">
        <f ca="1">ROUND(C85-C86,0)</f>
        <v>254925</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1">
        <f ca="1">IF(C95&lt;=0,0,C95/C86)</f>
        <v>165.64327485380116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2">
        <f ca="1">ROUND(IF(C95&lt;=0,0,IF(C96&gt;=200%,C95*60%-C86*35%,IF(C96&gt;=100%,C95*50%-C86*15%,IF(C96&gt;=50%,C95*40%-C86*5%,IF(C96&lt;50%,C95*30%,0))))),0)</f>
        <v>152416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623" t="s">
        <v>1426</v>
      </c>
      <c r="B100" s="3624"/>
      <c r="C100" s="3624"/>
      <c r="D100" s="3658"/>
      <c r="E100" s="3624" t="s">
        <v>1427</v>
      </c>
      <c r="F100" s="3624"/>
      <c r="G100" s="3624"/>
      <c r="H100" s="3658"/>
      <c r="I100" s="129"/>
    </row>
    <row r="101" spans="1:35" ht="18.75" customHeight="1">
      <c r="A101" s="3666" t="s">
        <v>1428</v>
      </c>
      <c r="B101" s="3667"/>
      <c r="C101" s="2578" t="str">
        <f>C4</f>
        <v>成本法</v>
      </c>
      <c r="D101" s="2579" t="str">
        <f>D4</f>
        <v>收益法（汇总）</v>
      </c>
      <c r="E101" s="3636" t="s">
        <v>1429</v>
      </c>
      <c r="F101" s="3637"/>
      <c r="G101" s="1827" t="s">
        <v>1430</v>
      </c>
      <c r="H101" s="2588">
        <f ca="1">H118</f>
        <v>269287</v>
      </c>
      <c r="I101" s="129"/>
    </row>
    <row r="102" spans="1:35" ht="18.75" customHeight="1">
      <c r="A102" s="3668" t="s">
        <v>1431</v>
      </c>
      <c r="B102" s="2577" t="s">
        <v>1430</v>
      </c>
      <c r="C102" s="2578">
        <f ca="1">IF(D32="楼面单价",ROUND(C19,0),C19)</f>
        <v>309333</v>
      </c>
      <c r="D102" s="2579">
        <f ca="1">IF(D32="楼面单价",ROUND(D19,0),D19)</f>
        <v>209217</v>
      </c>
      <c r="E102" s="3636"/>
      <c r="F102" s="3637"/>
      <c r="G102" s="1827" t="s">
        <v>1432</v>
      </c>
      <c r="H102" s="2548">
        <f ca="1">I118</f>
        <v>25920</v>
      </c>
      <c r="I102" s="129"/>
    </row>
    <row r="103" spans="1:35" ht="42.75" customHeight="1">
      <c r="A103" s="3668"/>
      <c r="B103" s="2577" t="s">
        <v>1432</v>
      </c>
      <c r="C103" s="2580">
        <f ca="1">C20</f>
        <v>29775</v>
      </c>
      <c r="D103" s="2581">
        <f ca="1">D20</f>
        <v>20138</v>
      </c>
      <c r="E103" s="3629" t="s">
        <v>1433</v>
      </c>
      <c r="F103" s="3630"/>
      <c r="G103" s="1828" t="s">
        <v>1434</v>
      </c>
      <c r="H103" s="2588">
        <f>IF(D36="正常操作",H104+H105+H106,H105+H106)</f>
        <v>0</v>
      </c>
      <c r="I103" s="129"/>
    </row>
    <row r="104" spans="1:35" ht="18.75" customHeight="1">
      <c r="A104" s="3668" t="s">
        <v>1435</v>
      </c>
      <c r="B104" s="2582" t="s">
        <v>1430</v>
      </c>
      <c r="C104" s="2583">
        <f ca="1">H118</f>
        <v>269287</v>
      </c>
      <c r="D104" s="2584"/>
      <c r="E104" s="1674" t="s">
        <v>1436</v>
      </c>
      <c r="F104" s="1666"/>
      <c r="G104" s="1828" t="s">
        <v>1434</v>
      </c>
      <c r="H104" s="2589">
        <f>IF(D36="同一抵押权人同一抵押物续贷",C36&amp;"（续贷，未扣减，详见特别提示）",C36)</f>
        <v>0</v>
      </c>
      <c r="I104" s="129"/>
    </row>
    <row r="105" spans="1:35" ht="18.75" customHeight="1" thickBot="1">
      <c r="A105" s="3678"/>
      <c r="B105" s="2585" t="s">
        <v>1432</v>
      </c>
      <c r="C105" s="2586">
        <f ca="1">I118</f>
        <v>25920</v>
      </c>
      <c r="D105" s="2587"/>
      <c r="E105" s="1674" t="s">
        <v>1437</v>
      </c>
      <c r="F105" s="1666"/>
      <c r="G105" s="1828" t="s">
        <v>1434</v>
      </c>
      <c r="H105" s="2590">
        <f>C37</f>
        <v>0</v>
      </c>
      <c r="I105" s="129"/>
    </row>
    <row r="106" spans="1:35" ht="18.75" customHeight="1">
      <c r="A106" s="1747" t="s">
        <v>1438</v>
      </c>
      <c r="B106" s="1747"/>
      <c r="C106" s="1747"/>
      <c r="D106" s="1747"/>
      <c r="E106" s="1829" t="s">
        <v>1439</v>
      </c>
      <c r="F106" s="1666"/>
      <c r="G106" s="1828" t="s">
        <v>1434</v>
      </c>
      <c r="H106" s="2590">
        <f>C38</f>
        <v>0</v>
      </c>
      <c r="I106" s="129"/>
    </row>
    <row r="107" spans="1:35" ht="18.75" customHeight="1">
      <c r="A107" s="129"/>
      <c r="B107" s="129"/>
      <c r="C107" s="129"/>
      <c r="D107" s="129"/>
      <c r="E107" s="3669" t="str">
        <f>IF(项目基本情况!E8="已注销","——","3.房地产抵押价值")</f>
        <v>3.房地产抵押价值</v>
      </c>
      <c r="F107" s="3637"/>
      <c r="G107" s="1827" t="s">
        <v>1430</v>
      </c>
      <c r="H107" s="2588">
        <f ca="1">IF(E107="——","——",H101-H103)</f>
        <v>269287</v>
      </c>
      <c r="I107" s="129"/>
    </row>
    <row r="108" spans="1:35" ht="18.75" customHeight="1">
      <c r="A108" s="129"/>
      <c r="B108" s="129"/>
      <c r="C108" s="129"/>
      <c r="D108" s="129"/>
      <c r="E108" s="3669"/>
      <c r="F108" s="3637"/>
      <c r="G108" s="1827" t="s">
        <v>1432</v>
      </c>
      <c r="H108" s="2548">
        <f ca="1">IF(H107=H101,H102,ROUND(H107*10000/'数据-汇总表'!E3,0))</f>
        <v>25920</v>
      </c>
      <c r="I108" s="129"/>
    </row>
    <row r="109" spans="1:35" ht="18.75" customHeight="1">
      <c r="A109" s="129"/>
      <c r="B109" s="129"/>
      <c r="C109" s="129"/>
      <c r="D109" s="129"/>
      <c r="E109" s="3669" t="str">
        <f>IF(项目基本情况!E8="已注销及未注销","4.抵押担保权已注销时的房地产抵押价值",IF(项目基本情况!E8="已注销","3.抵押担保权已注销时的房地产抵押价值","——"))</f>
        <v>——</v>
      </c>
      <c r="F109" s="3637"/>
      <c r="G109" s="1827" t="s">
        <v>1430</v>
      </c>
      <c r="H109" s="2591" t="str">
        <f>IF(E109="——","——",H101-H105-H106)</f>
        <v>——</v>
      </c>
      <c r="I109" s="129"/>
    </row>
    <row r="110" spans="1:35" ht="18.75" customHeight="1">
      <c r="A110" s="129"/>
      <c r="B110" s="129"/>
      <c r="C110" s="129"/>
      <c r="D110" s="129"/>
      <c r="E110" s="3669"/>
      <c r="F110" s="3637"/>
      <c r="G110" s="1827" t="s">
        <v>1432</v>
      </c>
      <c r="H110" s="2548" t="str">
        <f>IF(H109="——","——",ROUND(H109*10000/'数据-汇总表'!E3,0))</f>
        <v>——</v>
      </c>
      <c r="I110" s="129"/>
    </row>
    <row r="111" spans="1:35" ht="18.75" customHeight="1">
      <c r="A111" s="129"/>
      <c r="B111" s="129"/>
      <c r="C111" s="129"/>
      <c r="D111" s="129"/>
      <c r="E111" s="3670" t="str">
        <f>IF(项目基本情况!E9="抵押净值",IF(OR(项目基本情况!E8="已注销",项目基本情况!E8="房地产抵押价值"),"4.抵押净值","5.抵押净值"),"——")</f>
        <v>——</v>
      </c>
      <c r="F111" s="3656"/>
      <c r="G111" s="1827" t="s">
        <v>1430</v>
      </c>
      <c r="H111" s="2588" t="str">
        <f>IF(E111="——","——",N59)</f>
        <v>——</v>
      </c>
      <c r="I111" s="129"/>
    </row>
    <row r="112" spans="1:35" ht="18.75" customHeight="1" thickBot="1">
      <c r="A112" s="129"/>
      <c r="B112" s="129"/>
      <c r="C112" s="129"/>
      <c r="D112" s="129"/>
      <c r="E112" s="3671"/>
      <c r="F112" s="3672"/>
      <c r="G112" s="1830" t="s">
        <v>1432</v>
      </c>
      <c r="H112" s="2592" t="str">
        <f>IF(E111="——","——",N61)</f>
        <v>——</v>
      </c>
      <c r="I112" s="129"/>
    </row>
    <row r="113" spans="1:27" ht="18.75" customHeight="1">
      <c r="A113" s="129"/>
      <c r="B113" s="129"/>
      <c r="C113" s="129"/>
      <c r="D113" s="129"/>
      <c r="E113" s="3679" t="s">
        <v>1438</v>
      </c>
      <c r="F113" s="3679"/>
      <c r="G113" s="3679"/>
      <c r="H113" s="3679"/>
      <c r="I113" s="129"/>
    </row>
    <row r="114" spans="1:27" ht="3.75" customHeight="1">
      <c r="A114" s="1747"/>
      <c r="B114" s="1747"/>
      <c r="C114" s="1747"/>
      <c r="D114" s="1747"/>
      <c r="E114" s="1809"/>
      <c r="F114" s="1809"/>
      <c r="G114" s="1809"/>
      <c r="H114" s="1809"/>
      <c r="I114" s="1747"/>
    </row>
    <row r="115" spans="1:27" ht="18.75" customHeight="1">
      <c r="A115" s="3687" t="s">
        <v>1440</v>
      </c>
      <c r="B115" s="3688"/>
      <c r="C115" s="3688"/>
      <c r="D115" s="3688"/>
      <c r="E115" s="3688"/>
      <c r="F115" s="3688"/>
      <c r="G115" s="3688"/>
      <c r="H115" s="3688"/>
      <c r="I115" s="3689"/>
    </row>
    <row r="116" spans="1:27" ht="27" customHeight="1">
      <c r="A116" s="3644" t="s">
        <v>1441</v>
      </c>
      <c r="B116" s="3648" t="s">
        <v>1442</v>
      </c>
      <c r="C116" s="3648" t="s">
        <v>1443</v>
      </c>
      <c r="D116" s="3654" t="s">
        <v>1444</v>
      </c>
      <c r="E116" s="3655"/>
      <c r="F116" s="3686" t="s">
        <v>1445</v>
      </c>
      <c r="G116" s="3686"/>
      <c r="H116" s="3644" t="s">
        <v>1446</v>
      </c>
      <c r="I116" s="3644"/>
    </row>
    <row r="117" spans="1:27" ht="18.75" customHeight="1">
      <c r="A117" s="3644"/>
      <c r="B117" s="3649"/>
      <c r="C117" s="3649"/>
      <c r="D117" s="2327" t="s">
        <v>1447</v>
      </c>
      <c r="E117" s="2327" t="s">
        <v>1448</v>
      </c>
      <c r="F117" s="2327" t="s">
        <v>1447</v>
      </c>
      <c r="G117" s="2327" t="s">
        <v>1449</v>
      </c>
      <c r="H117" s="2327" t="s">
        <v>1447</v>
      </c>
      <c r="I117" s="2327" t="s">
        <v>1449</v>
      </c>
    </row>
    <row r="118" spans="1:27" ht="24.75" customHeight="1">
      <c r="A118" s="2593" t="str">
        <f>项目基本情况!S2</f>
        <v>北京市丰台区丽泽路16号院1号楼房地产</v>
      </c>
      <c r="B118" s="2327">
        <f>M18</f>
        <v>103889.93</v>
      </c>
      <c r="C118" s="2327">
        <f>M19</f>
        <v>0</v>
      </c>
      <c r="D118" s="2327">
        <f ca="1">ROUND(IF(D32="总价",C34,E118*B118/10000),0)</f>
        <v>200619</v>
      </c>
      <c r="E118" s="2327">
        <f ca="1">ROUND(IF(C33="自定义",IF(D32="楼面单价",C34,D118*10000/B118),I118-G118),0)</f>
        <v>19310</v>
      </c>
      <c r="F118" s="2327">
        <f ca="1">ROUND(IF(D32="总价",C35,G118*B118/10000),0)</f>
        <v>68668</v>
      </c>
      <c r="G118" s="2327">
        <f ca="1">ROUND(IF(D32="楼面单价",C35,F118*10000/B118),0)</f>
        <v>6610</v>
      </c>
      <c r="H118" s="2327">
        <f ca="1">ROUND(IF(D32="总价",C32,I118*B118/10000),0)</f>
        <v>269287</v>
      </c>
      <c r="I118" s="2327">
        <f ca="1">ROUND(IF(D32="楼面单价",C32,H118*10000/B118),0)</f>
        <v>25920</v>
      </c>
    </row>
    <row r="119" spans="1:27" ht="18.75" customHeight="1">
      <c r="A119" s="3644" t="s">
        <v>1450</v>
      </c>
      <c r="B119" s="3644"/>
      <c r="C119" s="3644"/>
      <c r="D119" s="3650" t="str">
        <f ca="1">NUMBERSTRING(INT(D118*10000),2)&amp;"元整"</f>
        <v>贰拾亿零陆佰壹拾玖万元整</v>
      </c>
      <c r="E119" s="3651"/>
      <c r="F119" s="3650" t="str">
        <f ca="1">NUMBERSTRING(INT(F118*10000),2)&amp;"元整"</f>
        <v>陆亿捌仟陆佰陆拾捌万元整</v>
      </c>
      <c r="G119" s="3651"/>
      <c r="H119" s="3650" t="str">
        <f ca="1">NUMBERSTRING(INT(H118*10000),2)&amp;"元整"</f>
        <v>贰拾陆亿玖仟贰佰捌拾柒万元整</v>
      </c>
      <c r="I119" s="3651"/>
    </row>
    <row r="120" spans="1:27" ht="18.75" customHeight="1">
      <c r="A120" s="3645" t="str">
        <f>IF(项目基本情况!B9="房地产市场价值","",MID(E103,3,LEN(E103)-2))</f>
        <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50" t="s">
        <v>1450</v>
      </c>
      <c r="B121" s="3652"/>
      <c r="C121" s="3651"/>
      <c r="D121" s="3650" t="str">
        <f>IF(D120=0,"零元整",NUMBERSTRING(INT(D120*10000),2)&amp;"元整")</f>
        <v>零元整</v>
      </c>
      <c r="E121" s="3652"/>
      <c r="F121" s="3652"/>
      <c r="G121" s="3652"/>
      <c r="H121" s="3652"/>
      <c r="I121" s="3651"/>
      <c r="AA121" s="725"/>
    </row>
    <row r="122" spans="1:27" ht="18.75" customHeight="1">
      <c r="A122" s="3656" t="str">
        <f>IF(项目基本情况!B9="房地产市场价值","",MID(E107,3,LEN(E107)-2))</f>
        <v/>
      </c>
      <c r="B122" s="3656"/>
      <c r="C122" s="3656"/>
      <c r="D122" s="3645">
        <f ca="1">H107</f>
        <v>269287</v>
      </c>
      <c r="E122" s="3646"/>
      <c r="F122" s="3646"/>
      <c r="G122" s="3646"/>
      <c r="H122" s="3646"/>
      <c r="I122" s="3647"/>
      <c r="AA122" s="725"/>
    </row>
    <row r="123" spans="1:27" ht="18.75" customHeight="1">
      <c r="A123" s="3644" t="s">
        <v>1450</v>
      </c>
      <c r="B123" s="3644"/>
      <c r="C123" s="3644"/>
      <c r="D123" s="3650" t="str">
        <f ca="1">NUMBERSTRING(INT(D122*10000),2)&amp;"元整"</f>
        <v>贰拾陆亿玖仟贰佰捌拾柒万元整</v>
      </c>
      <c r="E123" s="3652"/>
      <c r="F123" s="3652"/>
      <c r="G123" s="3652"/>
      <c r="H123" s="3652"/>
      <c r="I123" s="3651"/>
      <c r="AA123" s="725"/>
    </row>
    <row r="124" spans="1:27" ht="18.75" customHeight="1">
      <c r="A124" s="3656" t="str">
        <f>IF(项目基本情况!B9="房地产市场价值","",MID(E109,3,LEN(E109)-2))</f>
        <v/>
      </c>
      <c r="B124" s="3656"/>
      <c r="C124" s="3656"/>
      <c r="D124" s="3645" t="str">
        <f>H109</f>
        <v>——</v>
      </c>
      <c r="E124" s="3646"/>
      <c r="F124" s="3646"/>
      <c r="G124" s="3646"/>
      <c r="H124" s="3646"/>
      <c r="I124" s="3647"/>
      <c r="AA124" s="725"/>
    </row>
    <row r="125" spans="1:27" ht="18.75" customHeight="1">
      <c r="A125" s="3644" t="s">
        <v>1450</v>
      </c>
      <c r="B125" s="3644"/>
      <c r="C125" s="3644"/>
      <c r="D125" s="3650" t="e">
        <f>NUMBERSTRING(INT(D124*10000),2)&amp;"元整"</f>
        <v>#VALUE!</v>
      </c>
      <c r="E125" s="3652"/>
      <c r="F125" s="3652"/>
      <c r="G125" s="3652"/>
      <c r="H125" s="3652"/>
      <c r="I125" s="3651"/>
      <c r="AA125" s="725"/>
    </row>
    <row r="126" spans="1:27" ht="18.75" customHeight="1">
      <c r="A126" s="3656" t="str">
        <f>IF(项目基本情况!B9="房地产市场价值","",MID(E111,3,LEN(E111)-2))</f>
        <v/>
      </c>
      <c r="B126" s="3656"/>
      <c r="C126" s="3656"/>
      <c r="D126" s="3645" t="str">
        <f>H111</f>
        <v>——</v>
      </c>
      <c r="E126" s="3646"/>
      <c r="F126" s="3646"/>
      <c r="G126" s="3646"/>
      <c r="H126" s="3646"/>
      <c r="I126" s="3647"/>
      <c r="AA126" s="725"/>
    </row>
    <row r="127" spans="1:27" ht="18.75" customHeight="1">
      <c r="A127" s="3644" t="s">
        <v>1450</v>
      </c>
      <c r="B127" s="3644"/>
      <c r="C127" s="3644"/>
      <c r="D127" s="3650" t="e">
        <f>NUMBERSTRING(INT(D126*10000),2)&amp;"元整"</f>
        <v>#VALUE!</v>
      </c>
      <c r="E127" s="3652"/>
      <c r="F127" s="3652"/>
      <c r="G127" s="3652"/>
      <c r="H127" s="3652"/>
      <c r="I127" s="3651"/>
      <c r="AA127" s="725"/>
    </row>
    <row r="128" spans="1:27" ht="21.75" customHeight="1">
      <c r="A128" s="3653" t="s">
        <v>1451</v>
      </c>
      <c r="B128" s="3653"/>
      <c r="C128" s="3653"/>
      <c r="D128" s="3653"/>
      <c r="E128" s="3653"/>
      <c r="F128" s="3653"/>
      <c r="G128" s="3653"/>
      <c r="H128" s="3653"/>
      <c r="I128" s="3653"/>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8</v>
      </c>
    </row>
    <row r="2" spans="1:9" s="200" customFormat="1" ht="18" customHeight="1">
      <c r="A2" s="201" t="s">
        <v>1460</v>
      </c>
      <c r="B2" s="202">
        <f ca="1">IF(D2="——",C52,C52-E2)</f>
        <v>309333</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29775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155819</v>
      </c>
      <c r="D5" s="211" t="s">
        <v>1467</v>
      </c>
      <c r="E5" s="212" t="s">
        <v>1468</v>
      </c>
      <c r="F5" s="212" t="s">
        <v>1469</v>
      </c>
      <c r="G5" s="213"/>
    </row>
    <row r="6" spans="1:9" s="214" customFormat="1" ht="13.5" customHeight="1">
      <c r="A6" s="778" t="s">
        <v>1470</v>
      </c>
      <c r="B6" s="215" t="s">
        <v>1471</v>
      </c>
      <c r="C6" s="216">
        <f>基准地价修正!B2</f>
        <v>149191</v>
      </c>
      <c r="D6" s="217"/>
      <c r="E6" s="218"/>
      <c r="F6" s="218"/>
      <c r="G6" s="219"/>
    </row>
    <row r="7" spans="1:9" s="214" customFormat="1" ht="13.5" customHeight="1">
      <c r="A7" s="778" t="s">
        <v>1472</v>
      </c>
      <c r="B7" s="215" t="s">
        <v>1473</v>
      </c>
      <c r="C7" s="220">
        <f>ROUND(C6*F7,0)</f>
        <v>4550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2078</v>
      </c>
      <c r="D8" s="222"/>
      <c r="E8" s="220"/>
      <c r="F8" s="221"/>
      <c r="G8" s="1856" t="s">
        <v>3399</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2078</v>
      </c>
      <c r="D10" s="845">
        <f ca="1">IF(B1="",'数据-汇总表'!E6,IF(INDIRECT("'数据-取费表'!c"&amp;$G$1)="住宅",INDIRECT("'数据-取费表'!s"&amp;$G$1),INDIRECT("'数据-取费表'!k"&amp;$G$1)+INDIRECT("'数据-取费表'!s"&amp;$G$1)))</f>
        <v>103889.93</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103889.93</v>
      </c>
      <c r="E19" s="211">
        <f>'数据-取费表'!B31</f>
        <v>200</v>
      </c>
      <c r="F19" s="231"/>
      <c r="G19" s="1856" t="s">
        <v>3400</v>
      </c>
    </row>
    <row r="20" spans="1:7" s="214" customFormat="1" ht="13.5" customHeight="1">
      <c r="A20" s="255" t="s">
        <v>1491</v>
      </c>
      <c r="B20" s="210" t="s">
        <v>1492</v>
      </c>
      <c r="C20" s="232">
        <f ca="1">ROUND((C5+C19)*F20,0)</f>
        <v>3116</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16853</v>
      </c>
      <c r="D22" s="235">
        <f ca="1">C26</f>
        <v>1E-3</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16690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163</v>
      </c>
      <c r="D25" s="238"/>
      <c r="E25" s="241"/>
      <c r="F25" s="239"/>
      <c r="G25" s="242" t="s">
        <v>1508</v>
      </c>
    </row>
    <row r="26" spans="1:7" s="214" customFormat="1">
      <c r="A26" s="780"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36555</v>
      </c>
      <c r="D27" s="235">
        <f ca="1">C29</f>
        <v>4.5999999999999999E-3</v>
      </c>
      <c r="E27" s="236" t="s">
        <v>1512</v>
      </c>
      <c r="F27" s="246">
        <f ca="1">IF(B1="",'数据-取费表'!Q16,INDIRECT("'数据-取费表'!q"&amp;$G$1))</f>
        <v>0.23</v>
      </c>
      <c r="G27" s="247" t="s">
        <v>1513</v>
      </c>
    </row>
    <row r="28" spans="1:7" s="214" customFormat="1" ht="13.5" customHeight="1">
      <c r="A28" s="780" t="s">
        <v>346</v>
      </c>
      <c r="B28" s="248" t="s">
        <v>1514</v>
      </c>
      <c r="C28" s="249">
        <f ca="1">ROUND((C5+C19+C20)*F27*'数据-取费表'!B21/'数据-取费表'!B20,0)</f>
        <v>36555</v>
      </c>
      <c r="D28" s="235"/>
      <c r="E28" s="236"/>
      <c r="F28" s="246"/>
      <c r="G28" s="247"/>
    </row>
    <row r="29" spans="1:7" s="214" customFormat="1" ht="13.5" customHeight="1">
      <c r="A29" s="780" t="s">
        <v>347</v>
      </c>
      <c r="B29" s="248" t="s">
        <v>1515</v>
      </c>
      <c r="C29" s="238">
        <f ca="1">ROUND(C21*F27*'数据-取费表'!B21/'数据-取费表'!B20,4)</f>
        <v>4.5999999999999999E-3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230532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61666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55951</v>
      </c>
      <c r="D34" s="217"/>
      <c r="E34" s="220"/>
      <c r="F34" s="257">
        <f ca="1">IF('数据-取费表'!B24=0,1,IF(B1="",'数据-取费表'!N16,INDIRECT("'数据-取费表'!n"&amp;$G$1)))</f>
        <v>1</v>
      </c>
      <c r="G34" s="219" t="s">
        <v>1524</v>
      </c>
    </row>
    <row r="35" spans="1:7" ht="13.5" customHeight="1">
      <c r="A35" s="780" t="s">
        <v>351</v>
      </c>
      <c r="B35" s="215" t="s">
        <v>1525</v>
      </c>
      <c r="C35" s="220">
        <f ca="1">ROUND(C34*F35,0)</f>
        <v>2798</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2078</v>
      </c>
      <c r="D37" s="217">
        <f ca="1">D19</f>
        <v>103889.93</v>
      </c>
      <c r="E37" s="249">
        <f>'数据-取费表'!B35</f>
        <v>200</v>
      </c>
      <c r="F37" s="259"/>
      <c r="G37" s="261" t="s">
        <v>1530</v>
      </c>
    </row>
    <row r="38" spans="1:7" ht="13.5" customHeight="1">
      <c r="A38" s="780" t="s">
        <v>354</v>
      </c>
      <c r="B38" s="215" t="s">
        <v>1531</v>
      </c>
      <c r="C38" s="220">
        <f ca="1">ROUND(C34*F38,0)</f>
        <v>839</v>
      </c>
      <c r="D38" s="220"/>
      <c r="E38" s="220"/>
      <c r="F38" s="259">
        <f>'数据-取费表'!B36</f>
        <v>1.4999999999999999E-2</v>
      </c>
      <c r="G38" s="219" t="s">
        <v>1526</v>
      </c>
    </row>
    <row r="39" spans="1:7" s="214" customFormat="1" ht="13.5" customHeight="1">
      <c r="A39" s="255" t="s">
        <v>1532</v>
      </c>
      <c r="B39" s="210" t="s">
        <v>1533</v>
      </c>
      <c r="C39" s="232">
        <f ca="1">ROUND(C33*F20,0)</f>
        <v>1233</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3283</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3219</v>
      </c>
      <c r="D42" s="238"/>
      <c r="E42" s="238"/>
      <c r="F42" s="239"/>
      <c r="G42" s="3723" t="s">
        <v>1542</v>
      </c>
    </row>
    <row r="43" spans="1:7" ht="13.5" customHeight="1">
      <c r="A43" s="780" t="s">
        <v>347</v>
      </c>
      <c r="B43" s="215" t="s">
        <v>1543</v>
      </c>
      <c r="C43" s="238">
        <f ca="1">ROUND(IF('数据-取费表'!B22&lt;=1,C39*F22*'数据-取费表'!B21/2,C39*(POWER((1+F22),'数据-取费表'!B21/2)-1)),0)</f>
        <v>64</v>
      </c>
      <c r="D43" s="238"/>
      <c r="E43" s="238"/>
      <c r="F43" s="239"/>
      <c r="G43" s="3724"/>
    </row>
    <row r="44" spans="1:7" ht="13.5" customHeight="1">
      <c r="A44" s="780" t="s">
        <v>348</v>
      </c>
      <c r="B44" s="215" t="s">
        <v>1544</v>
      </c>
      <c r="C44" s="238">
        <f ca="1">ROUND(IF('数据-取费表'!B22&lt;=1,C40*F22*'数据-取费表'!B21/2,C40*(POWER((1+F22),'数据-取费表'!B21/2)-1)),4)</f>
        <v>1E-3</v>
      </c>
      <c r="D44" s="238"/>
      <c r="E44" s="238"/>
      <c r="F44" s="239"/>
      <c r="G44" s="3725"/>
    </row>
    <row r="45" spans="1:7" s="214" customFormat="1" ht="13.5" customHeight="1">
      <c r="A45" s="255" t="s">
        <v>1545</v>
      </c>
      <c r="B45" s="244" t="s">
        <v>1511</v>
      </c>
      <c r="C45" s="245">
        <f ca="1">C46</f>
        <v>14467</v>
      </c>
      <c r="D45" s="235">
        <f ca="1">C47</f>
        <v>4.5999999999999999E-3</v>
      </c>
      <c r="E45" s="236" t="s">
        <v>1537</v>
      </c>
      <c r="F45" s="246">
        <f ca="1">F27</f>
        <v>0.23</v>
      </c>
      <c r="G45" s="247" t="s">
        <v>1546</v>
      </c>
    </row>
    <row r="46" spans="1:7" s="214" customFormat="1" ht="13.5" customHeight="1">
      <c r="A46" s="780" t="s">
        <v>346</v>
      </c>
      <c r="B46" s="248" t="s">
        <v>1547</v>
      </c>
      <c r="C46" s="249">
        <f ca="1">ROUND((C33+C39)*F27,0)</f>
        <v>14467</v>
      </c>
      <c r="D46" s="263"/>
      <c r="E46" s="236"/>
      <c r="F46" s="246"/>
      <c r="G46" s="247"/>
    </row>
    <row r="47" spans="1:7" s="214" customFormat="1" ht="13.5" customHeight="1">
      <c r="A47" s="780" t="s">
        <v>347</v>
      </c>
      <c r="B47" s="248" t="s">
        <v>1548</v>
      </c>
      <c r="C47" s="238">
        <f ca="1">ROUND(C40*F27,4)</f>
        <v>4.5999999999999999E-3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87557</v>
      </c>
      <c r="D49" s="232"/>
      <c r="E49" s="232"/>
      <c r="F49" s="264"/>
      <c r="G49" s="234" t="s">
        <v>1552</v>
      </c>
    </row>
    <row r="50" spans="1:7" s="258" customFormat="1" ht="24">
      <c r="A50" s="255" t="s">
        <v>1553</v>
      </c>
      <c r="B50" s="210" t="s">
        <v>1554</v>
      </c>
      <c r="C50" s="232"/>
      <c r="D50" s="232"/>
      <c r="E50" s="232"/>
      <c r="F50" s="264">
        <f>IF('数据-取费表'!B24=0,'数据-取费表'!N16,1)</f>
        <v>0.9</v>
      </c>
      <c r="G50" s="247" t="s">
        <v>1555</v>
      </c>
    </row>
    <row r="51" spans="1:7" ht="16.5" customHeight="1">
      <c r="A51" s="255" t="s">
        <v>1556</v>
      </c>
      <c r="B51" s="210" t="s">
        <v>1557</v>
      </c>
      <c r="C51" s="232">
        <f ca="1">ROUND(C49*F50,0)</f>
        <v>78801</v>
      </c>
      <c r="D51" s="232"/>
      <c r="E51" s="232"/>
      <c r="F51" s="264"/>
      <c r="G51" s="234" t="s">
        <v>1558</v>
      </c>
    </row>
    <row r="52" spans="1:7" s="208" customFormat="1" ht="16.5" thickBot="1">
      <c r="A52" s="265" t="s">
        <v>1559</v>
      </c>
      <c r="B52" s="266"/>
      <c r="C52" s="267">
        <f ca="1">C31+C51</f>
        <v>309333</v>
      </c>
      <c r="D52" s="266"/>
      <c r="E52" s="266"/>
      <c r="F52" s="266"/>
      <c r="G52" s="268"/>
    </row>
    <row r="55" spans="1:7" ht="15">
      <c r="B55" s="270" t="s">
        <v>1560</v>
      </c>
      <c r="C55" s="271"/>
    </row>
    <row r="56" spans="1:7">
      <c r="B56" s="273" t="s">
        <v>802</v>
      </c>
      <c r="C56" s="275">
        <f ca="1">1-C57</f>
        <v>0.745</v>
      </c>
    </row>
    <row r="57" spans="1:7">
      <c r="B57" s="273" t="s">
        <v>803</v>
      </c>
      <c r="C57" s="274">
        <f ca="1">ROUND(C51/C52,3)</f>
        <v>0.255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0" t="str">
        <f>项目基本情况!B1</f>
        <v>北京市丰台区丽泽路16号院1号楼房地产市场价值预评估</v>
      </c>
      <c r="C37" s="3540"/>
      <c r="D37" s="3540"/>
      <c r="E37" s="3540"/>
      <c r="F37" s="3540"/>
      <c r="G37" s="3540"/>
      <c r="H37" s="3540"/>
      <c r="I37" s="354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8</v>
      </c>
      <c r="H1" s="1061" t="str">
        <f>IF(ISERROR(FIND("住宅",B1)),"非住宅","住宅")</f>
        <v>非住宅</v>
      </c>
    </row>
    <row r="2" spans="1:8" s="200" customFormat="1" ht="18" customHeight="1">
      <c r="A2" s="201" t="s">
        <v>1460</v>
      </c>
      <c r="B2" s="3416">
        <f ca="1">ROUND(IF(D2="——",C52/10000,C52/10000-E2),4)</f>
        <v>81876.370899999994</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7881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20777986</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20777986</v>
      </c>
      <c r="D8" s="222"/>
      <c r="E8" s="220"/>
      <c r="F8" s="221"/>
      <c r="G8" s="1856" t="s">
        <v>3399</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20777986</v>
      </c>
      <c r="D10" s="845">
        <f ca="1">IF(B1="",'数据-汇总表'!E6,IF(INDIRECT("'数据-取费表'!c"&amp;$G$1)="住宅",INDIRECT("'数据-取费表'!s"&amp;$G$1),INDIRECT("'数据-取费表'!k"&amp;$G$1)+INDIRECT("'数据-取费表'!s"&amp;$G$1)))</f>
        <v>103889.93</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103889.93</v>
      </c>
      <c r="E19" s="211">
        <f>'数据-取费表'!B31</f>
        <v>200</v>
      </c>
      <c r="F19" s="231"/>
      <c r="G19" s="1856" t="s">
        <v>3400</v>
      </c>
    </row>
    <row r="20" spans="1:7" s="214" customFormat="1" ht="13.5" customHeight="1">
      <c r="A20" s="255" t="s">
        <v>1572</v>
      </c>
      <c r="B20" s="210" t="s">
        <v>1573</v>
      </c>
      <c r="C20" s="232">
        <f ca="1">ROUND((C5+C19)*F20,0)</f>
        <v>415560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2247258</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2225568</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21690</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4874516</v>
      </c>
      <c r="D27" s="235">
        <f ca="1">C29</f>
        <v>4.5999999999999999E-3</v>
      </c>
      <c r="E27" s="236" t="s">
        <v>1512</v>
      </c>
      <c r="F27" s="246">
        <f ca="1">IF(B1="",'数据-取费表'!Q16,INDIRECT("'数据-取费表'!q"&amp;$G$1))</f>
        <v>0.23</v>
      </c>
      <c r="G27" s="247" t="s">
        <v>1513</v>
      </c>
    </row>
    <row r="28" spans="1:7" s="214" customFormat="1" ht="13.5" customHeight="1">
      <c r="A28" s="780" t="s">
        <v>346</v>
      </c>
      <c r="B28" s="248" t="s">
        <v>1514</v>
      </c>
      <c r="C28" s="249">
        <f ca="1">ROUND((C5+C19+C20)*F27,0)</f>
        <v>4874516</v>
      </c>
      <c r="D28" s="235"/>
      <c r="E28" s="236"/>
      <c r="F28" s="246"/>
      <c r="G28" s="247"/>
    </row>
    <row r="29" spans="1:7" s="214" customFormat="1" ht="13.5" customHeight="1">
      <c r="A29" s="780" t="s">
        <v>347</v>
      </c>
      <c r="B29" s="248" t="s">
        <v>1515</v>
      </c>
      <c r="C29" s="238">
        <f ca="1">ROUND(C21*F27,4)</f>
        <v>4.5999999999999999E-3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30740766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616664981</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559518305</v>
      </c>
      <c r="D34" s="217"/>
      <c r="E34" s="220"/>
      <c r="F34" s="257"/>
      <c r="G34" s="219"/>
    </row>
    <row r="35" spans="1:7" ht="13.5" customHeight="1">
      <c r="A35" s="780" t="s">
        <v>351</v>
      </c>
      <c r="B35" s="215" t="s">
        <v>1525</v>
      </c>
      <c r="C35" s="220">
        <f ca="1">ROUND(C34*F35,0)</f>
        <v>27975915</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20777986</v>
      </c>
      <c r="D37" s="217">
        <f ca="1">D19</f>
        <v>103889.93</v>
      </c>
      <c r="E37" s="249">
        <f>'数据-取费表'!B35</f>
        <v>200</v>
      </c>
      <c r="F37" s="259"/>
      <c r="G37" s="261"/>
    </row>
    <row r="38" spans="1:7" ht="13.5" customHeight="1">
      <c r="A38" s="780" t="s">
        <v>354</v>
      </c>
      <c r="B38" s="215" t="s">
        <v>1531</v>
      </c>
      <c r="C38" s="220">
        <f ca="1">ROUND(C34*F38,0)</f>
        <v>8392775</v>
      </c>
      <c r="D38" s="220"/>
      <c r="E38" s="220"/>
      <c r="F38" s="259">
        <f>'数据-取费表'!B36</f>
        <v>1.4999999999999999E-2</v>
      </c>
      <c r="G38" s="219" t="s">
        <v>1526</v>
      </c>
    </row>
    <row r="39" spans="1:7" s="214" customFormat="1" ht="13.5" customHeight="1">
      <c r="A39" s="255" t="s">
        <v>1532</v>
      </c>
      <c r="B39" s="210" t="s">
        <v>1533</v>
      </c>
      <c r="C39" s="232">
        <f ca="1">ROUND(C33*F20,0)</f>
        <v>12333300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32829817</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32186095</v>
      </c>
      <c r="D42" s="238"/>
      <c r="E42" s="238"/>
      <c r="F42" s="239"/>
      <c r="G42" s="3723" t="s">
        <v>1589</v>
      </c>
    </row>
    <row r="43" spans="1:7" ht="13.5" customHeight="1">
      <c r="A43" s="780" t="s">
        <v>347</v>
      </c>
      <c r="B43" s="215" t="s">
        <v>1543</v>
      </c>
      <c r="C43" s="238">
        <f ca="1">ROUND(IF('数据-取费表'!B22&lt;=1,C39*F22*'数据-取费表'!B20/2,C39*(POWER((1+F22),'数据-取费表'!B20/2)-1)),0)</f>
        <v>643722</v>
      </c>
      <c r="D43" s="238"/>
      <c r="E43" s="238"/>
      <c r="F43" s="239"/>
      <c r="G43" s="3724"/>
    </row>
    <row r="44" spans="1:7" ht="13.5" customHeight="1">
      <c r="A44" s="780" t="s">
        <v>348</v>
      </c>
      <c r="B44" s="215" t="s">
        <v>1544</v>
      </c>
      <c r="C44" s="238">
        <f ca="1">ROUND(IF('数据-取费表'!B22&lt;=1,C40*F22*'数据-取费表'!B20/2,C40*(POWER((1+F22),'数据-取费表'!B20/2)-1)),4)</f>
        <v>1E-3</v>
      </c>
      <c r="D44" s="238"/>
      <c r="E44" s="238"/>
      <c r="F44" s="239"/>
      <c r="G44" s="3725"/>
    </row>
    <row r="45" spans="1:7" s="214" customFormat="1" ht="13.5" customHeight="1">
      <c r="A45" s="255" t="s">
        <v>1545</v>
      </c>
      <c r="B45" s="244" t="s">
        <v>1511</v>
      </c>
      <c r="C45" s="245">
        <f ca="1">C46</f>
        <v>144669605</v>
      </c>
      <c r="D45" s="235">
        <f ca="1">C47</f>
        <v>4.5999999999999999E-3</v>
      </c>
      <c r="E45" s="236" t="s">
        <v>1537</v>
      </c>
      <c r="F45" s="246">
        <f ca="1">F27</f>
        <v>0.23</v>
      </c>
      <c r="G45" s="247" t="s">
        <v>1546</v>
      </c>
    </row>
    <row r="46" spans="1:7" s="214" customFormat="1" ht="13.5" customHeight="1">
      <c r="A46" s="780" t="s">
        <v>346</v>
      </c>
      <c r="B46" s="248" t="s">
        <v>1547</v>
      </c>
      <c r="C46" s="249">
        <f ca="1">ROUND((C33+C39)*F27,0)</f>
        <v>144669605</v>
      </c>
      <c r="D46" s="263"/>
      <c r="E46" s="236"/>
      <c r="F46" s="246"/>
      <c r="G46" s="247"/>
    </row>
    <row r="47" spans="1:7" s="214" customFormat="1" ht="13.5" customHeight="1">
      <c r="A47" s="780" t="s">
        <v>347</v>
      </c>
      <c r="B47" s="248" t="s">
        <v>1548</v>
      </c>
      <c r="C47" s="238">
        <f ca="1">ROUND(C40*F27,4)</f>
        <v>4.5999999999999999E-3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875581048</v>
      </c>
      <c r="D49" s="232"/>
      <c r="E49" s="232"/>
      <c r="F49" s="264"/>
      <c r="G49" s="234" t="s">
        <v>1552</v>
      </c>
    </row>
    <row r="50" spans="1:7" s="258" customFormat="1">
      <c r="A50" s="255" t="s">
        <v>1553</v>
      </c>
      <c r="B50" s="210" t="s">
        <v>1554</v>
      </c>
      <c r="C50" s="232"/>
      <c r="D50" s="232"/>
      <c r="E50" s="232"/>
      <c r="F50" s="264">
        <f>IF('数据-取费表'!B24=0,'数据-取费表'!N16,1)</f>
        <v>0.9</v>
      </c>
      <c r="G50" s="247"/>
    </row>
    <row r="51" spans="1:7" ht="16.5" customHeight="1">
      <c r="A51" s="255" t="s">
        <v>1556</v>
      </c>
      <c r="B51" s="210" t="s">
        <v>1591</v>
      </c>
      <c r="C51" s="232">
        <f ca="1">ROUND(C49*F50,0)</f>
        <v>788022943</v>
      </c>
      <c r="D51" s="232"/>
      <c r="E51" s="232"/>
      <c r="F51" s="264"/>
      <c r="G51" s="234" t="s">
        <v>1558</v>
      </c>
    </row>
    <row r="52" spans="1:7" s="208" customFormat="1" ht="16.5" thickBot="1">
      <c r="A52" s="265" t="s">
        <v>1559</v>
      </c>
      <c r="B52" s="266"/>
      <c r="C52" s="267">
        <f ca="1">C31+C51</f>
        <v>818763709</v>
      </c>
      <c r="D52" s="266"/>
      <c r="E52" s="266"/>
      <c r="F52" s="266"/>
      <c r="G52" s="268"/>
    </row>
    <row r="55" spans="1:7" ht="15">
      <c r="B55" s="270" t="s">
        <v>1560</v>
      </c>
      <c r="C55" s="271"/>
    </row>
    <row r="56" spans="1:7">
      <c r="B56" s="273" t="s">
        <v>802</v>
      </c>
      <c r="C56" s="275">
        <f ca="1">1-C57</f>
        <v>3.8000000000000034E-2</v>
      </c>
    </row>
    <row r="57" spans="1:7">
      <c r="B57" s="273" t="s">
        <v>803</v>
      </c>
      <c r="C57" s="274">
        <f ca="1">ROUND(C51/C52,3)</f>
        <v>0.96199999999999997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799"/>
      <c r="F1" s="2799"/>
      <c r="G1" s="2664"/>
      <c r="H1" s="2799"/>
      <c r="I1" s="2799"/>
      <c r="J1" s="2799"/>
      <c r="K1" s="2800">
        <f>MATCH(C1,'数据-取费表'!A6:A16,0)+5</f>
        <v>8</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103889.93</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103889.93</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2078</v>
      </c>
      <c r="D20" s="846">
        <f ca="1">IF(C1="",'数据-汇总表'!E6,IF(INDIRECT("'数据-取费表'!c"&amp;$K$1)="住宅",INDIRECT("'数据-取费表'!s"&amp;$K$1),INDIRECT("'数据-取费表'!k"&amp;$K$1)+INDIRECT("'数据-取费表'!s"&amp;$K$1)))</f>
        <v>103889.93</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0.23</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t="e">
        <f ca="1">ROUND(D2/10000,4)</f>
        <v>#DIV/0!</v>
      </c>
      <c r="C2" s="1387" t="s">
        <v>879</v>
      </c>
      <c r="D2" s="1471" t="e">
        <f ca="1">C40+J29+L46</f>
        <v>#DIV/0!</v>
      </c>
      <c r="E2" s="1388" t="s">
        <v>880</v>
      </c>
      <c r="F2" s="1389"/>
      <c r="G2" s="2699"/>
      <c r="H2" s="2688"/>
      <c r="I2" s="2688"/>
      <c r="J2" s="2688"/>
      <c r="K2" s="2689"/>
      <c r="L2" s="2688"/>
      <c r="M2" s="2688"/>
    </row>
    <row r="3" spans="1:37" ht="18" customHeight="1" thickBot="1">
      <c r="A3" s="1390" t="s">
        <v>881</v>
      </c>
      <c r="B3" s="1391">
        <f ca="1">IF(ISERROR(D2/F43),0,ROUND(D2/F43,0))</f>
        <v>0</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26" t="s">
        <v>694</v>
      </c>
      <c r="C6" s="1074">
        <f ca="1">ROUND(F6*F8*F7*(1-F9),0)</f>
        <v>0</v>
      </c>
      <c r="D6" s="155" t="s">
        <v>2104</v>
      </c>
      <c r="E6" s="302" t="s">
        <v>696</v>
      </c>
      <c r="F6" s="303">
        <f ca="1">INDIRECT("'数据-取费表'!u"&amp;$G$1)</f>
        <v>0</v>
      </c>
      <c r="G6" s="1384"/>
      <c r="H6" s="1069" t="s">
        <v>398</v>
      </c>
      <c r="I6" s="3726" t="s">
        <v>694</v>
      </c>
      <c r="J6" s="301">
        <f ca="1">ROUND(M6*M8*M7*(1-M9),0)</f>
        <v>0</v>
      </c>
      <c r="K6" s="1376" t="s">
        <v>2105</v>
      </c>
      <c r="L6" s="302" t="s">
        <v>696</v>
      </c>
      <c r="M6" s="303">
        <f ca="1">INDIRECT("'数据-取费表'!z"&amp;$G$1)</f>
        <v>0</v>
      </c>
    </row>
    <row r="7" spans="1:37" ht="18" customHeight="1">
      <c r="A7" s="1073"/>
      <c r="B7" s="3727"/>
      <c r="C7" s="1075"/>
      <c r="D7" s="307"/>
      <c r="E7" s="1076" t="s">
        <v>697</v>
      </c>
      <c r="F7" s="303">
        <f ca="1">IF(INDIRECT("'数据-取费表'!ah"&amp;$G$1)="",INDIRECT("'数据-取费表'!k"&amp;$G$1),INDIRECT("'数据-取费表'!ah"&amp;$G$1))</f>
        <v>0</v>
      </c>
      <c r="G7" s="1384"/>
      <c r="H7" s="304"/>
      <c r="I7" s="3727"/>
      <c r="J7" s="306"/>
      <c r="K7" s="307"/>
      <c r="L7" s="302" t="s">
        <v>697</v>
      </c>
      <c r="M7" s="303">
        <f ca="1">F7</f>
        <v>0</v>
      </c>
    </row>
    <row r="8" spans="1:37" ht="18" customHeight="1">
      <c r="A8" s="304"/>
      <c r="B8" s="3727"/>
      <c r="C8" s="306"/>
      <c r="D8" s="307"/>
      <c r="E8" s="302" t="s">
        <v>698</v>
      </c>
      <c r="F8" s="303">
        <f ca="1">INDIRECT("'数据-取费表'!ai"&amp;$G$1)</f>
        <v>0</v>
      </c>
      <c r="G8" s="1384"/>
      <c r="H8" s="304"/>
      <c r="I8" s="3727"/>
      <c r="J8" s="306"/>
      <c r="K8" s="307"/>
      <c r="L8" s="302" t="s">
        <v>698</v>
      </c>
      <c r="M8" s="303">
        <f ca="1">INDIRECT("'数据-取费表'!ai"&amp;$G$1)</f>
        <v>0</v>
      </c>
    </row>
    <row r="9" spans="1:37" ht="18" customHeight="1">
      <c r="A9" s="304"/>
      <c r="B9" s="3728"/>
      <c r="C9" s="306"/>
      <c r="D9" s="307"/>
      <c r="E9" s="302" t="s">
        <v>699</v>
      </c>
      <c r="F9" s="312">
        <f ca="1">INDIRECT("'数据-取费表'!w"&amp;$G$1)</f>
        <v>0</v>
      </c>
      <c r="G9" s="1384"/>
      <c r="H9" s="304"/>
      <c r="I9" s="372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3401</v>
      </c>
      <c r="G10" s="1384"/>
      <c r="H10" s="1069" t="s">
        <v>402</v>
      </c>
      <c r="I10" s="1365" t="s">
        <v>700</v>
      </c>
      <c r="J10" s="301">
        <f ca="1">ROUND(IF(M10="押一",J6/12*M11,IF(M10="押二",J6/12*2*M11,IF(M10="押三",J6/12*3*M11,J11*M11))),0)</f>
        <v>0</v>
      </c>
      <c r="K10" s="1377" t="s">
        <v>2116</v>
      </c>
      <c r="L10" s="313" t="s">
        <v>701</v>
      </c>
      <c r="M10" s="1116" t="s">
        <v>3401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1" t="s">
        <v>2296</v>
      </c>
      <c r="I31" s="1398"/>
      <c r="J31" s="1399"/>
      <c r="K31" s="2468"/>
      <c r="L31" s="2691"/>
      <c r="M31" s="2692"/>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18</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ROUND(C13*F37,0)</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ROUND(C5*F38,0)</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3" t="s">
        <v>3343</v>
      </c>
      <c r="B45" s="1400"/>
      <c r="C45" s="1472" t="e">
        <f ca="1">ROUND((C68-C40)/10000,4)</f>
        <v>#DIV/0!</v>
      </c>
      <c r="D45" s="3424"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2017</v>
      </c>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v>
      </c>
      <c r="R50" s="1420"/>
    </row>
    <row r="51" spans="1:18" s="1384" customFormat="1" ht="13.5" thickBot="1">
      <c r="A51" s="977"/>
      <c r="B51" s="979"/>
      <c r="C51" s="980"/>
      <c r="D51" s="953"/>
      <c r="E51" s="981" t="s">
        <v>698</v>
      </c>
      <c r="F51" s="303">
        <f ca="1">F8</f>
        <v>0</v>
      </c>
      <c r="I51" s="1432" t="s">
        <v>829</v>
      </c>
      <c r="J51" s="1433">
        <f>IF(J49="",J50,J49+J50-YEAR('数据-取费表'!B2))</f>
        <v>54</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6">
        <f ca="1">IF(M47="住宅",IF(D1="——",MAX(J51,L48),MAX(J51,L48-'数据-取费表'!B24)),IF(D1="——",MIN(J51,L48),MIN(J51,L48-'数据-取费表'!B24)))</f>
        <v>0</v>
      </c>
      <c r="K53" s="3729" t="s">
        <v>837</v>
      </c>
      <c r="L53" s="373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3404</v>
      </c>
      <c r="K56" s="1421" t="s">
        <v>843</v>
      </c>
      <c r="L56" s="1424" t="str">
        <f ca="1">IF(L48&lt;J51,"——",L48-J51)</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0</v>
      </c>
      <c r="D58" s="960" t="s">
        <v>715</v>
      </c>
      <c r="E58" s="961"/>
      <c r="F58" s="962"/>
      <c r="I58" s="1455" t="s">
        <v>848</v>
      </c>
      <c r="J58" s="1457">
        <f ca="1">IF(J55&lt;0.4,0.4,J55)</f>
        <v>0.9</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C1" zoomScale="90" zoomScaleNormal="80" zoomScaleSheetLayoutView="90" workbookViewId="0">
      <selection activeCell="V23" sqref="V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1924</v>
      </c>
      <c r="B1" s="197"/>
      <c r="C1" s="201" t="s">
        <v>1925</v>
      </c>
      <c r="D1" s="342">
        <f>SUM(D33:D34,D37:D42)</f>
        <v>103889.92999999998</v>
      </c>
      <c r="E1" s="1993"/>
      <c r="F1" s="1993"/>
      <c r="G1" s="1993"/>
      <c r="H1" s="1993"/>
      <c r="I1" s="1993"/>
      <c r="J1" s="1993"/>
      <c r="K1" s="1119"/>
      <c r="L1" s="1994" t="s">
        <v>1926</v>
      </c>
      <c r="M1" s="863">
        <f>SUMPRODUCT((区片价!B5:B9=I2)*(区片价!C3:G3=E2)*(区片价!C5:G9))</f>
        <v>0</v>
      </c>
      <c r="N1" s="866">
        <f>SUMPRODUCT((因素修正幅度!B5:B9=I2)*(因素修正幅度!C3:G3=E2)*(因素修正幅度!C5:G9))</f>
        <v>0</v>
      </c>
      <c r="O1" s="1995"/>
      <c r="P1" s="1995"/>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149191</v>
      </c>
      <c r="C2" s="1997" t="s">
        <v>1933</v>
      </c>
      <c r="D2" s="1998" t="s">
        <v>1934</v>
      </c>
      <c r="E2" s="3414" t="s">
        <v>673</v>
      </c>
      <c r="F2" s="1998" t="s">
        <v>1935</v>
      </c>
      <c r="G2" s="1999" t="str">
        <f>IF(E2="商业",项目基本情况!B37,IF(E2="办公",项目基本情况!C37,IF(E2="住宅",项目基本情况!D37,IF(E2="工业",项目基本情况!E37,项目基本情况!F37))))</f>
        <v>三级</v>
      </c>
      <c r="H2" s="1998" t="s">
        <v>1936</v>
      </c>
      <c r="I2" s="1999" t="str">
        <f>IF(E2="商业",项目基本情况!B38,IF(E2="办公",项目基本情况!C38,IF(E2="住宅",项目基本情况!D38,IF(E2="工业",项目基本情况!E38,项目基本情况!F38))))</f>
        <v>Ⅲ—10</v>
      </c>
      <c r="J2" s="2000"/>
      <c r="K2" s="1119"/>
      <c r="L2" s="2001" t="s">
        <v>1937</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f t="shared" ref="T2:T16" si="0">ROUND($C$5*$C$22*$C$23*$C$24*S2*$C$28,0)</f>
        <v>26520</v>
      </c>
      <c r="U2" s="3484">
        <f>商业!C34</f>
        <v>11867.841999999999</v>
      </c>
      <c r="V2" s="3353">
        <f>ROUND(T2*U2/10000,0)</f>
        <v>31474</v>
      </c>
      <c r="W2" s="1216"/>
      <c r="X2" s="1216"/>
      <c r="Y2" s="1216"/>
      <c r="Z2" s="1216"/>
      <c r="AA2" s="1216"/>
      <c r="AB2" s="1216"/>
      <c r="AC2" s="1217"/>
      <c r="AD2" s="1218"/>
      <c r="AE2" s="1218"/>
      <c r="AF2" s="1218"/>
      <c r="AG2" s="1218"/>
      <c r="AH2" s="1218"/>
      <c r="AI2" s="1218"/>
      <c r="AJ2" s="1219"/>
    </row>
    <row r="3" spans="1:36" ht="15.75">
      <c r="A3" s="203" t="s">
        <v>1938</v>
      </c>
      <c r="B3" s="204">
        <f>ROUND(B2*10000/D1,0)</f>
        <v>14360</v>
      </c>
      <c r="C3" s="1997" t="s">
        <v>1939</v>
      </c>
      <c r="D3" s="1998" t="s">
        <v>1940</v>
      </c>
      <c r="E3" s="3412" t="s">
        <v>2429</v>
      </c>
      <c r="F3" s="2002" t="s">
        <v>3722</v>
      </c>
      <c r="G3" s="752" t="e">
        <f>IF(F3="宗地容积率",'数据-汇总表'!I4,IF(F3="估价对象容积率",'数据-汇总表'!I6,'数据-汇总表'!I7))</f>
        <v>#DIV/0!</v>
      </c>
      <c r="H3" s="170" t="s">
        <v>1941</v>
      </c>
      <c r="I3" s="775">
        <v>1</v>
      </c>
      <c r="J3" s="2000" t="s">
        <v>1942</v>
      </c>
      <c r="K3" s="1119"/>
      <c r="L3" s="2001" t="s">
        <v>1943</v>
      </c>
      <c r="M3" s="864">
        <f>SUMPRODUCT((区片价!B30:B54=I2)*(区片价!C3:G3=E2)*(区片价!C30:G54))</f>
        <v>22330</v>
      </c>
      <c r="N3" s="866">
        <f>SUMPRODUCT((因素修正幅度!B30:B54=I2)*(因素修正幅度!C3:G3=E2)*(因素修正幅度!C30:G54))</f>
        <v>9.5000000000000001E-2</v>
      </c>
      <c r="O3" s="1119"/>
      <c r="P3" s="1119"/>
      <c r="Q3" s="1119"/>
      <c r="R3" s="1212">
        <v>2</v>
      </c>
      <c r="S3" s="3353">
        <f>ROUND(SUMPRODUCT((B106:B110=R3)*(C105:N105=G2)*(C106:N110)),4)</f>
        <v>1.1838</v>
      </c>
      <c r="T3" s="3353">
        <f t="shared" si="0"/>
        <v>20903</v>
      </c>
      <c r="U3" s="3484">
        <f>商业!C35</f>
        <v>12367.142</v>
      </c>
      <c r="V3" s="3353">
        <f t="shared" ref="V3:V16" si="1">ROUND(T3*U3/10000,0)</f>
        <v>25851</v>
      </c>
      <c r="W3" s="1216"/>
      <c r="X3" s="1216"/>
      <c r="Y3" s="1216"/>
      <c r="Z3" s="1216"/>
      <c r="AA3" s="1216"/>
      <c r="AB3" s="1216"/>
      <c r="AC3" s="1217"/>
      <c r="AD3" s="1218"/>
      <c r="AE3" s="1218"/>
      <c r="AF3" s="1218"/>
      <c r="AG3" s="1218"/>
      <c r="AH3" s="1218"/>
      <c r="AI3" s="1218"/>
      <c r="AJ3" s="1219"/>
    </row>
    <row r="4" spans="1:36" ht="15.75">
      <c r="A4" s="3738"/>
      <c r="B4" s="3739"/>
      <c r="C4" s="3739"/>
      <c r="D4" s="3740"/>
      <c r="E4" s="3740"/>
      <c r="F4" s="3740"/>
      <c r="G4" s="3740"/>
      <c r="H4" s="3740"/>
      <c r="I4" s="3740"/>
      <c r="J4" s="3741"/>
      <c r="K4" s="1119"/>
      <c r="L4" s="2001" t="s">
        <v>1944</v>
      </c>
      <c r="M4" s="864">
        <f>SUMPRODUCT((区片价!B55:B86=I2)*(区片价!C3:G3=E2)*(区片价!C55:G86))</f>
        <v>0</v>
      </c>
      <c r="N4" s="866">
        <f>SUMPRODUCT((因素修正幅度!B55:B86=I2)*(因素修正幅度!C3:G3=E2)*(因素修正幅度!C55:G86))</f>
        <v>0</v>
      </c>
      <c r="O4" s="1119"/>
      <c r="P4" s="1119"/>
      <c r="Q4" s="1119"/>
      <c r="R4" s="1212">
        <v>3</v>
      </c>
      <c r="S4" s="3353">
        <f>ROUND(SUMPRODUCT((B106:B110=R4)*(C105:N105=G2)*(C106:N110)),4)</f>
        <v>1.0004999999999999</v>
      </c>
      <c r="T4" s="3353">
        <f t="shared" si="0"/>
        <v>17666</v>
      </c>
      <c r="U4" s="3484">
        <f>商业!C36</f>
        <v>14066.822</v>
      </c>
      <c r="V4" s="3353">
        <f t="shared" si="1"/>
        <v>24850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1945</v>
      </c>
      <c r="C5" s="753">
        <f>ROUND(IF(E2="商业",C6*C7*C17+C20,(IF(E2="住宅",C6*C13*C17+C20,IF(E2="办公",C6*C12*C17+C20,C6+C20)))),0)</f>
        <v>18023</v>
      </c>
      <c r="D5" s="1339">
        <f>ROUND(C6*C17+C20,0)</f>
        <v>17844</v>
      </c>
      <c r="E5" s="1339"/>
      <c r="F5" s="2005"/>
      <c r="G5" s="2006"/>
      <c r="H5" s="2006"/>
      <c r="I5" s="2006"/>
      <c r="J5" s="2007"/>
      <c r="K5" s="2008"/>
      <c r="L5" s="2001" t="s">
        <v>1946</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f t="shared" si="0"/>
        <v>15581</v>
      </c>
      <c r="U5" s="3484">
        <f>商业!C37</f>
        <v>14391.531999999999</v>
      </c>
      <c r="V5" s="3353">
        <f t="shared" si="1"/>
        <v>22423</v>
      </c>
      <c r="W5" s="1216"/>
      <c r="X5" s="1216"/>
      <c r="Y5" s="1216"/>
      <c r="Z5" s="1216"/>
      <c r="AA5" s="1216"/>
      <c r="AB5" s="1216"/>
      <c r="AC5" s="2009"/>
      <c r="AD5" s="2010"/>
      <c r="AE5" s="2010"/>
      <c r="AF5" s="2010"/>
      <c r="AG5" s="2010"/>
      <c r="AH5" s="2010"/>
      <c r="AI5" s="2010"/>
      <c r="AJ5" s="2011"/>
    </row>
    <row r="6" spans="1:36" ht="15.75" thickBot="1">
      <c r="A6" s="2013" t="s">
        <v>1947</v>
      </c>
      <c r="B6" s="2014" t="s">
        <v>1948</v>
      </c>
      <c r="C6" s="754">
        <f>SUMIF(L1:L12,G2,M1:M12)</f>
        <v>22330</v>
      </c>
      <c r="D6" s="2015"/>
      <c r="E6" s="2016"/>
      <c r="F6" s="2016"/>
      <c r="G6" s="2017"/>
      <c r="H6" s="2017"/>
      <c r="I6" s="2017"/>
      <c r="J6" s="2018"/>
      <c r="K6" s="1384"/>
      <c r="L6" s="2001" t="s">
        <v>1949</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f t="shared" si="0"/>
        <v>14973</v>
      </c>
      <c r="U6" s="3484">
        <f>商业!C38</f>
        <v>14731.531999999996</v>
      </c>
      <c r="V6" s="3353">
        <f t="shared" si="1"/>
        <v>22058</v>
      </c>
      <c r="W6" s="1216"/>
      <c r="X6" s="1216"/>
      <c r="Y6" s="1216"/>
      <c r="Z6" s="1216"/>
      <c r="AA6" s="1216"/>
      <c r="AB6" s="1216"/>
      <c r="AC6" s="2009"/>
      <c r="AD6" s="2010"/>
      <c r="AE6" s="2010"/>
      <c r="AF6" s="2010"/>
      <c r="AG6" s="2010"/>
      <c r="AH6" s="2010"/>
      <c r="AI6" s="2010"/>
      <c r="AJ6" s="2011"/>
    </row>
    <row r="7" spans="1:36" ht="24.75" thickBot="1">
      <c r="A7" s="3296" t="s">
        <v>3229</v>
      </c>
      <c r="B7" s="2019" t="s">
        <v>1950</v>
      </c>
      <c r="C7" s="755">
        <f>IF(C8="不临65条商业街",1,ROUND(1+(1.6*E8+1.2*E9+0.8*E10+0.4*E11)*C9,4))</f>
        <v>1.01</v>
      </c>
      <c r="D7" s="2020" t="s">
        <v>1951</v>
      </c>
      <c r="E7" s="776">
        <v>150</v>
      </c>
      <c r="F7" s="2021"/>
      <c r="G7" s="2022"/>
      <c r="H7" s="2022"/>
      <c r="I7" s="2022"/>
      <c r="J7" s="2023"/>
      <c r="K7" s="1384"/>
      <c r="L7" s="2001" t="s">
        <v>1952</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1953</v>
      </c>
      <c r="X7" s="1214" t="str">
        <f>G2</f>
        <v>三级</v>
      </c>
      <c r="Y7" s="1214" t="s">
        <v>1954</v>
      </c>
      <c r="Z7" s="1215" t="e">
        <f>G3</f>
        <v>#DIV/0!</v>
      </c>
      <c r="AA7" s="1216"/>
      <c r="AB7" s="1216"/>
      <c r="AC7" s="1217"/>
      <c r="AD7" s="1218"/>
      <c r="AE7" s="1218"/>
      <c r="AF7" s="1218"/>
      <c r="AG7" s="1218"/>
      <c r="AH7" s="1218"/>
      <c r="AI7" s="1218"/>
      <c r="AJ7" s="1219"/>
    </row>
    <row r="8" spans="1:36" ht="15">
      <c r="A8" s="3291"/>
      <c r="B8" s="170" t="s">
        <v>1955</v>
      </c>
      <c r="C8" s="2024" t="s">
        <v>3723</v>
      </c>
      <c r="D8" s="756" t="s">
        <v>112</v>
      </c>
      <c r="E8" s="757">
        <f>ROUND(C11/E7,4)</f>
        <v>2.5000000000000001E-2</v>
      </c>
      <c r="F8" s="2025" t="s">
        <v>1956</v>
      </c>
      <c r="G8" s="2026"/>
      <c r="H8" s="2026"/>
      <c r="I8" s="2026"/>
      <c r="J8" s="2027"/>
      <c r="K8" s="1119"/>
      <c r="L8" s="2001" t="s">
        <v>1957</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735" t="s">
        <v>1958</v>
      </c>
      <c r="X8" s="373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1"/>
      <c r="B9" s="170" t="s">
        <v>1971</v>
      </c>
      <c r="C9" s="758">
        <f>SUMIF(修正!C71:C138,C8,修正!E71:E138)</f>
        <v>0.1</v>
      </c>
      <c r="D9" s="171" t="s">
        <v>113</v>
      </c>
      <c r="E9" s="171">
        <f>ROUND(C11/E7,4)</f>
        <v>2.5000000000000001E-2</v>
      </c>
      <c r="F9" s="2025" t="s">
        <v>1972</v>
      </c>
      <c r="G9" s="2026"/>
      <c r="H9" s="2026"/>
      <c r="I9" s="2026"/>
      <c r="J9" s="2027"/>
      <c r="K9" s="1119"/>
      <c r="L9" s="2001" t="s">
        <v>1973</v>
      </c>
      <c r="M9" s="864">
        <f>SUMPRODUCT((区片价!B277:B326=I2)*(区片价!C3:G3=E2)*(区片价!C277:G326))</f>
        <v>0</v>
      </c>
      <c r="N9" s="866">
        <f>SUMPRODUCT((因素修正幅度!B277:B326=I2)*(因素修正幅度!C3:G3=E2)*(因素修正幅度!C277:G326))</f>
        <v>0</v>
      </c>
      <c r="O9" s="1119"/>
      <c r="P9" s="1119"/>
      <c r="Q9" s="1119"/>
      <c r="R9" s="1212">
        <v>8</v>
      </c>
      <c r="S9" s="1213"/>
      <c r="T9" s="3353">
        <f t="shared" si="0"/>
        <v>0</v>
      </c>
      <c r="U9" s="1213"/>
      <c r="V9" s="3353">
        <f t="shared" si="1"/>
        <v>0</v>
      </c>
      <c r="W9" s="3737"/>
      <c r="X9" s="3354" t="s">
        <v>3260</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1974</v>
      </c>
      <c r="C10" s="171">
        <f>SUMIF(修正!C71:C138,C8,修正!F71:F138)</f>
        <v>15</v>
      </c>
      <c r="D10" s="171" t="s">
        <v>114</v>
      </c>
      <c r="E10" s="171">
        <f>ROUND(C11/E7,4)</f>
        <v>2.5000000000000001E-2</v>
      </c>
      <c r="F10" s="2025" t="s">
        <v>1975</v>
      </c>
      <c r="G10" s="2026"/>
      <c r="H10" s="2026"/>
      <c r="I10" s="2026"/>
      <c r="J10" s="2027"/>
      <c r="K10" s="1119"/>
      <c r="L10" s="2001"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737"/>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1977</v>
      </c>
      <c r="C11" s="759">
        <f>C10/4</f>
        <v>3.75</v>
      </c>
      <c r="D11" s="759" t="s">
        <v>115</v>
      </c>
      <c r="E11" s="759">
        <f>ROUND(C11/E7,4)</f>
        <v>2.5000000000000001E-2</v>
      </c>
      <c r="F11" s="2029" t="s">
        <v>1978</v>
      </c>
      <c r="G11" s="2030"/>
      <c r="H11" s="2030"/>
      <c r="I11" s="2030"/>
      <c r="J11" s="2031"/>
      <c r="K11" s="1119"/>
      <c r="L11" s="2001"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2"/>
      <c r="AE11" s="2782"/>
      <c r="AF11" s="2782"/>
      <c r="AG11" s="2782"/>
      <c r="AH11" s="2782"/>
      <c r="AI11" s="2782"/>
      <c r="AJ11" s="2783"/>
    </row>
    <row r="12" spans="1:36" ht="25.5" thickBot="1">
      <c r="A12" s="3296" t="s">
        <v>3230</v>
      </c>
      <c r="B12" s="3297" t="s">
        <v>3231</v>
      </c>
      <c r="C12" s="3298">
        <v>1</v>
      </c>
      <c r="D12" s="3299" t="s">
        <v>3232</v>
      </c>
      <c r="E12" s="3300" t="s">
        <v>3233</v>
      </c>
      <c r="F12" s="3301"/>
      <c r="G12" s="3302"/>
      <c r="H12" s="3302"/>
      <c r="I12" s="3302"/>
      <c r="J12" s="3303"/>
      <c r="K12" s="1119"/>
      <c r="L12" s="2037"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2"/>
      <c r="AE12" s="2782"/>
      <c r="AF12" s="2782"/>
      <c r="AG12" s="2782"/>
      <c r="AH12" s="2782"/>
      <c r="AI12" s="2782"/>
      <c r="AJ12" s="2783"/>
    </row>
    <row r="13" spans="1:36" ht="15.75" thickBot="1">
      <c r="A13" s="3296" t="s">
        <v>3234</v>
      </c>
      <c r="B13" s="2032" t="s">
        <v>1980</v>
      </c>
      <c r="C13" s="755">
        <f>ROUND(C16*D16*E16*F16*G16*H16*I16*J16,4)</f>
        <v>0</v>
      </c>
      <c r="D13" s="2033" t="s">
        <v>1981</v>
      </c>
      <c r="E13" s="2034"/>
      <c r="F13" s="2034"/>
      <c r="G13" s="2035"/>
      <c r="H13" s="2035"/>
      <c r="I13" s="2035"/>
      <c r="J13" s="2036"/>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2"/>
      <c r="AE13" s="2782"/>
      <c r="AF13" s="2782"/>
      <c r="AG13" s="2782"/>
      <c r="AH13" s="2782"/>
      <c r="AI13" s="2782"/>
      <c r="AJ13" s="2783"/>
    </row>
    <row r="14" spans="1:36" ht="15">
      <c r="A14" s="3290"/>
      <c r="B14" s="2038" t="s">
        <v>1983</v>
      </c>
      <c r="C14" s="2039" t="s">
        <v>1984</v>
      </c>
      <c r="D14" s="1350" t="s">
        <v>1985</v>
      </c>
      <c r="E14" s="27" t="s">
        <v>1986</v>
      </c>
      <c r="F14" s="3304" t="s">
        <v>3235</v>
      </c>
      <c r="G14" s="3304" t="s">
        <v>3235</v>
      </c>
      <c r="H14" s="3304" t="s">
        <v>3235</v>
      </c>
      <c r="I14" s="3304" t="s">
        <v>3235</v>
      </c>
      <c r="J14" s="3304" t="s">
        <v>3235</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2"/>
      <c r="AE14" s="2782"/>
      <c r="AF14" s="2782"/>
      <c r="AG14" s="2782"/>
      <c r="AH14" s="2782"/>
      <c r="AI14" s="2782"/>
      <c r="AJ14" s="2783"/>
    </row>
    <row r="15" spans="1:36" ht="15">
      <c r="A15" s="3290"/>
      <c r="B15" s="2040"/>
      <c r="C15" s="2041"/>
      <c r="D15" s="2042"/>
      <c r="E15" s="2043"/>
      <c r="F15" s="3305" t="s">
        <v>3236</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2"/>
      <c r="AE15" s="2782"/>
      <c r="AF15" s="2782"/>
      <c r="AG15" s="2782"/>
      <c r="AH15" s="2782"/>
      <c r="AI15" s="2782"/>
      <c r="AJ15" s="2783"/>
    </row>
    <row r="16" spans="1:36" ht="15.75" thickBot="1">
      <c r="A16" s="3290"/>
      <c r="B16" s="3312" t="s">
        <v>1987</v>
      </c>
      <c r="C16" s="3310"/>
      <c r="D16" s="3310"/>
      <c r="E16" s="3310"/>
      <c r="F16" s="3310">
        <v>1</v>
      </c>
      <c r="G16" s="3310">
        <v>1</v>
      </c>
      <c r="H16" s="3310">
        <v>1</v>
      </c>
      <c r="I16" s="3310">
        <v>1</v>
      </c>
      <c r="J16" s="3311">
        <v>1</v>
      </c>
      <c r="K16" s="1119"/>
      <c r="L16" s="1995"/>
      <c r="M16" s="1995"/>
      <c r="N16" s="1995"/>
      <c r="O16" s="1995"/>
      <c r="P16" s="1995"/>
      <c r="Q16" s="1119"/>
      <c r="R16" s="1212">
        <v>15</v>
      </c>
      <c r="S16" s="1213"/>
      <c r="T16" s="3353">
        <f t="shared" si="0"/>
        <v>0</v>
      </c>
      <c r="U16" s="1213"/>
      <c r="V16" s="3353">
        <f t="shared" si="1"/>
        <v>0</v>
      </c>
      <c r="W16" s="1216"/>
      <c r="X16" s="1216"/>
      <c r="Y16" s="1216"/>
      <c r="Z16" s="1216"/>
      <c r="AA16" s="1216"/>
      <c r="AB16" s="1216"/>
      <c r="AC16" s="1217"/>
      <c r="AD16" s="2782"/>
      <c r="AE16" s="2782"/>
      <c r="AF16" s="2782"/>
      <c r="AG16" s="2782"/>
      <c r="AH16" s="2782"/>
      <c r="AI16" s="2782"/>
      <c r="AJ16" s="2783"/>
    </row>
    <row r="17" spans="1:37">
      <c r="A17" s="3322" t="s">
        <v>3237</v>
      </c>
      <c r="B17" s="3313" t="s">
        <v>3238</v>
      </c>
      <c r="C17" s="3323">
        <f>ROUND(IF(OR(E2="工业",E2="公共服务"),1,IF(AND(E18=0,E19=0),1,IF(AND(E18=J24,E19=G19),0.8,IF(E19=0,1+E17*(-0.2),1+E17*G17*(-0.2))))),4)</f>
        <v>0.8</v>
      </c>
      <c r="D17" s="3314" t="s">
        <v>3239</v>
      </c>
      <c r="E17" s="3323">
        <f>ROUND(G18/I18,2)</f>
        <v>1</v>
      </c>
      <c r="F17" s="3314" t="s">
        <v>3242</v>
      </c>
      <c r="G17" s="3323">
        <f>ROUND(E19/G19,2)</f>
        <v>1</v>
      </c>
      <c r="H17" s="3323"/>
      <c r="I17" s="3323"/>
      <c r="J17" s="3324"/>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5"/>
      <c r="B18" s="3002"/>
      <c r="C18" s="3320"/>
      <c r="D18" s="3315" t="s">
        <v>3240</v>
      </c>
      <c r="E18" s="3321">
        <v>40</v>
      </c>
      <c r="F18" s="3316" t="s">
        <v>3243</v>
      </c>
      <c r="G18" s="3320">
        <f>ROUND(1-(1/(POWER(1+G24,E18))),4)</f>
        <v>0.88249999999999995</v>
      </c>
      <c r="H18" s="3316" t="s">
        <v>3245</v>
      </c>
      <c r="I18" s="3320">
        <f>ROUND(1-(1/(POWER(1+G24,J24))),4)</f>
        <v>0.88249999999999995</v>
      </c>
      <c r="J18" s="3326"/>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2" customFormat="1" ht="15" thickBot="1">
      <c r="A19" s="3327"/>
      <c r="B19" s="3328"/>
      <c r="C19" s="3329"/>
      <c r="D19" s="3329" t="s">
        <v>3241</v>
      </c>
      <c r="E19" s="3330">
        <f>'数据-汇总表'!E3</f>
        <v>103889.93</v>
      </c>
      <c r="F19" s="3331" t="s">
        <v>3244</v>
      </c>
      <c r="G19" s="3330">
        <f>E19</f>
        <v>103889.93</v>
      </c>
      <c r="H19" s="3329"/>
      <c r="I19" s="3329"/>
      <c r="J19" s="3332"/>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2" customFormat="1" ht="14.25">
      <c r="A20" s="3742" t="s">
        <v>3246</v>
      </c>
      <c r="B20" s="167" t="s">
        <v>1992</v>
      </c>
      <c r="C20" s="3317">
        <f>ROUND(IF(F21="与级别开发程度一致",0,(G21-E21)/C21),0)</f>
        <v>-20</v>
      </c>
      <c r="D20" s="3333" t="s">
        <v>1996</v>
      </c>
      <c r="E20" s="3334"/>
      <c r="F20" s="3748" t="s">
        <v>1993</v>
      </c>
      <c r="G20" s="3749"/>
      <c r="H20" s="3318" t="s">
        <v>3373</v>
      </c>
      <c r="I20" s="3318" t="s">
        <v>3374</v>
      </c>
      <c r="J20" s="3319" t="s">
        <v>3375</v>
      </c>
      <c r="K20" s="2045" t="s">
        <v>3376</v>
      </c>
      <c r="L20" s="2045" t="s">
        <v>3377</v>
      </c>
      <c r="M20" s="2045" t="s">
        <v>3378</v>
      </c>
      <c r="N20" s="2045" t="s">
        <v>3716</v>
      </c>
      <c r="O20" s="2046"/>
      <c r="P20" s="1995"/>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2" customFormat="1" ht="26.25" thickBot="1">
      <c r="A21" s="3743"/>
      <c r="B21" s="2162" t="s">
        <v>1995</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3407</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2" customFormat="1" ht="15.75" thickBot="1">
      <c r="A22" s="2156" t="s">
        <v>363</v>
      </c>
      <c r="B22" s="2157" t="s">
        <v>1998</v>
      </c>
      <c r="C22" s="2158">
        <f>SUMIF(修正!C20:C51,E3,修正!E20:E51)</f>
        <v>1</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2" t="s">
        <v>2000</v>
      </c>
      <c r="E23" s="761">
        <v>44197</v>
      </c>
      <c r="F23" s="2052" t="s">
        <v>2001</v>
      </c>
      <c r="G23" s="762">
        <f>'数据-取费表'!B2</f>
        <v>45210</v>
      </c>
      <c r="H23" s="3335" t="s">
        <v>3248</v>
      </c>
      <c r="I23" s="3336" t="str">
        <f>IF(H23="季度增幅（自定义）",SUMIF(N25:N28,E2,O25:O28),"")</f>
        <v/>
      </c>
      <c r="J23" s="3438" t="s">
        <v>3247</v>
      </c>
      <c r="K23" s="1125"/>
      <c r="L23" s="2053" t="s">
        <v>2002</v>
      </c>
      <c r="M23" s="1328">
        <f>ROUND(SUMIF(地价!B2:G2,E2,地价!B16:G16),0)</f>
        <v>350</v>
      </c>
      <c r="N23" s="2054" t="s">
        <v>2003</v>
      </c>
      <c r="O23" s="763">
        <f>ROUNDDOWN(DATEDIF(E23,G23,"M")/3,0)</f>
        <v>11</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2004</v>
      </c>
      <c r="C24" s="764">
        <f>ROUND(POWER(1+G24,J24-I24)*(POWER(1+G24,I24)-1)/(POWER(1+G24,J24)-1),4)</f>
        <v>0.89880000000000004</v>
      </c>
      <c r="D24" s="2058" t="s">
        <v>2005</v>
      </c>
      <c r="E24" s="1335">
        <f>存贷款利率!E24/100</f>
        <v>4.3499999999999997E-2</v>
      </c>
      <c r="F24" s="2058" t="s">
        <v>1997</v>
      </c>
      <c r="G24" s="768">
        <f>SUMIF(M30:Q30,E2,M33:Q33)</f>
        <v>5.5E-2</v>
      </c>
      <c r="H24" s="2058" t="s">
        <v>2006</v>
      </c>
      <c r="I24" s="769">
        <f>SUMIF('数据-取费表'!C6:C15,E2,'数据-取费表'!F6:F15)/COUNTIF('数据-取费表'!C6:C15,E2)</f>
        <v>29.44</v>
      </c>
      <c r="J24" s="770">
        <f>IF(E2="住宅",70,IF(E2="商业",40,50))</f>
        <v>40</v>
      </c>
      <c r="K24" s="1125"/>
      <c r="L24" s="2059" t="s">
        <v>2007</v>
      </c>
      <c r="M24" s="1329">
        <f>ROUND(SUMPRODUCT((地价!A4:A16=YEAR(G23)&amp;"-"&amp;ROUNDUP(MONTH(G23)/3,0))*(地价!B2:G2=E2)*(地价!B4:G16)),0)</f>
        <v>0</v>
      </c>
      <c r="N24" s="2060" t="s">
        <v>2008</v>
      </c>
      <c r="O24" s="2061" t="s">
        <v>2009</v>
      </c>
      <c r="P24" s="2062" t="s">
        <v>2010</v>
      </c>
      <c r="Q24" s="1995"/>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3724</v>
      </c>
      <c r="C25" s="771">
        <f>IF(B25="容积率修正",IF(G3&lt;10,D26,J26),C27)</f>
        <v>1.5019</v>
      </c>
      <c r="D25" s="2065"/>
      <c r="E25" s="2065"/>
      <c r="F25" s="2065"/>
      <c r="G25" s="2065"/>
      <c r="H25" s="2065"/>
      <c r="I25" s="2065"/>
      <c r="J25" s="2066"/>
      <c r="K25" s="1125"/>
      <c r="L25" s="2781"/>
      <c r="M25" s="2781"/>
      <c r="N25" s="2067" t="s">
        <v>2011</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2012</v>
      </c>
      <c r="B26" s="2068" t="s">
        <v>2013</v>
      </c>
      <c r="C26" s="3337" t="s">
        <v>3249</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7" t="s">
        <v>3250</v>
      </c>
      <c r="J26" s="772" t="e">
        <f>IF(G3&gt;=10,D115,"——")</f>
        <v>#DIV/0!</v>
      </c>
      <c r="K26" s="1125"/>
      <c r="L26" s="2781"/>
      <c r="M26" s="2781"/>
      <c r="N26" s="2067" t="s">
        <v>2014</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2015</v>
      </c>
      <c r="B27" s="2069" t="s">
        <v>2016</v>
      </c>
      <c r="C27" s="841">
        <f>ROUND(IF(I3&lt;6,SUMPRODUCT((B106:B110=I3)*(C105:N105=G2)*(C106:N110)),SUMIF(C105:N105,G2,C112:N112)),4)</f>
        <v>1.5019</v>
      </c>
      <c r="D27" s="2044"/>
      <c r="E27" s="2044"/>
      <c r="F27" s="2070"/>
      <c r="G27" s="2071"/>
      <c r="H27" s="2072"/>
      <c r="I27" s="2073"/>
      <c r="J27" s="2074"/>
      <c r="K27" s="1119"/>
      <c r="L27" s="1995"/>
      <c r="M27" s="1995"/>
      <c r="N27" s="2067" t="s">
        <v>2017</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2018</v>
      </c>
      <c r="C28" s="760">
        <f>SUMIF(A47:A101,E2,B47:B101)</f>
        <v>1.0486</v>
      </c>
      <c r="D28" s="2050"/>
      <c r="E28" s="2075"/>
      <c r="F28" s="2075"/>
      <c r="G28" s="2075"/>
      <c r="H28" s="2075"/>
      <c r="I28" s="2075"/>
      <c r="J28" s="2076"/>
      <c r="K28" s="1125"/>
      <c r="L28" s="2781"/>
      <c r="M28" s="2781"/>
      <c r="N28" s="2077"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2020</v>
      </c>
      <c r="C29" s="765"/>
      <c r="D29" s="2022"/>
      <c r="E29" s="2022"/>
      <c r="F29" s="2079"/>
      <c r="G29" s="2022"/>
      <c r="H29" s="2022"/>
      <c r="I29" s="2022"/>
      <c r="J29" s="2023"/>
      <c r="K29" s="1119"/>
      <c r="L29" s="1995"/>
      <c r="M29" s="1995"/>
      <c r="N29" s="2778" t="s">
        <v>2021</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2022</v>
      </c>
      <c r="C30" s="2319">
        <f>IF(B25="容积率修正",E33+SUM(E37:E42),SUM(V2:V16)+SUM(E37:E42))</f>
        <v>149191</v>
      </c>
      <c r="D30" s="2081"/>
      <c r="E30" s="2044"/>
      <c r="F30" s="2082"/>
      <c r="G30" s="2044"/>
      <c r="H30" s="2044"/>
      <c r="I30" s="2044"/>
      <c r="J30" s="2083"/>
      <c r="K30" s="1119"/>
      <c r="L30" s="3343" t="s">
        <v>1934</v>
      </c>
      <c r="M30" s="3344" t="s">
        <v>1988</v>
      </c>
      <c r="N30" s="3344" t="s">
        <v>1989</v>
      </c>
      <c r="O30" s="3344" t="s">
        <v>1990</v>
      </c>
      <c r="P30" s="3344" t="s">
        <v>1991</v>
      </c>
      <c r="Q30" s="3347" t="s">
        <v>3254</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2023</v>
      </c>
      <c r="C31" s="766">
        <f>E34+SUM(I37:I42)</f>
        <v>5634</v>
      </c>
      <c r="D31" s="2085"/>
      <c r="E31" s="2086"/>
      <c r="F31" s="2087"/>
      <c r="G31" s="2086"/>
      <c r="H31" s="2086"/>
      <c r="I31" s="2086"/>
      <c r="J31" s="2088"/>
      <c r="K31" s="1119"/>
      <c r="L31" s="3345" t="s">
        <v>1994</v>
      </c>
      <c r="M31" s="1998">
        <v>0.25</v>
      </c>
      <c r="N31" s="1998">
        <v>0.2</v>
      </c>
      <c r="O31" s="1998">
        <v>0.15</v>
      </c>
      <c r="P31" s="1998">
        <v>0.1</v>
      </c>
      <c r="Q31" s="3340">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9"/>
      <c r="L32" s="3346" t="s">
        <v>1997</v>
      </c>
      <c r="M32" s="2563">
        <f>ROUND($E$24*(1+M31),3)</f>
        <v>5.3999999999999999E-2</v>
      </c>
      <c r="N32" s="2563">
        <f>ROUND($E$24*(1+N31),3)</f>
        <v>5.1999999999999998E-2</v>
      </c>
      <c r="O32" s="2563">
        <f>ROUND($E$24*(1+O31),3)</f>
        <v>0.05</v>
      </c>
      <c r="P32" s="2563">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2028</v>
      </c>
      <c r="C33" s="175">
        <f>ROUND(C5*C22*C23*C24*C25*C28,0)</f>
        <v>26520</v>
      </c>
      <c r="D33" s="2096">
        <f>'数据-汇总表'!F19</f>
        <v>67424.87</v>
      </c>
      <c r="E33" s="773">
        <f>ROUND(C33*D33/10000,0)</f>
        <v>178811</v>
      </c>
      <c r="F33" s="3338" t="s">
        <v>3252</v>
      </c>
      <c r="G33" s="2097"/>
      <c r="H33" s="2097"/>
      <c r="I33" s="2097"/>
      <c r="J33" s="2098"/>
      <c r="K33" s="1119"/>
      <c r="L33" s="3341" t="s">
        <v>3255</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2029</v>
      </c>
      <c r="C34" s="187" t="e">
        <f>ROUND(IF(E2="工业",C33*M42,IF(B25="楼层修正",SUM(V2:V16)*M41*10000/D34,C33*M41)),0)</f>
        <v>#DIV/0!</v>
      </c>
      <c r="D34" s="2101"/>
      <c r="E34" s="773">
        <f>ROUND(IF(B25="楼层修正",SUM(V2:V16)*M40,C34*D34/10000),0)</f>
        <v>0</v>
      </c>
      <c r="F34" s="2102" t="s">
        <v>2030</v>
      </c>
      <c r="G34" s="2103"/>
      <c r="H34" s="2103"/>
      <c r="I34" s="2103"/>
      <c r="J34" s="2104"/>
      <c r="K34" s="1119"/>
      <c r="L34" s="3341" t="s">
        <v>3256</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2031</v>
      </c>
      <c r="C35" s="3339" t="s">
        <v>3253</v>
      </c>
      <c r="D35" s="2035"/>
      <c r="E35" s="2107"/>
      <c r="F35" s="2107"/>
      <c r="G35" s="2033" t="s">
        <v>2032</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49" t="s">
        <v>3257</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46"/>
      <c r="B37" s="2111" t="s">
        <v>2034</v>
      </c>
      <c r="C37" s="175">
        <f>ROUND(D5*C22*C23*C24*C28*F37,0)</f>
        <v>10489</v>
      </c>
      <c r="D37" s="3485">
        <f>商业!C33</f>
        <v>12142.489999999998</v>
      </c>
      <c r="E37" s="171">
        <f>ROUND(C37*D37/10000,0)</f>
        <v>12736</v>
      </c>
      <c r="F37" s="171">
        <f>SUMIF(修正!A57:A68,G2,修正!B57:B68)</f>
        <v>0.6</v>
      </c>
      <c r="G37" s="171">
        <f>ROUND(IF(E2="工业",C37*$M$42,C37*$M$41),0)</f>
        <v>2622</v>
      </c>
      <c r="H37" s="171">
        <f>D37</f>
        <v>12142.489999999998</v>
      </c>
      <c r="I37" s="171">
        <f>ROUND(G37*H37/10000,0)</f>
        <v>3184</v>
      </c>
      <c r="J37" s="3004"/>
      <c r="K37" s="3351" t="s">
        <v>3258</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47"/>
      <c r="B38" s="2039" t="s">
        <v>2035</v>
      </c>
      <c r="C38" s="175">
        <f>ROUND(D5*C22*C23*C24*C28*F38,0)</f>
        <v>5245</v>
      </c>
      <c r="D38" s="3485">
        <f>商业!C32</f>
        <v>12446.259999999998</v>
      </c>
      <c r="E38" s="171">
        <f t="shared" ref="E38:E42" si="4">ROUND(C38*D38/10000,0)</f>
        <v>6528</v>
      </c>
      <c r="F38" s="171">
        <f>SUMIF(修正!A57:A68,G2,修正!C57:C68)</f>
        <v>0.3</v>
      </c>
      <c r="G38" s="171">
        <f>ROUND(IF(E2="工业",C38*$M$42,C38*$M$41),0)</f>
        <v>1311</v>
      </c>
      <c r="H38" s="171">
        <f t="shared" ref="H38:H42" si="5">D38</f>
        <v>12446.259999999998</v>
      </c>
      <c r="I38" s="171">
        <f t="shared" ref="I38:I42" si="6">ROUND(G38*H38/10000,0)</f>
        <v>1632</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747"/>
      <c r="B39" s="2039" t="s">
        <v>3251</v>
      </c>
      <c r="C39" s="175">
        <f>ROUND(D5*C22*C23*C24*C28*F39,0)</f>
        <v>4370</v>
      </c>
      <c r="D39" s="2096"/>
      <c r="E39" s="171">
        <f t="shared" si="4"/>
        <v>0</v>
      </c>
      <c r="F39" s="171">
        <f>SUMIF(修正!A57:A68,G2,修正!D57:D68)</f>
        <v>0.25</v>
      </c>
      <c r="G39" s="171">
        <f>ROUND(IF(E2="工业",C39*$M$42,C39*$M$41),0)</f>
        <v>1093</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2036</v>
      </c>
      <c r="C40" s="171">
        <f>ROUND(D5*C22*C23*C24*C28*F40,0)</f>
        <v>4370</v>
      </c>
      <c r="D40" s="2096"/>
      <c r="E40" s="171">
        <f t="shared" si="4"/>
        <v>0</v>
      </c>
      <c r="F40" s="175">
        <f>SUMIF(修正!A57:A68,G2,修正!E57:E68)</f>
        <v>0.25</v>
      </c>
      <c r="G40" s="171">
        <f>ROUND(IF(E2="工业",C40*$M$42,C40*$M$41),0)</f>
        <v>1093</v>
      </c>
      <c r="H40" s="171">
        <f t="shared" si="5"/>
        <v>0</v>
      </c>
      <c r="I40" s="171">
        <f t="shared" si="6"/>
        <v>0</v>
      </c>
      <c r="J40" s="2112"/>
      <c r="L40" s="2114" t="s">
        <v>2037</v>
      </c>
      <c r="M40" s="2115"/>
      <c r="Z40" s="1120"/>
      <c r="AA40" s="1120"/>
      <c r="AB40" s="1120"/>
      <c r="AC40" s="1120"/>
      <c r="AD40" s="1120"/>
      <c r="AE40" s="1120"/>
      <c r="AF40" s="1120"/>
      <c r="AG40" s="1120"/>
      <c r="AH40" s="1120"/>
      <c r="AI40" s="1120"/>
      <c r="AJ40" s="1120"/>
    </row>
    <row r="41" spans="1:37" s="1119" customFormat="1">
      <c r="A41" s="2113"/>
      <c r="B41" s="2039" t="s">
        <v>2038</v>
      </c>
      <c r="C41" s="171">
        <f>ROUND(D5*C22*C23*C44*C28*F41,0)</f>
        <v>4590</v>
      </c>
      <c r="D41" s="2096"/>
      <c r="E41" s="171">
        <f t="shared" si="4"/>
        <v>0</v>
      </c>
      <c r="F41" s="175">
        <f>SUMIF(修正!A57:A68,G2,修正!F57:F68)</f>
        <v>0.25</v>
      </c>
      <c r="G41" s="171">
        <f>ROUND(IF(E2="工业",C41*$M$42,C41*$M$41),0)</f>
        <v>1148</v>
      </c>
      <c r="H41" s="171">
        <f t="shared" si="5"/>
        <v>0</v>
      </c>
      <c r="I41" s="171">
        <f t="shared" si="6"/>
        <v>0</v>
      </c>
      <c r="J41" s="2112"/>
      <c r="L41" s="3352" t="s">
        <v>3259</v>
      </c>
      <c r="M41" s="2116">
        <v>0.25</v>
      </c>
      <c r="Z41" s="1120"/>
      <c r="AA41" s="1120"/>
      <c r="AB41" s="1120"/>
      <c r="AC41" s="1120"/>
      <c r="AD41" s="1120"/>
      <c r="AE41" s="1120"/>
      <c r="AF41" s="1120"/>
      <c r="AG41" s="1120"/>
      <c r="AH41" s="1120"/>
      <c r="AI41" s="1120"/>
      <c r="AJ41" s="1120"/>
    </row>
    <row r="42" spans="1:37" s="1119" customFormat="1" ht="13.5" thickBot="1">
      <c r="A42" s="2099"/>
      <c r="B42" s="2117" t="s">
        <v>2039</v>
      </c>
      <c r="C42" s="187">
        <f>ROUND(D5*C22*C23*C44*C28*F42,0)</f>
        <v>2754</v>
      </c>
      <c r="D42" s="2101">
        <f>车位!F62</f>
        <v>11876.310000000001</v>
      </c>
      <c r="E42" s="187">
        <f t="shared" si="4"/>
        <v>3271</v>
      </c>
      <c r="F42" s="767">
        <f>SUMIF(修正!A57:A68,G2,修正!G57:G68)</f>
        <v>0.15</v>
      </c>
      <c r="G42" s="187">
        <f>ROUND(IF(E2="工业",C42*$M$42,C42*$M$41),0)</f>
        <v>689</v>
      </c>
      <c r="H42" s="187">
        <f t="shared" si="5"/>
        <v>11876.310000000001</v>
      </c>
      <c r="I42" s="187">
        <f t="shared" si="6"/>
        <v>818</v>
      </c>
      <c r="J42" s="2118"/>
      <c r="L42" s="2119" t="s">
        <v>1991</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2120</v>
      </c>
      <c r="C44" s="342">
        <f>ROUND(POWER(1+E44,H44-G44)*(POWER(1+E44,G44)-1)/(POWER(1+E44,H44)-1),4)</f>
        <v>0.94389999999999996</v>
      </c>
      <c r="D44" s="171" t="s">
        <v>1997</v>
      </c>
      <c r="E44" s="2151">
        <f>G24</f>
        <v>5.5E-2</v>
      </c>
      <c r="F44" s="171" t="s">
        <v>2006</v>
      </c>
      <c r="G44" s="183">
        <f>项目基本情况!F15</f>
        <v>39.44</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2040</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2041</v>
      </c>
      <c r="B48" s="2125">
        <f>1+E50</f>
        <v>1.0486</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2042</v>
      </c>
      <c r="B49" s="1351" t="s">
        <v>2043</v>
      </c>
      <c r="C49" s="1351" t="s">
        <v>2044</v>
      </c>
      <c r="D49" s="1351" t="s">
        <v>2045</v>
      </c>
      <c r="E49" s="743" t="s">
        <v>2046</v>
      </c>
      <c r="F49" s="2129" t="s">
        <v>2047</v>
      </c>
      <c r="G49" s="1351" t="s">
        <v>310</v>
      </c>
      <c r="H49" s="2130"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28" t="s">
        <v>2050</v>
      </c>
      <c r="B50" s="2131" t="str">
        <f>估价对象房地状况!C4</f>
        <v>较好</v>
      </c>
      <c r="C50" s="2042" t="s">
        <v>3386</v>
      </c>
      <c r="D50" s="1065">
        <f t="shared" ref="D50:D58" si="7">SUMIF($J$49:$N$49,C50,J50:N50)</f>
        <v>1.4200000000000001E-2</v>
      </c>
      <c r="E50" s="744">
        <f>ROUND(SUM(D50:D58),4)</f>
        <v>4.8599999999999997E-2</v>
      </c>
      <c r="F50" s="1814">
        <f>IF(E2="商业",SUMIF(L1:L12,G2,N1:N12),"——")</f>
        <v>9.5000000000000001E-2</v>
      </c>
      <c r="G50" s="1063">
        <f t="shared" ref="G50:G58" si="8">H50</f>
        <v>1.4200000000000001E-2</v>
      </c>
      <c r="H50" s="1066">
        <f t="shared" ref="H50:H58" si="9">IFERROR(ROUNDDOWN($F$50*I50/2,4),"——")</f>
        <v>1.4200000000000001E-2</v>
      </c>
      <c r="I50" s="3359">
        <v>0.3</v>
      </c>
      <c r="J50" s="1064">
        <f t="shared" ref="J50:J58" si="10">K50+$G50</f>
        <v>2.8400000000000002E-2</v>
      </c>
      <c r="K50" s="1064">
        <f t="shared" ref="K50:K58" si="11">$L50+$G50</f>
        <v>1.4200000000000001E-2</v>
      </c>
      <c r="L50" s="1064">
        <v>0</v>
      </c>
      <c r="M50" s="1064">
        <f t="shared" ref="M50:N58" si="12">L50-$G50</f>
        <v>-1.4200000000000001E-2</v>
      </c>
      <c r="N50" s="1064">
        <f t="shared" si="12"/>
        <v>-2.8400000000000002E-2</v>
      </c>
      <c r="AA50" s="1120"/>
      <c r="AB50" s="1120"/>
      <c r="AC50" s="1120"/>
      <c r="AD50" s="1120"/>
      <c r="AE50" s="1120"/>
      <c r="AF50" s="1120"/>
      <c r="AG50" s="1120"/>
      <c r="AH50" s="1120"/>
      <c r="AI50" s="1120"/>
      <c r="AJ50" s="1120"/>
      <c r="AK50" s="1120"/>
    </row>
    <row r="51" spans="1:37" s="1119" customFormat="1" ht="14.25">
      <c r="A51" s="2128" t="s">
        <v>2051</v>
      </c>
      <c r="B51" s="2132" t="str">
        <f>估价对象房地状况!C18</f>
        <v>较好</v>
      </c>
      <c r="C51" s="2042" t="s">
        <v>3386</v>
      </c>
      <c r="D51" s="1065">
        <f t="shared" si="7"/>
        <v>1.04E-2</v>
      </c>
      <c r="E51" s="745"/>
      <c r="F51" s="1814"/>
      <c r="G51" s="1063">
        <f t="shared" si="8"/>
        <v>1.04E-2</v>
      </c>
      <c r="H51" s="1066">
        <f t="shared" si="9"/>
        <v>1.04E-2</v>
      </c>
      <c r="I51" s="3359">
        <v>0.22</v>
      </c>
      <c r="J51" s="1064">
        <f t="shared" si="10"/>
        <v>2.0799999999999999E-2</v>
      </c>
      <c r="K51" s="1064">
        <f t="shared" si="11"/>
        <v>1.04E-2</v>
      </c>
      <c r="L51" s="1064">
        <v>0</v>
      </c>
      <c r="M51" s="1064">
        <f t="shared" si="12"/>
        <v>-1.04E-2</v>
      </c>
      <c r="N51" s="1064">
        <f t="shared" si="12"/>
        <v>-2.0799999999999999E-2</v>
      </c>
      <c r="AA51" s="1120"/>
      <c r="AB51" s="1120"/>
      <c r="AC51" s="1120"/>
      <c r="AD51" s="1120"/>
      <c r="AE51" s="1120"/>
      <c r="AF51" s="1120"/>
      <c r="AG51" s="1120"/>
      <c r="AH51" s="1120"/>
      <c r="AI51" s="1120"/>
      <c r="AJ51" s="1120"/>
      <c r="AK51" s="1120"/>
    </row>
    <row r="52" spans="1:37" s="1119" customFormat="1" ht="36">
      <c r="A52" s="3361" t="s">
        <v>3261</v>
      </c>
      <c r="B52" s="2132" t="str">
        <f>估价对象房地状况!C19</f>
        <v>较好</v>
      </c>
      <c r="C52" s="2042" t="s">
        <v>3386</v>
      </c>
      <c r="D52" s="1065">
        <f t="shared" si="7"/>
        <v>5.7000000000000002E-3</v>
      </c>
      <c r="E52" s="745"/>
      <c r="F52" s="1814"/>
      <c r="G52" s="1063">
        <f t="shared" si="8"/>
        <v>5.7000000000000002E-3</v>
      </c>
      <c r="H52" s="1066">
        <f t="shared" si="9"/>
        <v>5.7000000000000002E-3</v>
      </c>
      <c r="I52" s="3359">
        <v>0.12</v>
      </c>
      <c r="J52" s="1064">
        <f t="shared" si="10"/>
        <v>1.14E-2</v>
      </c>
      <c r="K52" s="1064">
        <f t="shared" si="11"/>
        <v>5.7000000000000002E-3</v>
      </c>
      <c r="L52" s="1064">
        <v>0</v>
      </c>
      <c r="M52" s="1064">
        <f t="shared" si="12"/>
        <v>-5.7000000000000002E-3</v>
      </c>
      <c r="N52" s="1064">
        <f t="shared" si="12"/>
        <v>-1.14E-2</v>
      </c>
      <c r="AA52" s="1120"/>
      <c r="AB52" s="1120"/>
      <c r="AC52" s="1120"/>
      <c r="AD52" s="1120"/>
      <c r="AE52" s="1120"/>
      <c r="AF52" s="1120"/>
      <c r="AG52" s="1120"/>
      <c r="AH52" s="1120"/>
      <c r="AI52" s="1120"/>
      <c r="AJ52" s="1120"/>
      <c r="AK52" s="1120"/>
    </row>
    <row r="53" spans="1:37" s="1119" customFormat="1" ht="36.75">
      <c r="A53" s="2128" t="s">
        <v>2052</v>
      </c>
      <c r="B53" s="2133" t="s">
        <v>2053</v>
      </c>
      <c r="C53" s="2042" t="s">
        <v>3386</v>
      </c>
      <c r="D53" s="1065">
        <f t="shared" si="7"/>
        <v>2.3E-3</v>
      </c>
      <c r="E53" s="745"/>
      <c r="F53" s="1814"/>
      <c r="G53" s="1063">
        <f t="shared" si="8"/>
        <v>2.3E-3</v>
      </c>
      <c r="H53" s="1066">
        <f t="shared" si="9"/>
        <v>2.3E-3</v>
      </c>
      <c r="I53" s="3359">
        <v>0.05</v>
      </c>
      <c r="J53" s="1064">
        <f t="shared" si="10"/>
        <v>4.5999999999999999E-3</v>
      </c>
      <c r="K53" s="1064">
        <f t="shared" si="11"/>
        <v>2.3E-3</v>
      </c>
      <c r="L53" s="1064">
        <v>0</v>
      </c>
      <c r="M53" s="1064">
        <f t="shared" si="12"/>
        <v>-2.3E-3</v>
      </c>
      <c r="N53" s="1064">
        <f t="shared" si="12"/>
        <v>-4.5999999999999999E-3</v>
      </c>
      <c r="AA53" s="1120"/>
      <c r="AB53" s="1120"/>
      <c r="AC53" s="1120"/>
      <c r="AD53" s="1120"/>
      <c r="AE53" s="1120"/>
      <c r="AF53" s="1120"/>
      <c r="AG53" s="1120"/>
      <c r="AH53" s="1120"/>
      <c r="AI53" s="1120"/>
      <c r="AJ53" s="1120"/>
      <c r="AK53" s="1120"/>
    </row>
    <row r="54" spans="1:37" s="1119" customFormat="1" ht="24">
      <c r="A54" s="2128" t="s">
        <v>2054</v>
      </c>
      <c r="B54" s="2132">
        <f>估价对象房地状况!C24</f>
        <v>0</v>
      </c>
      <c r="C54" s="2042" t="s">
        <v>3386</v>
      </c>
      <c r="D54" s="1065">
        <f t="shared" si="7"/>
        <v>3.8E-3</v>
      </c>
      <c r="E54" s="745"/>
      <c r="F54" s="1814"/>
      <c r="G54" s="1063">
        <f t="shared" si="8"/>
        <v>3.8E-3</v>
      </c>
      <c r="H54" s="1066">
        <f t="shared" si="9"/>
        <v>3.8E-3</v>
      </c>
      <c r="I54" s="3359">
        <v>0.08</v>
      </c>
      <c r="J54" s="1064">
        <f t="shared" si="10"/>
        <v>7.6E-3</v>
      </c>
      <c r="K54" s="1064">
        <f t="shared" si="11"/>
        <v>3.8E-3</v>
      </c>
      <c r="L54" s="1064">
        <v>0</v>
      </c>
      <c r="M54" s="1064">
        <f t="shared" si="12"/>
        <v>-3.8E-3</v>
      </c>
      <c r="N54" s="1064">
        <f t="shared" si="12"/>
        <v>-7.6E-3</v>
      </c>
      <c r="AA54" s="1120"/>
      <c r="AB54" s="1120"/>
      <c r="AC54" s="1120"/>
      <c r="AD54" s="1120"/>
      <c r="AE54" s="1120"/>
      <c r="AF54" s="1120"/>
      <c r="AG54" s="1120"/>
      <c r="AH54" s="1120"/>
      <c r="AI54" s="1120"/>
      <c r="AJ54" s="1120"/>
      <c r="AK54" s="1120"/>
    </row>
    <row r="55" spans="1:37" s="1119" customFormat="1" ht="24">
      <c r="A55" s="2128" t="s">
        <v>2055</v>
      </c>
      <c r="B55" s="2134" t="s">
        <v>2056</v>
      </c>
      <c r="C55" s="2042" t="s">
        <v>3408</v>
      </c>
      <c r="D55" s="1065">
        <f t="shared" si="7"/>
        <v>0</v>
      </c>
      <c r="E55" s="745"/>
      <c r="F55" s="1814"/>
      <c r="G55" s="1063">
        <f t="shared" si="8"/>
        <v>2.3E-3</v>
      </c>
      <c r="H55" s="1066">
        <f t="shared" si="9"/>
        <v>2.3E-3</v>
      </c>
      <c r="I55" s="3359">
        <v>0.05</v>
      </c>
      <c r="J55" s="1064">
        <f t="shared" si="10"/>
        <v>4.5999999999999999E-3</v>
      </c>
      <c r="K55" s="1064">
        <f t="shared" si="11"/>
        <v>2.3E-3</v>
      </c>
      <c r="L55" s="1064">
        <v>0</v>
      </c>
      <c r="M55" s="1064">
        <f t="shared" si="12"/>
        <v>-2.3E-3</v>
      </c>
      <c r="N55" s="1064">
        <f t="shared" si="12"/>
        <v>-4.5999999999999999E-3</v>
      </c>
      <c r="AA55" s="1120"/>
      <c r="AB55" s="1120"/>
      <c r="AC55" s="1120"/>
      <c r="AD55" s="1120"/>
      <c r="AE55" s="1120"/>
      <c r="AF55" s="1120"/>
      <c r="AG55" s="1120"/>
      <c r="AH55" s="1120"/>
      <c r="AI55" s="1120"/>
      <c r="AJ55" s="1120"/>
      <c r="AK55" s="1120"/>
    </row>
    <row r="56" spans="1:37" s="1119" customFormat="1" ht="24">
      <c r="A56" s="2135" t="s">
        <v>2057</v>
      </c>
      <c r="B56" s="1326" t="str">
        <f>估价对象房地状况!C21</f>
        <v>较好</v>
      </c>
      <c r="C56" s="2042" t="s">
        <v>3386</v>
      </c>
      <c r="D56" s="1065">
        <f t="shared" si="7"/>
        <v>2.3E-3</v>
      </c>
      <c r="E56" s="745"/>
      <c r="F56" s="1814"/>
      <c r="G56" s="1063">
        <f t="shared" si="8"/>
        <v>2.3E-3</v>
      </c>
      <c r="H56" s="1066">
        <f t="shared" si="9"/>
        <v>2.3E-3</v>
      </c>
      <c r="I56" s="3359">
        <v>0.05</v>
      </c>
      <c r="J56" s="1064">
        <f t="shared" si="10"/>
        <v>4.5999999999999999E-3</v>
      </c>
      <c r="K56" s="1064">
        <f t="shared" si="11"/>
        <v>2.3E-3</v>
      </c>
      <c r="L56" s="1064">
        <v>0</v>
      </c>
      <c r="M56" s="1064">
        <f t="shared" si="12"/>
        <v>-2.3E-3</v>
      </c>
      <c r="N56" s="1064">
        <f t="shared" si="12"/>
        <v>-4.5999999999999999E-3</v>
      </c>
      <c r="AA56" s="1120"/>
      <c r="AB56" s="1120"/>
      <c r="AC56" s="1120"/>
      <c r="AD56" s="1120"/>
      <c r="AE56" s="1120"/>
      <c r="AF56" s="1120"/>
      <c r="AG56" s="1120"/>
      <c r="AH56" s="1120"/>
      <c r="AI56" s="1120"/>
      <c r="AJ56" s="1120"/>
      <c r="AK56" s="1120"/>
    </row>
    <row r="57" spans="1:37" s="1119" customFormat="1" ht="24">
      <c r="A57" s="2135" t="s">
        <v>2058</v>
      </c>
      <c r="B57" s="2132" t="str">
        <f>估价对象房地状况!C22</f>
        <v>七通</v>
      </c>
      <c r="C57" s="2042" t="s">
        <v>3409</v>
      </c>
      <c r="D57" s="1065">
        <f t="shared" si="7"/>
        <v>7.6E-3</v>
      </c>
      <c r="E57" s="745"/>
      <c r="F57" s="1814"/>
      <c r="G57" s="1063">
        <f t="shared" si="8"/>
        <v>3.8E-3</v>
      </c>
      <c r="H57" s="1066">
        <f t="shared" si="9"/>
        <v>3.8E-3</v>
      </c>
      <c r="I57" s="3359">
        <v>0.08</v>
      </c>
      <c r="J57" s="1064">
        <f t="shared" si="10"/>
        <v>7.6E-3</v>
      </c>
      <c r="K57" s="1064">
        <f t="shared" si="11"/>
        <v>3.8E-3</v>
      </c>
      <c r="L57" s="1064">
        <v>0</v>
      </c>
      <c r="M57" s="1064">
        <f t="shared" si="12"/>
        <v>-3.8E-3</v>
      </c>
      <c r="N57" s="1064">
        <f t="shared" si="12"/>
        <v>-7.6E-3</v>
      </c>
      <c r="AA57" s="1120"/>
      <c r="AB57" s="1120"/>
      <c r="AC57" s="1120"/>
      <c r="AD57" s="1120"/>
      <c r="AE57" s="1120"/>
      <c r="AF57" s="1120"/>
      <c r="AG57" s="1120"/>
      <c r="AH57" s="1120"/>
      <c r="AI57" s="1120"/>
      <c r="AJ57" s="1120"/>
      <c r="AK57" s="1120"/>
    </row>
    <row r="58" spans="1:37" s="1119" customFormat="1" ht="24.75" thickBot="1">
      <c r="A58" s="2136" t="s">
        <v>2059</v>
      </c>
      <c r="B58" s="2137" t="str">
        <f>估价对象房地状况!C20</f>
        <v>较好</v>
      </c>
      <c r="C58" s="2042" t="s">
        <v>3386</v>
      </c>
      <c r="D58" s="1065">
        <f t="shared" si="7"/>
        <v>2.3E-3</v>
      </c>
      <c r="E58" s="746"/>
      <c r="F58" s="1814"/>
      <c r="G58" s="1063">
        <f t="shared" si="8"/>
        <v>2.3E-3</v>
      </c>
      <c r="H58" s="1066">
        <f t="shared" si="9"/>
        <v>2.3E-3</v>
      </c>
      <c r="I58" s="3360">
        <v>0.05</v>
      </c>
      <c r="J58" s="1064">
        <f t="shared" si="10"/>
        <v>4.5999999999999999E-3</v>
      </c>
      <c r="K58" s="1064">
        <f t="shared" si="11"/>
        <v>2.3E-3</v>
      </c>
      <c r="L58" s="1064">
        <v>0</v>
      </c>
      <c r="M58" s="1064">
        <f t="shared" si="12"/>
        <v>-2.3E-3</v>
      </c>
      <c r="N58" s="1064">
        <f t="shared" si="12"/>
        <v>-4.5999999999999999E-3</v>
      </c>
      <c r="AA58" s="1120"/>
      <c r="AB58" s="1120"/>
      <c r="AC58" s="1120"/>
      <c r="AD58" s="1120"/>
      <c r="AE58" s="1120"/>
      <c r="AF58" s="1120"/>
      <c r="AG58" s="1120"/>
      <c r="AH58" s="1120"/>
      <c r="AI58" s="1120"/>
      <c r="AJ58" s="1120"/>
      <c r="AK58" s="1120"/>
    </row>
    <row r="59" spans="1:37" s="1119" customFormat="1" ht="15">
      <c r="A59" s="2124" t="s">
        <v>2060</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2042</v>
      </c>
      <c r="B60" s="1351"/>
      <c r="C60" s="1351" t="s">
        <v>2044</v>
      </c>
      <c r="D60" s="1351" t="s">
        <v>2045</v>
      </c>
      <c r="E60" s="743" t="s">
        <v>2046</v>
      </c>
      <c r="F60" s="2129" t="s">
        <v>2061</v>
      </c>
      <c r="G60" s="1351" t="s">
        <v>310</v>
      </c>
      <c r="H60" s="2130"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28" t="s">
        <v>2062</v>
      </c>
      <c r="B61" s="2131" t="str">
        <f>估价对象房地状况!C17</f>
        <v>较好</v>
      </c>
      <c r="C61" s="2042" t="s">
        <v>3386</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59">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c r="A62" s="2128" t="s">
        <v>2051</v>
      </c>
      <c r="B62" s="2132" t="str">
        <f>估价对象房地状况!C18</f>
        <v>较好</v>
      </c>
      <c r="C62" s="2042" t="s">
        <v>3386</v>
      </c>
      <c r="D62" s="1065" t="e">
        <f t="shared" si="13"/>
        <v>#VALUE!</v>
      </c>
      <c r="E62" s="745"/>
      <c r="F62" s="1814"/>
      <c r="G62" s="1063" t="str">
        <f t="shared" si="14"/>
        <v>——</v>
      </c>
      <c r="H62" s="1066" t="str">
        <f t="shared" si="15"/>
        <v>——</v>
      </c>
      <c r="I62" s="3359">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c r="A63" s="3361" t="s">
        <v>3261</v>
      </c>
      <c r="B63" s="2132" t="str">
        <f>估价对象房地状况!C19</f>
        <v>较好</v>
      </c>
      <c r="C63" s="2042" t="s">
        <v>3386</v>
      </c>
      <c r="D63" s="1065" t="e">
        <f t="shared" si="13"/>
        <v>#VALUE!</v>
      </c>
      <c r="E63" s="745"/>
      <c r="F63" s="1814"/>
      <c r="G63" s="1063" t="str">
        <f t="shared" si="14"/>
        <v>——</v>
      </c>
      <c r="H63" s="1066" t="str">
        <f t="shared" si="15"/>
        <v>——</v>
      </c>
      <c r="I63" s="3359">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c r="A64" s="2128" t="s">
        <v>2052</v>
      </c>
      <c r="B64" s="2133" t="s">
        <v>2053</v>
      </c>
      <c r="C64" s="2042" t="s">
        <v>3386</v>
      </c>
      <c r="D64" s="1065" t="e">
        <f t="shared" si="13"/>
        <v>#VALUE!</v>
      </c>
      <c r="E64" s="745"/>
      <c r="F64" s="1814"/>
      <c r="G64" s="1063" t="str">
        <f t="shared" si="14"/>
        <v>——</v>
      </c>
      <c r="H64" s="1066" t="str">
        <f t="shared" si="15"/>
        <v>——</v>
      </c>
      <c r="I64" s="3359">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c r="A65" s="2128" t="s">
        <v>2054</v>
      </c>
      <c r="B65" s="2132">
        <f>估价对象房地状况!C24</f>
        <v>0</v>
      </c>
      <c r="C65" s="2042" t="s">
        <v>3408</v>
      </c>
      <c r="D65" s="1065">
        <f t="shared" si="13"/>
        <v>0</v>
      </c>
      <c r="E65" s="745"/>
      <c r="F65" s="1814"/>
      <c r="G65" s="1063" t="str">
        <f t="shared" si="14"/>
        <v>——</v>
      </c>
      <c r="H65" s="1066" t="str">
        <f t="shared" si="15"/>
        <v>——</v>
      </c>
      <c r="I65" s="3359">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c r="A66" s="2128" t="s">
        <v>2055</v>
      </c>
      <c r="B66" s="2134" t="s">
        <v>2056</v>
      </c>
      <c r="C66" s="2042" t="s">
        <v>3386</v>
      </c>
      <c r="D66" s="1065" t="e">
        <f t="shared" si="13"/>
        <v>#VALUE!</v>
      </c>
      <c r="E66" s="745"/>
      <c r="F66" s="1814"/>
      <c r="G66" s="1063" t="str">
        <f t="shared" si="14"/>
        <v>——</v>
      </c>
      <c r="H66" s="1066" t="str">
        <f t="shared" si="15"/>
        <v>——</v>
      </c>
      <c r="I66" s="3359">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c r="A67" s="2128" t="s">
        <v>2057</v>
      </c>
      <c r="B67" s="1326" t="str">
        <f>估价对象房地状况!C21</f>
        <v>较好</v>
      </c>
      <c r="C67" s="2042" t="s">
        <v>3386</v>
      </c>
      <c r="D67" s="1065" t="e">
        <f t="shared" si="13"/>
        <v>#VALUE!</v>
      </c>
      <c r="E67" s="745"/>
      <c r="F67" s="1814"/>
      <c r="G67" s="1063" t="str">
        <f t="shared" si="14"/>
        <v>——</v>
      </c>
      <c r="H67" s="1066" t="str">
        <f t="shared" si="15"/>
        <v>——</v>
      </c>
      <c r="I67" s="3359">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c r="A68" s="2128" t="s">
        <v>2058</v>
      </c>
      <c r="B68" s="1326" t="str">
        <f>估价对象房地状况!C22</f>
        <v>七通</v>
      </c>
      <c r="C68" s="2042" t="s">
        <v>3409</v>
      </c>
      <c r="D68" s="1065" t="e">
        <f t="shared" si="13"/>
        <v>#VALUE!</v>
      </c>
      <c r="E68" s="745"/>
      <c r="F68" s="1814"/>
      <c r="G68" s="1063" t="str">
        <f t="shared" si="14"/>
        <v>——</v>
      </c>
      <c r="H68" s="1066" t="str">
        <f t="shared" si="15"/>
        <v>——</v>
      </c>
      <c r="I68" s="3359">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thickBot="1">
      <c r="A69" s="2136" t="s">
        <v>2059</v>
      </c>
      <c r="B69" s="2138" t="str">
        <f>估价对象房地状况!C20</f>
        <v>较好</v>
      </c>
      <c r="C69" s="2042" t="s">
        <v>3386</v>
      </c>
      <c r="D69" s="1065" t="e">
        <f t="shared" si="13"/>
        <v>#VALUE!</v>
      </c>
      <c r="E69" s="746"/>
      <c r="F69" s="1814"/>
      <c r="G69" s="1063" t="str">
        <f t="shared" si="14"/>
        <v>——</v>
      </c>
      <c r="H69" s="1066" t="str">
        <f t="shared" si="15"/>
        <v>——</v>
      </c>
      <c r="I69" s="3360">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4" t="s">
        <v>2063</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2042</v>
      </c>
      <c r="B71" s="1351"/>
      <c r="C71" s="1351" t="s">
        <v>2044</v>
      </c>
      <c r="D71" s="1351" t="s">
        <v>2045</v>
      </c>
      <c r="E71" s="743" t="s">
        <v>2046</v>
      </c>
      <c r="F71" s="2129" t="s">
        <v>2061</v>
      </c>
      <c r="G71" s="1351" t="s">
        <v>310</v>
      </c>
      <c r="H71" s="2130"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28" t="s">
        <v>2064</v>
      </c>
      <c r="B72" s="2131" t="str">
        <f>估价对象房地状况!C15</f>
        <v>较好</v>
      </c>
      <c r="C72" s="2042" t="s">
        <v>3386</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9">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8" t="s">
        <v>2051</v>
      </c>
      <c r="B73" s="2132" t="str">
        <f>估价对象房地状况!C18</f>
        <v>较好</v>
      </c>
      <c r="C73" s="2042" t="s">
        <v>3386</v>
      </c>
      <c r="D73" s="1065" t="e">
        <f t="shared" si="19"/>
        <v>#VALUE!</v>
      </c>
      <c r="E73" s="747"/>
      <c r="F73" s="1814"/>
      <c r="G73" s="1063" t="str">
        <f t="shared" si="20"/>
        <v>——</v>
      </c>
      <c r="H73" s="1066" t="str">
        <f t="shared" si="21"/>
        <v>——</v>
      </c>
      <c r="I73" s="3359">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c r="A74" s="3361" t="s">
        <v>3261</v>
      </c>
      <c r="B74" s="2132" t="str">
        <f>估价对象房地状况!C19</f>
        <v>较好</v>
      </c>
      <c r="C74" s="2042" t="s">
        <v>3386</v>
      </c>
      <c r="D74" s="1065" t="e">
        <f t="shared" si="19"/>
        <v>#VALUE!</v>
      </c>
      <c r="E74" s="747"/>
      <c r="F74" s="1814"/>
      <c r="G74" s="1063" t="str">
        <f t="shared" si="20"/>
        <v>——</v>
      </c>
      <c r="H74" s="1066" t="str">
        <f t="shared" si="21"/>
        <v>——</v>
      </c>
      <c r="I74" s="3359">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c r="A75" s="2128" t="s">
        <v>2065</v>
      </c>
      <c r="B75" s="2132">
        <f>估价对象房地状况!C24</f>
        <v>0</v>
      </c>
      <c r="C75" s="2042" t="s">
        <v>3408</v>
      </c>
      <c r="D75" s="1065">
        <f t="shared" si="19"/>
        <v>0</v>
      </c>
      <c r="E75" s="747"/>
      <c r="F75" s="1814"/>
      <c r="G75" s="1063" t="str">
        <f t="shared" si="20"/>
        <v>——</v>
      </c>
      <c r="H75" s="1066" t="str">
        <f t="shared" si="21"/>
        <v>——</v>
      </c>
      <c r="I75" s="3359">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c r="A76" s="2128" t="s">
        <v>2057</v>
      </c>
      <c r="B76" s="1326" t="str">
        <f>估价对象房地状况!C21</f>
        <v>较好</v>
      </c>
      <c r="C76" s="2042" t="s">
        <v>3386</v>
      </c>
      <c r="D76" s="1065" t="e">
        <f t="shared" si="19"/>
        <v>#VALUE!</v>
      </c>
      <c r="E76" s="747"/>
      <c r="F76" s="1814"/>
      <c r="G76" s="1063" t="str">
        <f t="shared" si="20"/>
        <v>——</v>
      </c>
      <c r="H76" s="1066" t="str">
        <f t="shared" si="21"/>
        <v>——</v>
      </c>
      <c r="I76" s="3359">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c r="A77" s="2128" t="s">
        <v>2058</v>
      </c>
      <c r="B77" s="1326" t="str">
        <f>估价对象房地状况!C22</f>
        <v>七通</v>
      </c>
      <c r="C77" s="2042" t="s">
        <v>3409</v>
      </c>
      <c r="D77" s="1065" t="e">
        <f t="shared" si="19"/>
        <v>#VALUE!</v>
      </c>
      <c r="E77" s="747"/>
      <c r="F77" s="1814"/>
      <c r="G77" s="1063" t="str">
        <f t="shared" si="20"/>
        <v>——</v>
      </c>
      <c r="H77" s="1066" t="str">
        <f t="shared" si="21"/>
        <v>——</v>
      </c>
      <c r="I77" s="3359">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c r="A78" s="2128" t="s">
        <v>2055</v>
      </c>
      <c r="B78" s="2134" t="s">
        <v>2056</v>
      </c>
      <c r="C78" s="2042" t="s">
        <v>3386</v>
      </c>
      <c r="D78" s="1065" t="e">
        <f t="shared" si="19"/>
        <v>#VALUE!</v>
      </c>
      <c r="E78" s="747"/>
      <c r="F78" s="1814"/>
      <c r="G78" s="1063" t="str">
        <f t="shared" si="20"/>
        <v>——</v>
      </c>
      <c r="H78" s="1066" t="str">
        <f t="shared" si="21"/>
        <v>——</v>
      </c>
      <c r="I78" s="3359">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c r="A79" s="2128" t="s">
        <v>2059</v>
      </c>
      <c r="B79" s="2131" t="str">
        <f>估价对象房地状况!C20</f>
        <v>较好</v>
      </c>
      <c r="C79" s="2042" t="s">
        <v>3386</v>
      </c>
      <c r="D79" s="1065" t="e">
        <f t="shared" si="19"/>
        <v>#VALUE!</v>
      </c>
      <c r="E79" s="747"/>
      <c r="F79" s="1814"/>
      <c r="G79" s="1063" t="str">
        <f t="shared" si="20"/>
        <v>——</v>
      </c>
      <c r="H79" s="1066" t="str">
        <f t="shared" si="21"/>
        <v>——</v>
      </c>
      <c r="I79" s="3359">
        <v>0.12</v>
      </c>
      <c r="J79" s="1064" t="e">
        <f t="shared" si="22"/>
        <v>#VALUE!</v>
      </c>
      <c r="K79" s="1064" t="e">
        <f t="shared" si="23"/>
        <v>#VALUE!</v>
      </c>
      <c r="L79" s="1064">
        <v>0</v>
      </c>
      <c r="M79" s="1064" t="e">
        <f t="shared" si="24"/>
        <v>#VALUE!</v>
      </c>
      <c r="N79" s="1064" t="e">
        <f t="shared" si="24"/>
        <v>#VALUE!</v>
      </c>
      <c r="Z79" s="1996"/>
      <c r="AA79" s="2051"/>
      <c r="AG79" s="1121"/>
      <c r="AK79" s="2051"/>
    </row>
    <row r="80" spans="1:37" ht="24.75" thickBot="1">
      <c r="A80" s="2136" t="s">
        <v>2066</v>
      </c>
      <c r="B80" s="2140"/>
      <c r="C80" s="2042" t="s">
        <v>3386</v>
      </c>
      <c r="D80" s="1065" t="e">
        <f t="shared" si="19"/>
        <v>#VALUE!</v>
      </c>
      <c r="E80" s="748"/>
      <c r="F80" s="1814"/>
      <c r="G80" s="1063" t="str">
        <f t="shared" si="20"/>
        <v>——</v>
      </c>
      <c r="H80" s="1066" t="str">
        <f t="shared" si="21"/>
        <v>——</v>
      </c>
      <c r="I80" s="3360">
        <v>0.05</v>
      </c>
      <c r="J80" s="1064" t="e">
        <f t="shared" si="22"/>
        <v>#VALUE!</v>
      </c>
      <c r="K80" s="1064" t="e">
        <f t="shared" si="23"/>
        <v>#VALUE!</v>
      </c>
      <c r="L80" s="1064">
        <v>0</v>
      </c>
      <c r="M80" s="1064" t="e">
        <f t="shared" si="24"/>
        <v>#VALUE!</v>
      </c>
      <c r="N80" s="1064" t="e">
        <f t="shared" si="24"/>
        <v>#VALUE!</v>
      </c>
      <c r="Z80" s="1996"/>
      <c r="AA80" s="2051"/>
      <c r="AG80" s="1121"/>
      <c r="AK80" s="2051"/>
    </row>
    <row r="81" spans="1:37" ht="15">
      <c r="A81" s="2124" t="s">
        <v>2067</v>
      </c>
      <c r="B81" s="2125">
        <f>1+E83</f>
        <v>1</v>
      </c>
      <c r="C81" s="741"/>
      <c r="D81" s="741"/>
      <c r="E81" s="742"/>
      <c r="F81" s="2127"/>
      <c r="G81" s="3"/>
      <c r="H81" s="3"/>
      <c r="I81" s="3"/>
      <c r="J81" s="4"/>
      <c r="K81" s="4"/>
      <c r="L81" s="4"/>
      <c r="M81" s="4"/>
      <c r="N81" s="4"/>
      <c r="Z81" s="1996"/>
      <c r="AA81" s="2051"/>
      <c r="AG81" s="1121"/>
      <c r="AK81" s="2051"/>
    </row>
    <row r="82" spans="1:37" ht="24.75">
      <c r="A82" s="2128" t="s">
        <v>2042</v>
      </c>
      <c r="B82" s="1351"/>
      <c r="C82" s="1351" t="s">
        <v>2044</v>
      </c>
      <c r="D82" s="1351" t="s">
        <v>2045</v>
      </c>
      <c r="E82" s="743" t="s">
        <v>2046</v>
      </c>
      <c r="F82" s="2129" t="s">
        <v>2061</v>
      </c>
      <c r="G82" s="1351" t="s">
        <v>310</v>
      </c>
      <c r="H82" s="2130" t="s">
        <v>2048</v>
      </c>
      <c r="I82" s="1351" t="s">
        <v>2049</v>
      </c>
      <c r="J82" s="552" t="s">
        <v>1719</v>
      </c>
      <c r="K82" s="552" t="s">
        <v>1720</v>
      </c>
      <c r="L82" s="552" t="s">
        <v>1721</v>
      </c>
      <c r="M82" s="552" t="s">
        <v>1722</v>
      </c>
      <c r="N82" s="552" t="s">
        <v>1723</v>
      </c>
      <c r="Z82" s="1996"/>
      <c r="AA82" s="2051"/>
      <c r="AG82" s="1121"/>
      <c r="AK82" s="2051"/>
    </row>
    <row r="83" spans="1:37" ht="24">
      <c r="A83" s="2128" t="s">
        <v>2068</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59">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c r="A84" s="2128" t="s">
        <v>2051</v>
      </c>
      <c r="B84" s="2132" t="str">
        <f>估价对象房地状况!G16</f>
        <v>较好</v>
      </c>
      <c r="C84" s="2042"/>
      <c r="D84" s="1065">
        <f t="shared" si="25"/>
        <v>0</v>
      </c>
      <c r="E84" s="747"/>
      <c r="F84" s="1814"/>
      <c r="G84" s="1063" t="str">
        <f t="shared" si="26"/>
        <v>——</v>
      </c>
      <c r="H84" s="1066" t="str">
        <f t="shared" si="27"/>
        <v>——</v>
      </c>
      <c r="I84" s="3359">
        <v>0.3</v>
      </c>
      <c r="J84" s="1064" t="e">
        <f t="shared" si="28"/>
        <v>#VALUE!</v>
      </c>
      <c r="K84" s="1064" t="e">
        <f t="shared" si="29"/>
        <v>#VALUE!</v>
      </c>
      <c r="L84" s="1064">
        <v>0</v>
      </c>
      <c r="M84" s="1064" t="e">
        <f t="shared" si="30"/>
        <v>#VALUE!</v>
      </c>
      <c r="N84" s="1064" t="e">
        <f t="shared" si="30"/>
        <v>#VALUE!</v>
      </c>
      <c r="Z84" s="1996"/>
      <c r="AA84" s="2051"/>
      <c r="AG84" s="1121"/>
      <c r="AK84" s="2051"/>
    </row>
    <row r="85" spans="1:37" ht="36">
      <c r="A85" s="3361" t="s">
        <v>3262</v>
      </c>
      <c r="B85" s="2132" t="str">
        <f>估价对象房地状况!G17</f>
        <v>较好</v>
      </c>
      <c r="C85" s="2042"/>
      <c r="D85" s="1065">
        <f t="shared" si="25"/>
        <v>0</v>
      </c>
      <c r="E85" s="747"/>
      <c r="F85" s="1814"/>
      <c r="G85" s="1063" t="str">
        <f t="shared" si="26"/>
        <v>——</v>
      </c>
      <c r="H85" s="1066" t="str">
        <f t="shared" si="27"/>
        <v>——</v>
      </c>
      <c r="I85" s="3359">
        <v>0.1</v>
      </c>
      <c r="J85" s="1064" t="e">
        <f t="shared" si="28"/>
        <v>#VALUE!</v>
      </c>
      <c r="K85" s="1064" t="e">
        <f t="shared" si="29"/>
        <v>#VALUE!</v>
      </c>
      <c r="L85" s="1064">
        <v>0</v>
      </c>
      <c r="M85" s="1064" t="e">
        <f t="shared" si="30"/>
        <v>#VALUE!</v>
      </c>
      <c r="N85" s="1064" t="e">
        <f t="shared" si="30"/>
        <v>#VALUE!</v>
      </c>
      <c r="Z85" s="1996"/>
      <c r="AA85" s="2051"/>
      <c r="AG85" s="1121"/>
      <c r="AK85" s="2051"/>
    </row>
    <row r="86" spans="1:37" ht="14.25">
      <c r="A86" s="2128" t="s">
        <v>2065</v>
      </c>
      <c r="B86" s="2132">
        <f>估价对象房地状况!G22</f>
        <v>0</v>
      </c>
      <c r="C86" s="2042"/>
      <c r="D86" s="1065">
        <f t="shared" si="25"/>
        <v>0</v>
      </c>
      <c r="E86" s="747"/>
      <c r="F86" s="1814"/>
      <c r="G86" s="1063" t="str">
        <f t="shared" si="26"/>
        <v>——</v>
      </c>
      <c r="H86" s="1066" t="str">
        <f t="shared" si="27"/>
        <v>——</v>
      </c>
      <c r="I86" s="3359">
        <v>0.05</v>
      </c>
      <c r="J86" s="1064" t="e">
        <f t="shared" si="28"/>
        <v>#VALUE!</v>
      </c>
      <c r="K86" s="1064" t="e">
        <f t="shared" si="29"/>
        <v>#VALUE!</v>
      </c>
      <c r="L86" s="1064">
        <v>0</v>
      </c>
      <c r="M86" s="1064" t="e">
        <f t="shared" si="30"/>
        <v>#VALUE!</v>
      </c>
      <c r="N86" s="1064" t="e">
        <f t="shared" si="30"/>
        <v>#VALUE!</v>
      </c>
      <c r="Z86" s="1996"/>
      <c r="AA86" s="2051"/>
      <c r="AG86" s="1121"/>
      <c r="AK86" s="2051"/>
    </row>
    <row r="87" spans="1:37" ht="24">
      <c r="A87" s="2128" t="s">
        <v>2057</v>
      </c>
      <c r="B87" s="1326" t="str">
        <f>估价对象房地状况!G19</f>
        <v>较好</v>
      </c>
      <c r="C87" s="2042"/>
      <c r="D87" s="1065">
        <f t="shared" si="25"/>
        <v>0</v>
      </c>
      <c r="E87" s="747"/>
      <c r="F87" s="1814"/>
      <c r="G87" s="1063" t="str">
        <f t="shared" si="26"/>
        <v>——</v>
      </c>
      <c r="H87" s="1066" t="str">
        <f t="shared" si="27"/>
        <v>——</v>
      </c>
      <c r="I87" s="3359">
        <v>0.06</v>
      </c>
      <c r="J87" s="1064" t="e">
        <f t="shared" si="28"/>
        <v>#VALUE!</v>
      </c>
      <c r="K87" s="1064" t="e">
        <f t="shared" si="29"/>
        <v>#VALUE!</v>
      </c>
      <c r="L87" s="1064">
        <v>0</v>
      </c>
      <c r="M87" s="1064" t="e">
        <f t="shared" si="30"/>
        <v>#VALUE!</v>
      </c>
      <c r="N87" s="1064" t="e">
        <f t="shared" si="30"/>
        <v>#VALUE!</v>
      </c>
    </row>
    <row r="88" spans="1:37" ht="24">
      <c r="A88" s="2128" t="s">
        <v>2058</v>
      </c>
      <c r="B88" s="1326" t="str">
        <f>估价对象房地状况!G20</f>
        <v>七通</v>
      </c>
      <c r="C88" s="2042"/>
      <c r="D88" s="1065">
        <f t="shared" si="25"/>
        <v>0</v>
      </c>
      <c r="E88" s="747"/>
      <c r="F88" s="1814"/>
      <c r="G88" s="1063" t="str">
        <f t="shared" si="26"/>
        <v>——</v>
      </c>
      <c r="H88" s="1066" t="str">
        <f t="shared" si="27"/>
        <v>——</v>
      </c>
      <c r="I88" s="3359">
        <v>0.12</v>
      </c>
      <c r="J88" s="1064" t="e">
        <f t="shared" si="28"/>
        <v>#VALUE!</v>
      </c>
      <c r="K88" s="1064" t="e">
        <f t="shared" si="29"/>
        <v>#VALUE!</v>
      </c>
      <c r="L88" s="1064">
        <v>0</v>
      </c>
      <c r="M88" s="1064" t="e">
        <f t="shared" si="30"/>
        <v>#VALUE!</v>
      </c>
      <c r="N88" s="1064" t="e">
        <f t="shared" si="30"/>
        <v>#VALUE!</v>
      </c>
    </row>
    <row r="89" spans="1:37" ht="24">
      <c r="A89" s="2128" t="s">
        <v>2055</v>
      </c>
      <c r="B89" s="2134" t="s">
        <v>2069</v>
      </c>
      <c r="C89" s="2042"/>
      <c r="D89" s="1065">
        <f t="shared" si="25"/>
        <v>0</v>
      </c>
      <c r="E89" s="747"/>
      <c r="F89" s="1814"/>
      <c r="G89" s="1063" t="str">
        <f t="shared" si="26"/>
        <v>——</v>
      </c>
      <c r="H89" s="1066" t="str">
        <f t="shared" si="27"/>
        <v>——</v>
      </c>
      <c r="I89" s="3359">
        <v>0.06</v>
      </c>
      <c r="J89" s="1064" t="e">
        <f t="shared" si="28"/>
        <v>#VALUE!</v>
      </c>
      <c r="K89" s="1064" t="e">
        <f t="shared" si="29"/>
        <v>#VALUE!</v>
      </c>
      <c r="L89" s="1064">
        <v>0</v>
      </c>
      <c r="M89" s="1064" t="e">
        <f t="shared" si="30"/>
        <v>#VALUE!</v>
      </c>
      <c r="N89" s="1064" t="e">
        <f t="shared" si="30"/>
        <v>#VALUE!</v>
      </c>
    </row>
    <row r="90" spans="1:37" ht="15" thickBot="1">
      <c r="A90" s="2136" t="s">
        <v>2070</v>
      </c>
      <c r="B90" s="2141" t="str">
        <f>估价对象房地状况!G18</f>
        <v>较好</v>
      </c>
      <c r="C90" s="2042"/>
      <c r="D90" s="1065">
        <f t="shared" si="25"/>
        <v>0</v>
      </c>
      <c r="E90" s="748"/>
      <c r="F90" s="1814"/>
      <c r="G90" s="1063" t="str">
        <f t="shared" si="26"/>
        <v>——</v>
      </c>
      <c r="H90" s="1066" t="str">
        <f t="shared" si="27"/>
        <v>——</v>
      </c>
      <c r="I90" s="3360">
        <v>0.05</v>
      </c>
      <c r="J90" s="1064" t="e">
        <f t="shared" si="28"/>
        <v>#VALUE!</v>
      </c>
      <c r="K90" s="1064" t="e">
        <f t="shared" si="29"/>
        <v>#VALUE!</v>
      </c>
      <c r="L90" s="1064">
        <v>0</v>
      </c>
      <c r="M90" s="1064" t="e">
        <f t="shared" si="30"/>
        <v>#VALUE!</v>
      </c>
      <c r="N90" s="1064" t="e">
        <f t="shared" si="30"/>
        <v>#VALUE!</v>
      </c>
    </row>
    <row r="91" spans="1:37" ht="15">
      <c r="A91" s="3369" t="s">
        <v>2602</v>
      </c>
      <c r="B91" s="3370">
        <f>1+E93</f>
        <v>1</v>
      </c>
      <c r="C91" s="3363"/>
      <c r="D91" s="3364"/>
      <c r="E91" s="1814"/>
      <c r="F91" s="1814"/>
      <c r="G91" s="3365"/>
      <c r="H91" s="3366"/>
      <c r="I91" s="3367"/>
      <c r="J91" s="3368"/>
      <c r="K91" s="3368"/>
      <c r="L91" s="3368"/>
      <c r="M91" s="3368"/>
      <c r="N91" s="3368"/>
    </row>
    <row r="92" spans="1:37" ht="24.75">
      <c r="A92" s="3371" t="s">
        <v>3263</v>
      </c>
      <c r="B92" s="3358"/>
      <c r="C92" s="3358" t="s">
        <v>3272</v>
      </c>
      <c r="D92" s="3358" t="s">
        <v>3273</v>
      </c>
      <c r="E92" s="3340" t="s">
        <v>3274</v>
      </c>
      <c r="F92" s="3373" t="s">
        <v>3275</v>
      </c>
      <c r="G92" s="3358" t="s">
        <v>3276</v>
      </c>
      <c r="H92" s="3380" t="s">
        <v>3279</v>
      </c>
      <c r="I92" s="3358" t="s">
        <v>3280</v>
      </c>
      <c r="J92" s="3381" t="s">
        <v>3281</v>
      </c>
      <c r="K92" s="3381" t="s">
        <v>3282</v>
      </c>
      <c r="L92" s="3381" t="s">
        <v>3283</v>
      </c>
      <c r="M92" s="3381" t="s">
        <v>3284</v>
      </c>
      <c r="N92" s="3381" t="s">
        <v>3285</v>
      </c>
    </row>
    <row r="93" spans="1:37" ht="24">
      <c r="A93" s="3361" t="s">
        <v>3264</v>
      </c>
      <c r="B93" s="1306"/>
      <c r="C93" s="2042"/>
      <c r="D93" s="3358">
        <f>SUMIF($J$92:$N$92,C93,J93:N93)</f>
        <v>0</v>
      </c>
      <c r="E93" s="3374">
        <f>ROUND(SUM(D93:D101),4)</f>
        <v>0</v>
      </c>
      <c r="F93" s="1814" t="str">
        <f>IF(E2="公共服务",SUMIF(L1:L12,G2,N1:N12),"——")</f>
        <v>——</v>
      </c>
      <c r="G93" s="3365"/>
      <c r="H93" s="3413" t="str">
        <f>IFERROR(ROUNDDOWN($F$93*I93/2,4),"——")</f>
        <v>——</v>
      </c>
      <c r="I93" s="3359">
        <v>0.25</v>
      </c>
      <c r="J93" s="3337">
        <f t="shared" ref="J93:J101" si="31">K93+$G93</f>
        <v>0</v>
      </c>
      <c r="K93" s="3337">
        <f t="shared" ref="K93:K101" si="32">$L93+$G93</f>
        <v>0</v>
      </c>
      <c r="L93" s="3337">
        <v>0</v>
      </c>
      <c r="M93" s="3337">
        <f t="shared" ref="M93:N101" si="33">L93-$G93</f>
        <v>0</v>
      </c>
      <c r="N93" s="3337">
        <f t="shared" si="33"/>
        <v>0</v>
      </c>
    </row>
    <row r="94" spans="1:37" ht="14.25">
      <c r="A94" s="3371" t="s">
        <v>3265</v>
      </c>
      <c r="B94" s="3362" t="str">
        <f>估价对象房地状况!C18</f>
        <v>较好</v>
      </c>
      <c r="C94" s="2042"/>
      <c r="D94" s="3358">
        <f t="shared" ref="D94:D101" si="34">SUMIF($J$60:$N$60,C94,J94:N94)</f>
        <v>0</v>
      </c>
      <c r="E94" s="3375"/>
      <c r="F94" s="1814"/>
      <c r="G94" s="3365"/>
      <c r="H94" s="3413" t="str">
        <f>IFERROR(ROUNDDOWN($F$93*I94/2,4),"——")</f>
        <v>——</v>
      </c>
      <c r="I94" s="3359">
        <v>0.26</v>
      </c>
      <c r="J94" s="3337">
        <f t="shared" si="31"/>
        <v>0</v>
      </c>
      <c r="K94" s="3337">
        <f t="shared" si="32"/>
        <v>0</v>
      </c>
      <c r="L94" s="3337">
        <v>0</v>
      </c>
      <c r="M94" s="3337">
        <f t="shared" si="33"/>
        <v>0</v>
      </c>
      <c r="N94" s="3337">
        <f t="shared" si="33"/>
        <v>0</v>
      </c>
    </row>
    <row r="95" spans="1:37" ht="36">
      <c r="A95" s="3361" t="s">
        <v>3261</v>
      </c>
      <c r="B95" s="3362" t="str">
        <f>估价对象房地状况!C19</f>
        <v>较好</v>
      </c>
      <c r="C95" s="2042"/>
      <c r="D95" s="3358">
        <f t="shared" si="34"/>
        <v>0</v>
      </c>
      <c r="E95" s="3375"/>
      <c r="F95" s="1814"/>
      <c r="G95" s="3365"/>
      <c r="H95" s="3413" t="str">
        <f t="shared" ref="H95:H101" si="35">IFERROR(ROUNDDOWN($F$93*I95/2,4),"——")</f>
        <v>——</v>
      </c>
      <c r="I95" s="3359">
        <v>0.11</v>
      </c>
      <c r="J95" s="3337">
        <f t="shared" si="31"/>
        <v>0</v>
      </c>
      <c r="K95" s="3337">
        <f t="shared" si="32"/>
        <v>0</v>
      </c>
      <c r="L95" s="3337">
        <v>0</v>
      </c>
      <c r="M95" s="3337">
        <f t="shared" si="33"/>
        <v>0</v>
      </c>
      <c r="N95" s="3337">
        <f t="shared" si="33"/>
        <v>0</v>
      </c>
    </row>
    <row r="96" spans="1:37" ht="36.75">
      <c r="A96" s="3371" t="s">
        <v>3266</v>
      </c>
      <c r="B96" s="3377" t="s">
        <v>3277</v>
      </c>
      <c r="C96" s="2042"/>
      <c r="D96" s="3358">
        <f t="shared" si="34"/>
        <v>0</v>
      </c>
      <c r="E96" s="3375"/>
      <c r="F96" s="1814"/>
      <c r="G96" s="3365"/>
      <c r="H96" s="3413" t="str">
        <f t="shared" si="35"/>
        <v>——</v>
      </c>
      <c r="I96" s="3359">
        <v>0.05</v>
      </c>
      <c r="J96" s="3337">
        <f t="shared" si="31"/>
        <v>0</v>
      </c>
      <c r="K96" s="3337">
        <f t="shared" si="32"/>
        <v>0</v>
      </c>
      <c r="L96" s="3337">
        <v>0</v>
      </c>
      <c r="M96" s="3337">
        <f t="shared" si="33"/>
        <v>0</v>
      </c>
      <c r="N96" s="3337">
        <f t="shared" si="33"/>
        <v>0</v>
      </c>
    </row>
    <row r="97" spans="1:14" ht="24">
      <c r="A97" s="3371" t="s">
        <v>3267</v>
      </c>
      <c r="B97" s="3362">
        <f>估价对象房地状况!C24</f>
        <v>0</v>
      </c>
      <c r="C97" s="2042"/>
      <c r="D97" s="3358">
        <f t="shared" si="34"/>
        <v>0</v>
      </c>
      <c r="E97" s="3375"/>
      <c r="F97" s="1814"/>
      <c r="G97" s="3365"/>
      <c r="H97" s="3413" t="str">
        <f t="shared" si="35"/>
        <v>——</v>
      </c>
      <c r="I97" s="3359">
        <v>0.05</v>
      </c>
      <c r="J97" s="3337">
        <f t="shared" si="31"/>
        <v>0</v>
      </c>
      <c r="K97" s="3337">
        <f t="shared" si="32"/>
        <v>0</v>
      </c>
      <c r="L97" s="3337">
        <v>0</v>
      </c>
      <c r="M97" s="3337">
        <f t="shared" si="33"/>
        <v>0</v>
      </c>
      <c r="N97" s="3337">
        <f t="shared" si="33"/>
        <v>0</v>
      </c>
    </row>
    <row r="98" spans="1:14" ht="24">
      <c r="A98" s="3371" t="s">
        <v>3268</v>
      </c>
      <c r="B98" s="3378" t="s">
        <v>3278</v>
      </c>
      <c r="C98" s="2042"/>
      <c r="D98" s="3358">
        <f t="shared" si="34"/>
        <v>0</v>
      </c>
      <c r="E98" s="3375"/>
      <c r="F98" s="1814"/>
      <c r="G98" s="3365"/>
      <c r="H98" s="3413" t="str">
        <f t="shared" si="35"/>
        <v>——</v>
      </c>
      <c r="I98" s="3359">
        <v>0.06</v>
      </c>
      <c r="J98" s="3337">
        <f t="shared" si="31"/>
        <v>0</v>
      </c>
      <c r="K98" s="3337">
        <f t="shared" si="32"/>
        <v>0</v>
      </c>
      <c r="L98" s="3337">
        <v>0</v>
      </c>
      <c r="M98" s="3337">
        <f t="shared" si="33"/>
        <v>0</v>
      </c>
      <c r="N98" s="3337">
        <f t="shared" si="33"/>
        <v>0</v>
      </c>
    </row>
    <row r="99" spans="1:14" ht="24">
      <c r="A99" s="3371" t="s">
        <v>3269</v>
      </c>
      <c r="B99" s="3362" t="str">
        <f>估价对象房地状况!C21</f>
        <v>较好</v>
      </c>
      <c r="C99" s="2042"/>
      <c r="D99" s="3358">
        <f t="shared" si="34"/>
        <v>0</v>
      </c>
      <c r="E99" s="3375"/>
      <c r="F99" s="1814"/>
      <c r="G99" s="3365"/>
      <c r="H99" s="3413" t="str">
        <f t="shared" si="35"/>
        <v>——</v>
      </c>
      <c r="I99" s="3359">
        <v>0.06</v>
      </c>
      <c r="J99" s="3337">
        <f t="shared" si="31"/>
        <v>0</v>
      </c>
      <c r="K99" s="3337">
        <f t="shared" si="32"/>
        <v>0</v>
      </c>
      <c r="L99" s="3337">
        <v>0</v>
      </c>
      <c r="M99" s="3337">
        <f t="shared" si="33"/>
        <v>0</v>
      </c>
      <c r="N99" s="3337">
        <f t="shared" si="33"/>
        <v>0</v>
      </c>
    </row>
    <row r="100" spans="1:14" ht="24">
      <c r="A100" s="3371" t="s">
        <v>3270</v>
      </c>
      <c r="B100" s="3362" t="str">
        <f>估价对象房地状况!C22</f>
        <v>七通</v>
      </c>
      <c r="C100" s="2042"/>
      <c r="D100" s="3358">
        <f t="shared" si="34"/>
        <v>0</v>
      </c>
      <c r="E100" s="3375"/>
      <c r="F100" s="1814"/>
      <c r="G100" s="3365"/>
      <c r="H100" s="3413" t="str">
        <f t="shared" si="35"/>
        <v>——</v>
      </c>
      <c r="I100" s="3359">
        <v>0.09</v>
      </c>
      <c r="J100" s="3337">
        <f t="shared" si="31"/>
        <v>0</v>
      </c>
      <c r="K100" s="3337">
        <f t="shared" si="32"/>
        <v>0</v>
      </c>
      <c r="L100" s="3337">
        <v>0</v>
      </c>
      <c r="M100" s="3337">
        <f t="shared" si="33"/>
        <v>0</v>
      </c>
      <c r="N100" s="3337">
        <f t="shared" si="33"/>
        <v>0</v>
      </c>
    </row>
    <row r="101" spans="1:14" ht="24.75" thickBot="1">
      <c r="A101" s="3372" t="s">
        <v>3271</v>
      </c>
      <c r="B101" s="3379" t="str">
        <f>估价对象房地状况!C20</f>
        <v>较好</v>
      </c>
      <c r="C101" s="2042"/>
      <c r="D101" s="3358">
        <f t="shared" si="34"/>
        <v>0</v>
      </c>
      <c r="E101" s="3376"/>
      <c r="F101" s="1814"/>
      <c r="G101" s="3365"/>
      <c r="H101" s="3413" t="str">
        <f t="shared" si="35"/>
        <v>——</v>
      </c>
      <c r="I101" s="3360">
        <v>7.0000000000000007E-2</v>
      </c>
      <c r="J101" s="3337">
        <f t="shared" si="31"/>
        <v>0</v>
      </c>
      <c r="K101" s="3337">
        <f t="shared" si="32"/>
        <v>0</v>
      </c>
      <c r="L101" s="3337">
        <v>0</v>
      </c>
      <c r="M101" s="3337">
        <f t="shared" si="33"/>
        <v>0</v>
      </c>
      <c r="N101" s="3337">
        <f t="shared" si="33"/>
        <v>0</v>
      </c>
    </row>
    <row r="103" spans="1:14">
      <c r="A103" s="3744" t="s">
        <v>3286</v>
      </c>
      <c r="B103" s="3744"/>
      <c r="C103" s="3744"/>
      <c r="D103" s="3744"/>
      <c r="E103" s="3744"/>
      <c r="F103" s="3744"/>
      <c r="G103" s="3744"/>
      <c r="H103" s="3744"/>
      <c r="I103" s="3744"/>
      <c r="J103" s="3744"/>
      <c r="K103" s="3382"/>
      <c r="L103" s="3382"/>
      <c r="M103" s="3382"/>
      <c r="N103" s="3382"/>
    </row>
    <row r="104" spans="1:14">
      <c r="A104" s="3745" t="s">
        <v>3287</v>
      </c>
      <c r="B104" s="3745" t="s">
        <v>3288</v>
      </c>
      <c r="C104" s="3383" t="s">
        <v>3289</v>
      </c>
      <c r="D104" s="3384"/>
      <c r="E104" s="3384"/>
      <c r="F104" s="3384"/>
      <c r="G104" s="3384"/>
      <c r="H104" s="3384"/>
      <c r="I104" s="3384"/>
      <c r="J104" s="3385"/>
      <c r="K104" s="3386"/>
      <c r="L104" s="3386"/>
      <c r="M104" s="3386"/>
      <c r="N104" s="3386"/>
    </row>
    <row r="105" spans="1:14">
      <c r="A105" s="3745"/>
      <c r="B105" s="3745"/>
      <c r="C105" s="3387" t="s">
        <v>3290</v>
      </c>
      <c r="D105" s="3387" t="s">
        <v>3291</v>
      </c>
      <c r="E105" s="3387" t="s">
        <v>3292</v>
      </c>
      <c r="F105" s="3387" t="s">
        <v>3293</v>
      </c>
      <c r="G105" s="3387" t="s">
        <v>3294</v>
      </c>
      <c r="H105" s="3387" t="s">
        <v>3295</v>
      </c>
      <c r="I105" s="3387" t="s">
        <v>3296</v>
      </c>
      <c r="J105" s="3387" t="s">
        <v>3297</v>
      </c>
      <c r="K105" s="3387" t="s">
        <v>3298</v>
      </c>
      <c r="L105" s="3387" t="s">
        <v>3299</v>
      </c>
      <c r="M105" s="3387" t="s">
        <v>3300</v>
      </c>
      <c r="N105" s="3387" t="s">
        <v>3301</v>
      </c>
    </row>
    <row r="106" spans="1:14">
      <c r="A106" s="3731" t="s">
        <v>3302</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32"/>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32"/>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32"/>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32"/>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32"/>
      <c r="B111" s="3387" t="s">
        <v>3260</v>
      </c>
      <c r="C111" s="3388">
        <f>$I$3</f>
        <v>1</v>
      </c>
      <c r="D111" s="3388">
        <f t="shared" ref="D111:M111" si="36">$I$3</f>
        <v>1</v>
      </c>
      <c r="E111" s="3388">
        <f t="shared" si="36"/>
        <v>1</v>
      </c>
      <c r="F111" s="3388">
        <f t="shared" si="36"/>
        <v>1</v>
      </c>
      <c r="G111" s="3388">
        <f t="shared" si="36"/>
        <v>1</v>
      </c>
      <c r="H111" s="3388">
        <f t="shared" si="36"/>
        <v>1</v>
      </c>
      <c r="I111" s="3388">
        <f t="shared" si="36"/>
        <v>1</v>
      </c>
      <c r="J111" s="3388">
        <f t="shared" si="36"/>
        <v>1</v>
      </c>
      <c r="K111" s="3388">
        <f t="shared" si="36"/>
        <v>1</v>
      </c>
      <c r="L111" s="3388">
        <f t="shared" si="36"/>
        <v>1</v>
      </c>
      <c r="M111" s="3388">
        <f t="shared" si="36"/>
        <v>1</v>
      </c>
      <c r="N111" s="3388">
        <f>$I$3</f>
        <v>1</v>
      </c>
    </row>
    <row r="112" spans="1:14">
      <c r="A112" s="3733"/>
      <c r="B112" s="3387">
        <v>6</v>
      </c>
      <c r="C112" s="3380">
        <f>(-0.5556*(C111^2)-0.2719*C111+8944)*(10^(-4))</f>
        <v>0.89431725000000006</v>
      </c>
      <c r="D112" s="3380">
        <f>(-0.5556*(D111^2)-0.2719*D111+8944)*(10^(-4))</f>
        <v>0.89431725000000006</v>
      </c>
      <c r="E112" s="3380">
        <f>(-0.7912*(E111^2)-11.3794*E111+8482)*(10^(-4))</f>
        <v>0.84698294000000007</v>
      </c>
      <c r="F112" s="3380">
        <f t="shared" ref="F112:I112" si="37">(-0.7912*(F111^2)-11.3794*F111+8482)*(10^(-4))</f>
        <v>0.84698294000000007</v>
      </c>
      <c r="G112" s="3380">
        <f t="shared" si="37"/>
        <v>0.84698294000000007</v>
      </c>
      <c r="H112" s="3380">
        <f t="shared" si="37"/>
        <v>0.84698294000000007</v>
      </c>
      <c r="I112" s="3380">
        <f t="shared" si="37"/>
        <v>0.84698294000000007</v>
      </c>
      <c r="J112" s="3380">
        <f>(-0.989*(J111^2)-63.78*J111+7771)*(10^(-4))</f>
        <v>0.77062310000000001</v>
      </c>
      <c r="K112" s="3380">
        <f t="shared" ref="K112:N112" si="38">(-0.989*(K111^2)-63.78*K111+7771)*(10^(-4))</f>
        <v>0.77062310000000001</v>
      </c>
      <c r="L112" s="3380">
        <f t="shared" si="38"/>
        <v>0.77062310000000001</v>
      </c>
      <c r="M112" s="3380">
        <f t="shared" si="38"/>
        <v>0.77062310000000001</v>
      </c>
      <c r="N112" s="3380">
        <f t="shared" si="38"/>
        <v>0.77062310000000001</v>
      </c>
    </row>
    <row r="113" spans="1:14">
      <c r="A113" s="3734" t="s">
        <v>3303</v>
      </c>
      <c r="B113" s="3734"/>
      <c r="C113" s="3734"/>
      <c r="D113" s="3734"/>
      <c r="E113" s="3734"/>
      <c r="F113" s="3734"/>
      <c r="G113" s="3734"/>
      <c r="H113" s="3734"/>
      <c r="I113" s="3734"/>
      <c r="J113" s="3734"/>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3304</v>
      </c>
      <c r="B116" s="3408" t="e">
        <f>G3</f>
        <v>#DIV/0!</v>
      </c>
      <c r="C116" s="3392" t="s">
        <v>3305</v>
      </c>
      <c r="D116" s="3393" t="e">
        <f>SUMPRODUCT((A118:A122=F116)*(B117:M117=H116)*B118:M122)</f>
        <v>#DIV/0!</v>
      </c>
      <c r="E116" s="1998" t="s">
        <v>3306</v>
      </c>
      <c r="F116" s="3394" t="str">
        <f>E2</f>
        <v>商业</v>
      </c>
      <c r="G116" s="1998" t="s">
        <v>3307</v>
      </c>
      <c r="H116" s="3394" t="str">
        <f>G2</f>
        <v>三级</v>
      </c>
      <c r="I116" s="1998"/>
      <c r="J116" s="3395"/>
      <c r="K116" s="3395"/>
      <c r="L116" s="3395"/>
      <c r="M116" s="3395"/>
      <c r="N116" s="3390"/>
    </row>
    <row r="117" spans="1:14">
      <c r="A117" s="3396"/>
      <c r="B117" s="3397" t="s">
        <v>3308</v>
      </c>
      <c r="C117" s="3397" t="s">
        <v>3309</v>
      </c>
      <c r="D117" s="3397" t="s">
        <v>3310</v>
      </c>
      <c r="E117" s="3398" t="s">
        <v>3311</v>
      </c>
      <c r="F117" s="3398" t="s">
        <v>3312</v>
      </c>
      <c r="G117" s="3398" t="s">
        <v>3313</v>
      </c>
      <c r="H117" s="3399" t="s">
        <v>3314</v>
      </c>
      <c r="I117" s="3399" t="s">
        <v>3315</v>
      </c>
      <c r="J117" s="3400" t="s">
        <v>3316</v>
      </c>
      <c r="K117" s="3400" t="s">
        <v>3317</v>
      </c>
      <c r="L117" s="3400" t="s">
        <v>3318</v>
      </c>
      <c r="M117" s="3401" t="s">
        <v>3319</v>
      </c>
      <c r="N117" s="3390"/>
    </row>
    <row r="118" spans="1:14">
      <c r="A118" s="3402" t="s">
        <v>3320</v>
      </c>
      <c r="B118" s="3380" t="e">
        <f>ROUND(0.9968-0.011*B116,4)</f>
        <v>#DIV/0!</v>
      </c>
      <c r="C118" s="3380" t="e">
        <f>B118</f>
        <v>#DIV/0!</v>
      </c>
      <c r="D118" s="3380" t="e">
        <f>ROUND(0.949-0.014*B116,4)</f>
        <v>#DIV/0!</v>
      </c>
      <c r="E118" s="3380" t="e">
        <f>D118</f>
        <v>#DIV/0!</v>
      </c>
      <c r="F118" s="3380" t="e">
        <f>E118</f>
        <v>#DIV/0!</v>
      </c>
      <c r="G118" s="3380" t="e">
        <f>F118</f>
        <v>#DIV/0!</v>
      </c>
      <c r="H118" s="3380" t="e">
        <f>G118</f>
        <v>#DIV/0!</v>
      </c>
      <c r="I118" s="3380" t="e">
        <f>ROUND(0.8486-0.018*B116,4)</f>
        <v>#DIV/0!</v>
      </c>
      <c r="J118" s="3380" t="e">
        <f t="shared" ref="J118:M122" si="39">I118</f>
        <v>#DIV/0!</v>
      </c>
      <c r="K118" s="3380" t="e">
        <f t="shared" si="39"/>
        <v>#DIV/0!</v>
      </c>
      <c r="L118" s="3380" t="e">
        <f t="shared" si="39"/>
        <v>#DIV/0!</v>
      </c>
      <c r="M118" s="3403" t="e">
        <f t="shared" si="39"/>
        <v>#DIV/0!</v>
      </c>
      <c r="N118" s="3390"/>
    </row>
    <row r="119" spans="1:14">
      <c r="A119" s="3402" t="s">
        <v>3321</v>
      </c>
      <c r="B119" s="3380" t="e">
        <f>ROUND(0.993-0.0112*B116,4)</f>
        <v>#DIV/0!</v>
      </c>
      <c r="C119" s="3380" t="e">
        <f>B119</f>
        <v>#DIV/0!</v>
      </c>
      <c r="D119" s="3380" t="e">
        <f>ROUND(0.9415-0.0142*B116,4)</f>
        <v>#DIV/0!</v>
      </c>
      <c r="E119" s="3380" t="e">
        <f t="shared" ref="E119:H120" si="40">D119</f>
        <v>#DIV/0!</v>
      </c>
      <c r="F119" s="3380" t="e">
        <f t="shared" si="40"/>
        <v>#DIV/0!</v>
      </c>
      <c r="G119" s="3380" t="e">
        <f t="shared" si="40"/>
        <v>#DIV/0!</v>
      </c>
      <c r="H119" s="3380" t="e">
        <f t="shared" si="40"/>
        <v>#DIV/0!</v>
      </c>
      <c r="I119" s="3380" t="e">
        <f>ROUND(0.838-0.0182*B116,4)</f>
        <v>#DIV/0!</v>
      </c>
      <c r="J119" s="3380" t="e">
        <f t="shared" si="39"/>
        <v>#DIV/0!</v>
      </c>
      <c r="K119" s="3380" t="e">
        <f t="shared" si="39"/>
        <v>#DIV/0!</v>
      </c>
      <c r="L119" s="3380" t="e">
        <f t="shared" si="39"/>
        <v>#DIV/0!</v>
      </c>
      <c r="M119" s="3403" t="e">
        <f t="shared" si="39"/>
        <v>#DIV/0!</v>
      </c>
      <c r="N119" s="3390"/>
    </row>
    <row r="120" spans="1:14">
      <c r="A120" s="3402" t="s">
        <v>3322</v>
      </c>
      <c r="B120" s="3380" t="e">
        <f>ROUND(0.9448-0.0115*B116,4)</f>
        <v>#DIV/0!</v>
      </c>
      <c r="C120" s="3380" t="e">
        <f>B120</f>
        <v>#DIV/0!</v>
      </c>
      <c r="D120" s="3380" t="e">
        <f>ROUND(0.937-0.0145*B116,4)</f>
        <v>#DIV/0!</v>
      </c>
      <c r="E120" s="3380" t="e">
        <f t="shared" si="40"/>
        <v>#DIV/0!</v>
      </c>
      <c r="F120" s="3380" t="e">
        <f t="shared" si="40"/>
        <v>#DIV/0!</v>
      </c>
      <c r="G120" s="3380" t="e">
        <f t="shared" si="40"/>
        <v>#DIV/0!</v>
      </c>
      <c r="H120" s="3380" t="e">
        <f t="shared" si="40"/>
        <v>#DIV/0!</v>
      </c>
      <c r="I120" s="3380" t="e">
        <f>ROUND(0.7965-0.0185*B116,4)</f>
        <v>#DIV/0!</v>
      </c>
      <c r="J120" s="3380" t="e">
        <f t="shared" si="39"/>
        <v>#DIV/0!</v>
      </c>
      <c r="K120" s="3380" t="e">
        <f t="shared" si="39"/>
        <v>#DIV/0!</v>
      </c>
      <c r="L120" s="3380" t="e">
        <f t="shared" si="39"/>
        <v>#DIV/0!</v>
      </c>
      <c r="M120" s="3403" t="e">
        <f t="shared" si="39"/>
        <v>#DIV/0!</v>
      </c>
      <c r="N120" s="3390"/>
    </row>
    <row r="121" spans="1:14" ht="13.5" thickBot="1">
      <c r="A121" s="3404" t="s">
        <v>3323</v>
      </c>
      <c r="B121" s="3405" t="e">
        <f>ROUND(0.7836-0.012*B116,4)</f>
        <v>#DIV/0!</v>
      </c>
      <c r="C121" s="3405" t="e">
        <f>B121</f>
        <v>#DIV/0!</v>
      </c>
      <c r="D121" s="3405" t="e">
        <f>ROUND(0.753-0.015*B116,4)</f>
        <v>#DIV/0!</v>
      </c>
      <c r="E121" s="3405" t="e">
        <f>D121</f>
        <v>#DIV/0!</v>
      </c>
      <c r="F121" s="3405" t="e">
        <f>E121</f>
        <v>#DIV/0!</v>
      </c>
      <c r="G121" s="3405" t="e">
        <f>ROUND(0.6612-0.018*B116,4)</f>
        <v>#DIV/0!</v>
      </c>
      <c r="H121" s="3405" t="e">
        <f>G121</f>
        <v>#DIV/0!</v>
      </c>
      <c r="I121" s="3405" t="e">
        <f>ROUND(0.5905-0.019*B116,4)</f>
        <v>#DIV/0!</v>
      </c>
      <c r="J121" s="3405" t="e">
        <f t="shared" si="39"/>
        <v>#DIV/0!</v>
      </c>
      <c r="K121" s="3405" t="e">
        <f t="shared" si="39"/>
        <v>#DIV/0!</v>
      </c>
      <c r="L121" s="3405" t="e">
        <f t="shared" si="39"/>
        <v>#DIV/0!</v>
      </c>
      <c r="M121" s="3406" t="e">
        <f t="shared" si="39"/>
        <v>#DIV/0!</v>
      </c>
      <c r="N121" s="3390"/>
    </row>
    <row r="122" spans="1:14">
      <c r="A122" s="3407" t="s">
        <v>2602</v>
      </c>
      <c r="B122" s="3380" t="e">
        <f>ROUND(0.9404-0.0106*B116,4)</f>
        <v>#DIV/0!</v>
      </c>
      <c r="C122" s="3380" t="e">
        <f>B122</f>
        <v>#DIV/0!</v>
      </c>
      <c r="D122" s="3380" t="e">
        <f>ROUND(0.8955-0.0135*B116,4)</f>
        <v>#DIV/0!</v>
      </c>
      <c r="E122" s="3380" t="e">
        <f t="shared" ref="E122:H122" si="41">D122</f>
        <v>#DIV/0!</v>
      </c>
      <c r="F122" s="3380" t="e">
        <f t="shared" si="41"/>
        <v>#DIV/0!</v>
      </c>
      <c r="G122" s="3380" t="e">
        <f t="shared" si="41"/>
        <v>#DIV/0!</v>
      </c>
      <c r="H122" s="3380" t="e">
        <f t="shared" si="41"/>
        <v>#DIV/0!</v>
      </c>
      <c r="I122" s="3380" t="e">
        <f>ROUND(0.7632-0.0166*B116,4)</f>
        <v>#DIV/0!</v>
      </c>
      <c r="J122" s="3380" t="e">
        <f t="shared" si="39"/>
        <v>#DIV/0!</v>
      </c>
      <c r="K122" s="3380" t="e">
        <f t="shared" si="39"/>
        <v>#DIV/0!</v>
      </c>
      <c r="L122" s="3380" t="e">
        <f t="shared" si="39"/>
        <v>#DIV/0!</v>
      </c>
      <c r="M122" s="3403" t="e">
        <f t="shared" si="39"/>
        <v>#DIV/0!</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B2" sqref="B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f>F65</f>
        <v>137466</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f>ROUND(IF(D3="",B2*10000/'数据-汇总表'!E3,B2*10000/D3),0)</f>
        <v>13232</v>
      </c>
      <c r="C3" s="203" t="s">
        <v>1867</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1767</v>
      </c>
      <c r="B4" s="356"/>
      <c r="C4" s="3768" t="s">
        <v>1768</v>
      </c>
      <c r="D4" s="3769"/>
      <c r="E4" s="3770" t="s">
        <v>1769</v>
      </c>
      <c r="F4" s="3771"/>
      <c r="G4" s="3768" t="s">
        <v>1770</v>
      </c>
      <c r="H4" s="3769"/>
      <c r="I4" s="3768" t="s">
        <v>1771</v>
      </c>
      <c r="J4" s="3769"/>
      <c r="K4" s="559" t="s">
        <v>1772</v>
      </c>
      <c r="L4" s="2708"/>
      <c r="M4" s="2709"/>
      <c r="N4" s="2709"/>
      <c r="O4" s="2709"/>
      <c r="P4" s="3772" t="s">
        <v>1773</v>
      </c>
      <c r="Q4" s="3773"/>
      <c r="R4" s="3755" t="s">
        <v>1769</v>
      </c>
      <c r="S4" s="3756"/>
      <c r="T4" s="3755" t="s">
        <v>1770</v>
      </c>
      <c r="U4" s="3756"/>
      <c r="V4" s="3780" t="s">
        <v>1771</v>
      </c>
      <c r="W4" s="3780"/>
      <c r="X4" s="1355"/>
      <c r="Y4" s="3755" t="s">
        <v>1773</v>
      </c>
      <c r="Z4" s="3756"/>
      <c r="AA4" s="3750" t="s">
        <v>1769</v>
      </c>
      <c r="AB4" s="3751" t="s">
        <v>1770</v>
      </c>
      <c r="AC4" s="3750" t="s">
        <v>1771</v>
      </c>
    </row>
    <row r="5" spans="1:30" ht="52.5" customHeight="1">
      <c r="A5" s="358"/>
      <c r="B5" s="359"/>
      <c r="C5" s="3761" t="s">
        <v>1671</v>
      </c>
      <c r="D5" s="3762"/>
      <c r="E5" s="3759" t="str">
        <f>土地案例!A2</f>
        <v>北京市丰台区丽泽金融商务区FT00-0612-0016等地块F3其他类多功能用地、S32公交场站设施用地</v>
      </c>
      <c r="F5" s="3760"/>
      <c r="G5" s="3761" t="str">
        <f>土地案例!A3</f>
        <v>北京市丰台区丽泽金融商务区D-01地块B4综合性商业金融服务业用地</v>
      </c>
      <c r="H5" s="3762"/>
      <c r="I5" s="3761" t="str">
        <f>土地案例!A4</f>
        <v>北京市海淀区西北旺镇永丰产业基地(新)HD00-0403-004地块F3其他类多功能用地</v>
      </c>
      <c r="J5" s="3762"/>
      <c r="K5" s="559"/>
      <c r="L5" s="2708"/>
      <c r="M5" s="2709"/>
      <c r="N5" s="2709"/>
      <c r="O5" s="2709"/>
      <c r="P5" s="3774"/>
      <c r="Q5" s="3775"/>
      <c r="R5" s="3757"/>
      <c r="S5" s="3758"/>
      <c r="T5" s="3757"/>
      <c r="U5" s="3758"/>
      <c r="V5" s="3780"/>
      <c r="W5" s="3780"/>
      <c r="X5" s="1355"/>
      <c r="Y5" s="3757"/>
      <c r="Z5" s="3758"/>
      <c r="AA5" s="3751"/>
      <c r="AB5" s="3751"/>
      <c r="AC5" s="3751"/>
    </row>
    <row r="6" spans="1:30" ht="15.75" thickBot="1">
      <c r="A6" s="360"/>
      <c r="B6" s="361"/>
      <c r="C6" s="3763" t="s">
        <v>1675</v>
      </c>
      <c r="D6" s="3764"/>
      <c r="E6" s="3765" t="s">
        <v>1675</v>
      </c>
      <c r="F6" s="3766"/>
      <c r="G6" s="3763" t="s">
        <v>1675</v>
      </c>
      <c r="H6" s="3764"/>
      <c r="I6" s="3763" t="s">
        <v>1675</v>
      </c>
      <c r="J6" s="3764"/>
      <c r="K6" s="559" t="s">
        <v>1676</v>
      </c>
      <c r="L6" s="2708"/>
      <c r="M6" s="2709"/>
      <c r="N6" s="2709"/>
      <c r="O6" s="2709"/>
      <c r="P6" s="3776"/>
      <c r="Q6" s="3777"/>
      <c r="R6" s="3757"/>
      <c r="S6" s="3758"/>
      <c r="T6" s="3778"/>
      <c r="U6" s="3779"/>
      <c r="V6" s="3780"/>
      <c r="W6" s="3780"/>
      <c r="X6" s="1355"/>
      <c r="Y6" s="3778"/>
      <c r="Z6" s="3779"/>
      <c r="AA6" s="3752"/>
      <c r="AB6" s="3752"/>
      <c r="AC6" s="3752"/>
    </row>
    <row r="7" spans="1:30" s="108" customFormat="1" ht="15.75" thickBot="1">
      <c r="A7" s="362" t="s">
        <v>1677</v>
      </c>
      <c r="B7" s="363"/>
      <c r="C7" s="364">
        <f>'数据-取费表'!B2</f>
        <v>45210</v>
      </c>
      <c r="D7" s="365">
        <v>100</v>
      </c>
      <c r="E7" s="366">
        <f>土地案例!I2</f>
        <v>45090.000497685185</v>
      </c>
      <c r="F7" s="367">
        <f>SUMIF(69:69,YEAR(E7)&amp;"-"&amp;INT((MONTH(E7)+2)/3),70:70)</f>
        <v>100</v>
      </c>
      <c r="G7" s="1972">
        <f>土地案例!I3</f>
        <v>44798.000497685185</v>
      </c>
      <c r="H7" s="365">
        <f>SUMIF(69:69,YEAR(G7)&amp;"-"&amp;INT((MONTH(G7)+2)/3),70:70)</f>
        <v>100</v>
      </c>
      <c r="I7" s="1972">
        <f>土地案例!I4</f>
        <v>45141</v>
      </c>
      <c r="J7" s="365">
        <f>SUMIF(69:69,YEAR(I7)&amp;"-"&amp;INT((MONTH(I7)+2)/3),70:70)</f>
        <v>100</v>
      </c>
      <c r="K7" s="560"/>
      <c r="L7" s="2710"/>
      <c r="M7" s="2711"/>
      <c r="N7" s="2711"/>
      <c r="O7" s="2711"/>
      <c r="P7" s="3753" t="s">
        <v>1678</v>
      </c>
      <c r="Q7" s="3781"/>
      <c r="R7" s="701" t="s">
        <v>14</v>
      </c>
      <c r="S7" s="702">
        <f t="shared" ref="S7:S15" si="0">F7</f>
        <v>100</v>
      </c>
      <c r="T7" s="701" t="s">
        <v>14</v>
      </c>
      <c r="U7" s="702">
        <f t="shared" ref="U7:U15" si="1">H7</f>
        <v>100</v>
      </c>
      <c r="V7" s="701" t="s">
        <v>14</v>
      </c>
      <c r="W7" s="702">
        <f t="shared" ref="W7:W15" si="2">J7</f>
        <v>100</v>
      </c>
      <c r="X7" s="703"/>
      <c r="Y7" s="3753" t="s">
        <v>1678</v>
      </c>
      <c r="Z7" s="3754"/>
      <c r="AA7" s="704">
        <f>D7/F7</f>
        <v>1</v>
      </c>
      <c r="AB7" s="704">
        <f>D7/H7</f>
        <v>1</v>
      </c>
      <c r="AC7" s="704">
        <f>D7/J7</f>
        <v>1</v>
      </c>
    </row>
    <row r="8" spans="1:30" s="108" customFormat="1" ht="15.75" thickBot="1">
      <c r="A8" s="362" t="s">
        <v>1679</v>
      </c>
      <c r="B8" s="363"/>
      <c r="C8" s="368" t="s">
        <v>1680</v>
      </c>
      <c r="D8" s="365">
        <v>100</v>
      </c>
      <c r="E8" s="368" t="s">
        <v>1680</v>
      </c>
      <c r="F8" s="367">
        <f>SUMIF(72:72,E8,73:73)-SUMIF(72:72,C8,73:73)+100</f>
        <v>100</v>
      </c>
      <c r="G8" s="368" t="s">
        <v>1680</v>
      </c>
      <c r="H8" s="365">
        <f>SUMIF(72:72,G8,73:73)-SUMIF(72:72,C8,73:73)+100</f>
        <v>100</v>
      </c>
      <c r="I8" s="368" t="s">
        <v>1680</v>
      </c>
      <c r="J8" s="365">
        <f>SUMIF(72:72,I8,73:73)-SUMIF(72:72,C8,73:73)+100</f>
        <v>100</v>
      </c>
      <c r="K8" s="560"/>
      <c r="L8" s="2710"/>
      <c r="M8" s="2711"/>
      <c r="N8" s="2711"/>
      <c r="O8" s="2711"/>
      <c r="P8" s="3753" t="s">
        <v>1681</v>
      </c>
      <c r="Q8" s="3754"/>
      <c r="R8" s="701" t="s">
        <v>14</v>
      </c>
      <c r="S8" s="702">
        <f t="shared" si="0"/>
        <v>100</v>
      </c>
      <c r="T8" s="701" t="s">
        <v>14</v>
      </c>
      <c r="U8" s="702">
        <f t="shared" si="1"/>
        <v>100</v>
      </c>
      <c r="V8" s="701" t="s">
        <v>14</v>
      </c>
      <c r="W8" s="702">
        <f t="shared" si="2"/>
        <v>100</v>
      </c>
      <c r="X8" s="703"/>
      <c r="Y8" s="3753" t="s">
        <v>1681</v>
      </c>
      <c r="Z8" s="3754"/>
      <c r="AA8" s="704">
        <f t="shared" ref="AA8:AA45" si="3">D8/F8</f>
        <v>1</v>
      </c>
      <c r="AB8" s="704">
        <f t="shared" ref="AB8:AB45" si="4">D8/H8</f>
        <v>1</v>
      </c>
      <c r="AC8" s="704">
        <f t="shared" ref="AC8:AC45" si="5">D8/J8</f>
        <v>1</v>
      </c>
    </row>
    <row r="9" spans="1:30" s="108" customFormat="1" ht="42.75">
      <c r="A9" s="369" t="s">
        <v>1682</v>
      </c>
      <c r="B9" s="63" t="s">
        <v>1683</v>
      </c>
      <c r="C9" s="1975" t="s">
        <v>3820</v>
      </c>
      <c r="D9" s="126">
        <v>100</v>
      </c>
      <c r="E9" s="1975" t="s">
        <v>3816</v>
      </c>
      <c r="F9" s="126">
        <f>SUMIF(74:74,E9,75:75)-SUMIF(74:74,C9,75:75)+100</f>
        <v>95</v>
      </c>
      <c r="G9" s="1975" t="s">
        <v>3820</v>
      </c>
      <c r="H9" s="126">
        <f>SUMIF(74:74,G9,75:75)-SUMIF(74:74,C9,75:75)+100</f>
        <v>100</v>
      </c>
      <c r="I9" s="1975" t="s">
        <v>3816</v>
      </c>
      <c r="J9" s="126">
        <f>SUMIF(74:74,I9,75:75)-SUMIF(74:74,C9,75:75)+100</f>
        <v>95</v>
      </c>
      <c r="K9" s="560"/>
      <c r="L9" s="2710"/>
      <c r="M9" s="2711"/>
      <c r="N9" s="2711"/>
      <c r="O9" s="2765"/>
      <c r="P9" s="3767" t="s">
        <v>1684</v>
      </c>
      <c r="Q9" s="1343" t="str">
        <f t="shared" ref="Q9:Q15" si="6">B9</f>
        <v>用途</v>
      </c>
      <c r="R9" s="701" t="s">
        <v>14</v>
      </c>
      <c r="S9" s="702">
        <f t="shared" si="0"/>
        <v>95</v>
      </c>
      <c r="T9" s="701" t="s">
        <v>14</v>
      </c>
      <c r="U9" s="702">
        <f t="shared" si="1"/>
        <v>100</v>
      </c>
      <c r="V9" s="701" t="s">
        <v>14</v>
      </c>
      <c r="W9" s="702">
        <f t="shared" si="2"/>
        <v>95</v>
      </c>
      <c r="X9" s="703"/>
      <c r="Y9" s="3699" t="s">
        <v>1685</v>
      </c>
      <c r="Z9" s="52" t="str">
        <f t="shared" ref="Z9:Z15" si="7">Q9</f>
        <v>用途</v>
      </c>
      <c r="AA9" s="704">
        <f t="shared" si="3"/>
        <v>1.0526315789473684</v>
      </c>
      <c r="AB9" s="704">
        <f t="shared" si="4"/>
        <v>1</v>
      </c>
      <c r="AC9" s="704">
        <f t="shared" si="5"/>
        <v>1.0526315789473684</v>
      </c>
    </row>
    <row r="10" spans="1:30" s="378" customFormat="1" ht="27">
      <c r="A10" s="374"/>
      <c r="B10" s="375" t="s">
        <v>1686</v>
      </c>
      <c r="C10" s="383"/>
      <c r="D10" s="127">
        <v>100</v>
      </c>
      <c r="E10" s="416"/>
      <c r="F10" s="127">
        <f>ROUND(100/'数据-取费表'!G16,0)</f>
        <v>111</v>
      </c>
      <c r="G10" s="414"/>
      <c r="H10" s="127">
        <f>ROUND(100/'数据-取费表'!G16,0)</f>
        <v>111</v>
      </c>
      <c r="I10" s="414"/>
      <c r="J10" s="127">
        <f>ROUND(100/'数据-取费表'!G16,0)</f>
        <v>111</v>
      </c>
      <c r="K10" s="620"/>
      <c r="L10" s="2712"/>
      <c r="M10" s="2713"/>
      <c r="N10" s="2713"/>
      <c r="O10" s="2766"/>
      <c r="P10" s="3767"/>
      <c r="Q10" s="1343" t="str">
        <f t="shared" si="6"/>
        <v>土地使用年限（年）</v>
      </c>
      <c r="R10" s="701" t="s">
        <v>14</v>
      </c>
      <c r="S10" s="702">
        <f t="shared" si="0"/>
        <v>111</v>
      </c>
      <c r="T10" s="701" t="s">
        <v>14</v>
      </c>
      <c r="U10" s="702">
        <f t="shared" si="1"/>
        <v>111</v>
      </c>
      <c r="V10" s="701" t="s">
        <v>14</v>
      </c>
      <c r="W10" s="702">
        <f t="shared" si="2"/>
        <v>111</v>
      </c>
      <c r="X10" s="703"/>
      <c r="Y10" s="3699"/>
      <c r="Z10" s="52" t="str">
        <f t="shared" si="7"/>
        <v>土地使用年限（年）</v>
      </c>
      <c r="AA10" s="704">
        <f t="shared" si="3"/>
        <v>0.90090090090090091</v>
      </c>
      <c r="AB10" s="704">
        <f t="shared" si="4"/>
        <v>0.90090090090090091</v>
      </c>
      <c r="AC10" s="704">
        <f t="shared" si="5"/>
        <v>0.90090090090090091</v>
      </c>
    </row>
    <row r="11" spans="1:30" ht="15">
      <c r="A11" s="379"/>
      <c r="B11" s="375" t="s">
        <v>1687</v>
      </c>
      <c r="C11" s="380">
        <v>5</v>
      </c>
      <c r="D11" s="127">
        <v>100</v>
      </c>
      <c r="E11" s="380">
        <f>土地案例!E2</f>
        <v>4.4000000000000004</v>
      </c>
      <c r="F11" s="127">
        <f>LOOKUP(E11,79:79,80:80)-LOOKUP(C11,79:79,80:80)+100</f>
        <v>102</v>
      </c>
      <c r="G11" s="381">
        <f>土地案例!E3</f>
        <v>6.33</v>
      </c>
      <c r="H11" s="127">
        <f>LOOKUP(G11,79:79,80:80)-LOOKUP(C11,79:79,80:80)+100</f>
        <v>98</v>
      </c>
      <c r="I11" s="380">
        <f>土地案例!E4</f>
        <v>2.2000000000000002</v>
      </c>
      <c r="J11" s="127">
        <f>LOOKUP(I11,79:79,80:80)-LOOKUP(C11,79:79,80:80)+100</f>
        <v>106</v>
      </c>
      <c r="K11" s="621">
        <v>2</v>
      </c>
      <c r="L11" s="2714"/>
      <c r="M11" s="2709"/>
      <c r="N11" s="2709"/>
      <c r="O11" s="2767"/>
      <c r="P11" s="3767"/>
      <c r="Q11" s="1343" t="str">
        <f t="shared" si="6"/>
        <v>容积率</v>
      </c>
      <c r="R11" s="701" t="s">
        <v>14</v>
      </c>
      <c r="S11" s="702">
        <f t="shared" si="0"/>
        <v>102</v>
      </c>
      <c r="T11" s="701" t="s">
        <v>14</v>
      </c>
      <c r="U11" s="702">
        <f t="shared" si="1"/>
        <v>98</v>
      </c>
      <c r="V11" s="701" t="s">
        <v>14</v>
      </c>
      <c r="W11" s="702">
        <f t="shared" si="2"/>
        <v>106</v>
      </c>
      <c r="X11" s="703"/>
      <c r="Y11" s="3699"/>
      <c r="Z11" s="52" t="str">
        <f t="shared" si="7"/>
        <v>容积率</v>
      </c>
      <c r="AA11" s="704">
        <f t="shared" si="3"/>
        <v>0.98039215686274506</v>
      </c>
      <c r="AB11" s="704">
        <f t="shared" si="4"/>
        <v>1.0204081632653061</v>
      </c>
      <c r="AC11" s="704">
        <f t="shared" si="5"/>
        <v>0.94339622641509435</v>
      </c>
    </row>
    <row r="12" spans="1:30" s="108" customFormat="1" ht="15" hidden="1">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67"/>
      <c r="Q12" s="1343" t="str">
        <f t="shared" si="6"/>
        <v>配建</v>
      </c>
      <c r="R12" s="701" t="s">
        <v>14</v>
      </c>
      <c r="S12" s="702">
        <f t="shared" si="0"/>
        <v>100</v>
      </c>
      <c r="T12" s="701" t="s">
        <v>14</v>
      </c>
      <c r="U12" s="702">
        <f t="shared" si="1"/>
        <v>100</v>
      </c>
      <c r="V12" s="701" t="s">
        <v>14</v>
      </c>
      <c r="W12" s="702">
        <f t="shared" si="2"/>
        <v>100</v>
      </c>
      <c r="X12" s="703"/>
      <c r="Y12" s="3699"/>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67"/>
      <c r="Q13" s="1343">
        <f t="shared" si="6"/>
        <v>111</v>
      </c>
      <c r="R13" s="701" t="s">
        <v>14</v>
      </c>
      <c r="S13" s="702">
        <f t="shared" si="0"/>
        <v>100</v>
      </c>
      <c r="T13" s="701" t="s">
        <v>14</v>
      </c>
      <c r="U13" s="702">
        <f t="shared" si="1"/>
        <v>100</v>
      </c>
      <c r="V13" s="701" t="s">
        <v>14</v>
      </c>
      <c r="W13" s="702">
        <f t="shared" si="2"/>
        <v>100</v>
      </c>
      <c r="X13" s="703"/>
      <c r="Y13" s="3699"/>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67"/>
      <c r="Q14" s="1343">
        <f t="shared" si="6"/>
        <v>111</v>
      </c>
      <c r="R14" s="701" t="s">
        <v>14</v>
      </c>
      <c r="S14" s="702">
        <f t="shared" si="0"/>
        <v>100</v>
      </c>
      <c r="T14" s="701" t="s">
        <v>14</v>
      </c>
      <c r="U14" s="702">
        <f t="shared" si="1"/>
        <v>100</v>
      </c>
      <c r="V14" s="701" t="s">
        <v>14</v>
      </c>
      <c r="W14" s="702">
        <f t="shared" si="2"/>
        <v>100</v>
      </c>
      <c r="X14" s="703"/>
      <c r="Y14" s="3699"/>
      <c r="Z14" s="52">
        <f t="shared" si="7"/>
        <v>111</v>
      </c>
      <c r="AA14" s="704">
        <f>D14/F14</f>
        <v>1</v>
      </c>
      <c r="AB14" s="704">
        <f>D14/H14</f>
        <v>1</v>
      </c>
      <c r="AC14" s="704">
        <f>D14/J14</f>
        <v>1</v>
      </c>
    </row>
    <row r="15" spans="1:30" ht="15" hidden="1">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82" t="s">
        <v>1689</v>
      </c>
      <c r="Q15" s="1352" t="str">
        <f t="shared" si="6"/>
        <v>居住社区成熟度</v>
      </c>
      <c r="R15" s="705" t="s">
        <v>14</v>
      </c>
      <c r="S15" s="706">
        <f t="shared" si="0"/>
        <v>100</v>
      </c>
      <c r="T15" s="705" t="s">
        <v>14</v>
      </c>
      <c r="U15" s="706">
        <f t="shared" si="1"/>
        <v>100</v>
      </c>
      <c r="V15" s="705" t="s">
        <v>14</v>
      </c>
      <c r="W15" s="706">
        <f t="shared" si="2"/>
        <v>100</v>
      </c>
      <c r="X15" s="1355"/>
      <c r="Y15" s="3782" t="s">
        <v>1689</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715"/>
      <c r="M16" s="2709"/>
      <c r="N16" s="2709"/>
      <c r="O16" s="2767"/>
      <c r="P16" s="3783"/>
      <c r="Q16" s="1352"/>
      <c r="R16" s="705"/>
      <c r="S16" s="706"/>
      <c r="T16" s="705"/>
      <c r="U16" s="706"/>
      <c r="V16" s="705"/>
      <c r="W16" s="706"/>
      <c r="X16" s="1355"/>
      <c r="Y16" s="3783"/>
      <c r="Z16" s="1356"/>
      <c r="AA16" s="1353">
        <v>1</v>
      </c>
      <c r="AB16" s="1353">
        <v>1</v>
      </c>
      <c r="AC16" s="1353">
        <v>1</v>
      </c>
    </row>
    <row r="17" spans="1:29" ht="15">
      <c r="A17" s="379"/>
      <c r="B17" s="402" t="s">
        <v>1775</v>
      </c>
      <c r="C17" s="1953" t="str">
        <f>估价对象房地状况!C16</f>
        <v>较好</v>
      </c>
      <c r="D17" s="401">
        <v>100</v>
      </c>
      <c r="E17" s="403" t="s">
        <v>3386</v>
      </c>
      <c r="F17" s="401">
        <f>SUMIF(89:89,E18,90:90)-SUMIF(89:89,C18,90:90)+100</f>
        <v>100</v>
      </c>
      <c r="G17" s="403" t="s">
        <v>3386</v>
      </c>
      <c r="H17" s="406">
        <f>SUMIF(89:89,G18,90:90)-SUMIF(89:89,C18,90:90)+100</f>
        <v>100</v>
      </c>
      <c r="I17" s="403" t="s">
        <v>3386</v>
      </c>
      <c r="J17" s="406">
        <f>SUMIF(89:89,I18,90:90)-SUMIF(89:89,C18,90:90)+100</f>
        <v>100</v>
      </c>
      <c r="K17" s="621">
        <v>2</v>
      </c>
      <c r="L17" s="2715"/>
      <c r="M17" s="2709"/>
      <c r="N17" s="2709"/>
      <c r="O17" s="2767"/>
      <c r="P17" s="3783"/>
      <c r="Q17" s="1352" t="str">
        <f>B17</f>
        <v>商业繁华度</v>
      </c>
      <c r="R17" s="705" t="s">
        <v>14</v>
      </c>
      <c r="S17" s="706">
        <f>F17</f>
        <v>100</v>
      </c>
      <c r="T17" s="705" t="s">
        <v>14</v>
      </c>
      <c r="U17" s="706">
        <f>H17</f>
        <v>100</v>
      </c>
      <c r="V17" s="705" t="s">
        <v>14</v>
      </c>
      <c r="W17" s="706">
        <f>J17</f>
        <v>100</v>
      </c>
      <c r="X17" s="1355"/>
      <c r="Y17" s="3783"/>
      <c r="Z17" s="1356" t="str">
        <f>Q17</f>
        <v>商业繁华度</v>
      </c>
      <c r="AA17" s="1353">
        <f t="shared" si="3"/>
        <v>1</v>
      </c>
      <c r="AB17" s="1353">
        <f t="shared" si="4"/>
        <v>1</v>
      </c>
      <c r="AC17" s="1353">
        <f t="shared" si="5"/>
        <v>1</v>
      </c>
    </row>
    <row r="18" spans="1:29" ht="15">
      <c r="A18" s="379"/>
      <c r="B18" s="407"/>
      <c r="C18" s="1901" t="s">
        <v>3386</v>
      </c>
      <c r="D18" s="401"/>
      <c r="E18" s="1903" t="s">
        <v>3386</v>
      </c>
      <c r="F18" s="401"/>
      <c r="G18" s="1903" t="s">
        <v>3386</v>
      </c>
      <c r="H18" s="399"/>
      <c r="I18" s="1903" t="s">
        <v>3386</v>
      </c>
      <c r="J18" s="399"/>
      <c r="K18" s="620"/>
      <c r="L18" s="2715"/>
      <c r="M18" s="2709"/>
      <c r="N18" s="2709"/>
      <c r="O18" s="2767"/>
      <c r="P18" s="3783"/>
      <c r="Q18" s="1352"/>
      <c r="R18" s="705"/>
      <c r="S18" s="706"/>
      <c r="T18" s="705"/>
      <c r="U18" s="706"/>
      <c r="V18" s="705"/>
      <c r="W18" s="706"/>
      <c r="X18" s="1355"/>
      <c r="Y18" s="3783"/>
      <c r="Z18" s="1356"/>
      <c r="AA18" s="1353">
        <v>1</v>
      </c>
      <c r="AB18" s="1353">
        <v>1</v>
      </c>
      <c r="AC18" s="1353">
        <v>1</v>
      </c>
    </row>
    <row r="19" spans="1:29" ht="15">
      <c r="A19" s="379"/>
      <c r="B19" s="402" t="s">
        <v>1809</v>
      </c>
      <c r="C19" s="1953" t="str">
        <f>估价对象房地状况!C17</f>
        <v>较好</v>
      </c>
      <c r="D19" s="406">
        <v>100</v>
      </c>
      <c r="E19" s="408" t="s">
        <v>3386</v>
      </c>
      <c r="F19" s="406">
        <f>SUMIF(91:91,E20,92:92)-SUMIF(91:91,C20,92:92)+100</f>
        <v>100</v>
      </c>
      <c r="G19" s="408" t="s">
        <v>3386</v>
      </c>
      <c r="H19" s="401">
        <f>SUMIF(91:91,G20,92:92)-SUMIF(91:91,C20,92:92)+100</f>
        <v>100</v>
      </c>
      <c r="I19" s="408" t="s">
        <v>3386</v>
      </c>
      <c r="J19" s="401">
        <f>SUMIF(91:91,I20,92:92)-SUMIF(91:91,C20,92:92)+100</f>
        <v>100</v>
      </c>
      <c r="K19" s="621">
        <v>2</v>
      </c>
      <c r="L19" s="2715"/>
      <c r="M19" s="2709"/>
      <c r="N19" s="2709"/>
      <c r="O19" s="2767"/>
      <c r="P19" s="3783"/>
      <c r="Q19" s="1352" t="str">
        <f>B19</f>
        <v>办公集聚程度</v>
      </c>
      <c r="R19" s="705" t="s">
        <v>14</v>
      </c>
      <c r="S19" s="706">
        <f>F19</f>
        <v>100</v>
      </c>
      <c r="T19" s="705" t="s">
        <v>14</v>
      </c>
      <c r="U19" s="706">
        <f>H19</f>
        <v>100</v>
      </c>
      <c r="V19" s="705" t="s">
        <v>14</v>
      </c>
      <c r="W19" s="706">
        <f>J19</f>
        <v>100</v>
      </c>
      <c r="X19" s="1355"/>
      <c r="Y19" s="3783"/>
      <c r="Z19" s="1356" t="str">
        <f>Q19</f>
        <v>办公集聚程度</v>
      </c>
      <c r="AA19" s="1353">
        <f t="shared" si="3"/>
        <v>1</v>
      </c>
      <c r="AB19" s="1353">
        <f t="shared" si="4"/>
        <v>1</v>
      </c>
      <c r="AC19" s="1353">
        <f t="shared" si="5"/>
        <v>1</v>
      </c>
    </row>
    <row r="20" spans="1:29" ht="15">
      <c r="A20" s="379"/>
      <c r="B20" s="407"/>
      <c r="C20" s="398" t="s">
        <v>3386</v>
      </c>
      <c r="D20" s="399"/>
      <c r="E20" s="1898" t="s">
        <v>3386</v>
      </c>
      <c r="F20" s="399"/>
      <c r="G20" s="1898" t="s">
        <v>3386</v>
      </c>
      <c r="H20" s="399"/>
      <c r="I20" s="1898" t="s">
        <v>3386</v>
      </c>
      <c r="J20" s="399"/>
      <c r="K20" s="620"/>
      <c r="L20" s="2715"/>
      <c r="M20" s="2709"/>
      <c r="N20" s="2709"/>
      <c r="O20" s="2767"/>
      <c r="P20" s="3783"/>
      <c r="Q20" s="1352"/>
      <c r="R20" s="705"/>
      <c r="S20" s="706"/>
      <c r="T20" s="705"/>
      <c r="U20" s="706"/>
      <c r="V20" s="705"/>
      <c r="W20" s="706"/>
      <c r="X20" s="1355"/>
      <c r="Y20" s="3783"/>
      <c r="Z20" s="1356"/>
      <c r="AA20" s="1353">
        <v>1</v>
      </c>
      <c r="AB20" s="1353">
        <v>1</v>
      </c>
      <c r="AC20" s="1353">
        <v>1</v>
      </c>
    </row>
    <row r="21" spans="1:29" ht="15">
      <c r="A21" s="379"/>
      <c r="B21" s="402" t="s">
        <v>1831</v>
      </c>
      <c r="C21" s="1900" t="str">
        <f>估价对象房地状况!C18</f>
        <v>较好</v>
      </c>
      <c r="D21" s="401">
        <v>100</v>
      </c>
      <c r="E21" s="403" t="s">
        <v>3386</v>
      </c>
      <c r="F21" s="406">
        <f>SUMIF(93:93,E22,94:94)-SUMIF(93:93,C22,94:94)+100</f>
        <v>100</v>
      </c>
      <c r="G21" s="403" t="s">
        <v>3386</v>
      </c>
      <c r="H21" s="401">
        <f>SUMIF(93:93,G22,94:94)-SUMIF(93:93,C22,94:94)+100</f>
        <v>100</v>
      </c>
      <c r="I21" s="403" t="s">
        <v>3386</v>
      </c>
      <c r="J21" s="401">
        <f>SUMIF(93:93,I22,94:94)-SUMIF(93:93,C22,94:94)+100</f>
        <v>100</v>
      </c>
      <c r="K21" s="621">
        <v>2</v>
      </c>
      <c r="L21" s="2715"/>
      <c r="M21" s="2709"/>
      <c r="N21" s="2709"/>
      <c r="O21" s="2767"/>
      <c r="P21" s="3783"/>
      <c r="Q21" s="1352" t="str">
        <f>B21</f>
        <v>交通便捷度</v>
      </c>
      <c r="R21" s="705" t="s">
        <v>14</v>
      </c>
      <c r="S21" s="706">
        <f>F21</f>
        <v>100</v>
      </c>
      <c r="T21" s="705" t="s">
        <v>14</v>
      </c>
      <c r="U21" s="706">
        <f>H21</f>
        <v>100</v>
      </c>
      <c r="V21" s="705" t="s">
        <v>14</v>
      </c>
      <c r="W21" s="706">
        <f>J21</f>
        <v>100</v>
      </c>
      <c r="X21" s="1355"/>
      <c r="Y21" s="3783"/>
      <c r="Z21" s="1356" t="str">
        <f>Q21</f>
        <v>交通便捷度</v>
      </c>
      <c r="AA21" s="1353">
        <f t="shared" si="3"/>
        <v>1</v>
      </c>
      <c r="AB21" s="1353">
        <f t="shared" si="4"/>
        <v>1</v>
      </c>
      <c r="AC21" s="1353">
        <f t="shared" si="5"/>
        <v>1</v>
      </c>
    </row>
    <row r="22" spans="1:29" ht="15">
      <c r="A22" s="379"/>
      <c r="B22" s="1131"/>
      <c r="C22" s="398" t="s">
        <v>3386</v>
      </c>
      <c r="D22" s="401"/>
      <c r="E22" s="1898" t="s">
        <v>3386</v>
      </c>
      <c r="F22" s="399"/>
      <c r="G22" s="1898" t="s">
        <v>3386</v>
      </c>
      <c r="H22" s="399"/>
      <c r="I22" s="1898" t="s">
        <v>3386</v>
      </c>
      <c r="J22" s="399"/>
      <c r="K22" s="620"/>
      <c r="L22" s="2715"/>
      <c r="M22" s="2709"/>
      <c r="N22" s="2709"/>
      <c r="O22" s="2767"/>
      <c r="P22" s="3783"/>
      <c r="Q22" s="1352"/>
      <c r="R22" s="705"/>
      <c r="S22" s="706"/>
      <c r="T22" s="705"/>
      <c r="U22" s="706"/>
      <c r="V22" s="705"/>
      <c r="W22" s="706"/>
      <c r="X22" s="1355"/>
      <c r="Y22" s="3783"/>
      <c r="Z22" s="1356"/>
      <c r="AA22" s="1353">
        <v>1</v>
      </c>
      <c r="AB22" s="1353">
        <v>1</v>
      </c>
      <c r="AC22" s="1353">
        <v>1</v>
      </c>
    </row>
    <row r="23" spans="1:29" ht="15">
      <c r="A23" s="358"/>
      <c r="B23" s="402" t="s">
        <v>1869</v>
      </c>
      <c r="C23" s="1136" t="str">
        <f>估价对象房地状况!C19</f>
        <v>较好</v>
      </c>
      <c r="D23" s="406">
        <v>100</v>
      </c>
      <c r="E23" s="403" t="s">
        <v>3386</v>
      </c>
      <c r="F23" s="406">
        <f>SUMIF(95:95,E24,96:96)-SUMIF(95:95,C24,96:96)+100</f>
        <v>100</v>
      </c>
      <c r="G23" s="403" t="s">
        <v>3386</v>
      </c>
      <c r="H23" s="406">
        <f>SUMIF(95:95,G24,96:96)-SUMIF(95:95,C24,96:96)+100</f>
        <v>100</v>
      </c>
      <c r="I23" s="403" t="s">
        <v>3386</v>
      </c>
      <c r="J23" s="406">
        <f>SUMIF(95:95,I24,96:96)-SUMIF(95:95,C24,96:96)+100</f>
        <v>100</v>
      </c>
      <c r="K23" s="621">
        <v>2</v>
      </c>
      <c r="L23" s="2715"/>
      <c r="M23" s="2709"/>
      <c r="N23" s="2709"/>
      <c r="O23" s="2767"/>
      <c r="P23" s="3783"/>
      <c r="Q23" s="1352" t="str">
        <f t="shared" ref="Q23:Q37" si="8">B23</f>
        <v>区域土地利用方向</v>
      </c>
      <c r="R23" s="705" t="s">
        <v>14</v>
      </c>
      <c r="S23" s="706">
        <f>F23</f>
        <v>100</v>
      </c>
      <c r="T23" s="705" t="s">
        <v>14</v>
      </c>
      <c r="U23" s="706">
        <f>H23</f>
        <v>100</v>
      </c>
      <c r="V23" s="705" t="s">
        <v>14</v>
      </c>
      <c r="W23" s="706">
        <f>J23</f>
        <v>100</v>
      </c>
      <c r="X23" s="1355"/>
      <c r="Y23" s="3783"/>
      <c r="Z23" s="1356" t="str">
        <f>Q23</f>
        <v>区域土地利用方向</v>
      </c>
      <c r="AA23" s="1353">
        <f t="shared" si="3"/>
        <v>1</v>
      </c>
      <c r="AB23" s="1353">
        <f t="shared" si="4"/>
        <v>1</v>
      </c>
      <c r="AC23" s="1353">
        <f t="shared" si="5"/>
        <v>1</v>
      </c>
    </row>
    <row r="24" spans="1:29" ht="15">
      <c r="A24" s="358"/>
      <c r="B24" s="407"/>
      <c r="C24" s="565" t="s">
        <v>3386</v>
      </c>
      <c r="D24" s="399"/>
      <c r="E24" s="1898" t="s">
        <v>3386</v>
      </c>
      <c r="F24" s="399"/>
      <c r="G24" s="1898" t="s">
        <v>3386</v>
      </c>
      <c r="H24" s="399"/>
      <c r="I24" s="1898" t="s">
        <v>3386</v>
      </c>
      <c r="J24" s="399"/>
      <c r="K24" s="740"/>
      <c r="L24" s="2715"/>
      <c r="M24" s="2709"/>
      <c r="N24" s="2709"/>
      <c r="O24" s="2767"/>
      <c r="P24" s="3783"/>
      <c r="Q24" s="1352"/>
      <c r="R24" s="705"/>
      <c r="S24" s="706"/>
      <c r="T24" s="705"/>
      <c r="U24" s="706"/>
      <c r="V24" s="705"/>
      <c r="W24" s="706"/>
      <c r="X24" s="1355"/>
      <c r="Y24" s="3783"/>
      <c r="Z24" s="1356"/>
      <c r="AA24" s="1353"/>
      <c r="AB24" s="1353"/>
      <c r="AC24" s="1353"/>
    </row>
    <row r="25" spans="1:29" ht="27">
      <c r="A25" s="358"/>
      <c r="B25" s="1131" t="s">
        <v>1870</v>
      </c>
      <c r="C25" s="1953" t="str">
        <f>估价对象房地状况!C20</f>
        <v>较好</v>
      </c>
      <c r="D25" s="401">
        <v>100</v>
      </c>
      <c r="E25" s="403" t="s">
        <v>3386</v>
      </c>
      <c r="F25" s="401">
        <f>SUMIF(97:97,E26,98:98)-SUMIF(97:97,C26,98:98)+100</f>
        <v>100</v>
      </c>
      <c r="G25" s="403" t="s">
        <v>3386</v>
      </c>
      <c r="H25" s="401">
        <f>SUMIF(97:97,G26,98:98)-SUMIF(97:97,C26,98:98)+100</f>
        <v>100</v>
      </c>
      <c r="I25" s="403" t="s">
        <v>3386</v>
      </c>
      <c r="J25" s="401">
        <f>SUMIF(97:97,I26,98:98)-SUMIF(97:97,C26,98:98)+100</f>
        <v>100</v>
      </c>
      <c r="K25" s="621">
        <v>2</v>
      </c>
      <c r="L25" s="2715"/>
      <c r="M25" s="2709"/>
      <c r="N25" s="2709"/>
      <c r="O25" s="2767"/>
      <c r="P25" s="3783"/>
      <c r="Q25" s="1352" t="str">
        <f t="shared" si="8"/>
        <v>自然及人文环境状况</v>
      </c>
      <c r="R25" s="705" t="s">
        <v>14</v>
      </c>
      <c r="S25" s="706">
        <f>F25</f>
        <v>100</v>
      </c>
      <c r="T25" s="705" t="s">
        <v>14</v>
      </c>
      <c r="U25" s="706">
        <f>H25</f>
        <v>100</v>
      </c>
      <c r="V25" s="705" t="s">
        <v>14</v>
      </c>
      <c r="W25" s="706">
        <f>J25</f>
        <v>100</v>
      </c>
      <c r="X25" s="1355"/>
      <c r="Y25" s="3783"/>
      <c r="Z25" s="1356" t="str">
        <f>Q25</f>
        <v>自然及人文环境状况</v>
      </c>
      <c r="AA25" s="1353">
        <f t="shared" si="3"/>
        <v>1</v>
      </c>
      <c r="AB25" s="1353">
        <f t="shared" si="4"/>
        <v>1</v>
      </c>
      <c r="AC25" s="1353">
        <f t="shared" si="5"/>
        <v>1</v>
      </c>
    </row>
    <row r="26" spans="1:29" ht="15">
      <c r="A26" s="358"/>
      <c r="B26" s="407"/>
      <c r="C26" s="398" t="s">
        <v>3386</v>
      </c>
      <c r="D26" s="399"/>
      <c r="E26" s="1904" t="s">
        <v>3386</v>
      </c>
      <c r="F26" s="399"/>
      <c r="G26" s="1904" t="s">
        <v>3386</v>
      </c>
      <c r="H26" s="399"/>
      <c r="I26" s="1904" t="s">
        <v>3386</v>
      </c>
      <c r="J26" s="399"/>
      <c r="K26" s="620"/>
      <c r="L26" s="2715"/>
      <c r="M26" s="2709"/>
      <c r="N26" s="2709"/>
      <c r="O26" s="2767"/>
      <c r="P26" s="3783"/>
      <c r="Q26" s="1352"/>
      <c r="R26" s="705"/>
      <c r="S26" s="706"/>
      <c r="T26" s="705"/>
      <c r="U26" s="706"/>
      <c r="V26" s="705"/>
      <c r="W26" s="706"/>
      <c r="X26" s="1355"/>
      <c r="Y26" s="3783"/>
      <c r="Z26" s="1356"/>
      <c r="AA26" s="1353">
        <v>1</v>
      </c>
      <c r="AB26" s="1353">
        <v>1</v>
      </c>
      <c r="AC26" s="1353">
        <v>1</v>
      </c>
    </row>
    <row r="27" spans="1:29" s="108" customFormat="1" ht="15">
      <c r="A27" s="597"/>
      <c r="B27" s="1131" t="s">
        <v>1776</v>
      </c>
      <c r="C27" s="1900" t="str">
        <f>估价对象房地状况!C21</f>
        <v>较好</v>
      </c>
      <c r="D27" s="401">
        <v>100</v>
      </c>
      <c r="E27" s="403" t="s">
        <v>3386</v>
      </c>
      <c r="F27" s="401">
        <f>SUMIF(99:99,E28,100:100)-SUMIF(99:99,C28,100:100)+100</f>
        <v>100</v>
      </c>
      <c r="G27" s="403" t="s">
        <v>3386</v>
      </c>
      <c r="H27" s="401">
        <f>SUMIF(99:99,G28,100:100)-SUMIF(99:99,C28,100:100)+100</f>
        <v>100</v>
      </c>
      <c r="I27" s="403" t="s">
        <v>3386</v>
      </c>
      <c r="J27" s="401">
        <f>SUMIF(99:99,I28,100:100)-SUMIF(99:99,C28,100:100)+100</f>
        <v>100</v>
      </c>
      <c r="K27" s="621">
        <v>2</v>
      </c>
      <c r="L27" s="2710"/>
      <c r="M27" s="2711"/>
      <c r="N27" s="2711"/>
      <c r="O27" s="2765"/>
      <c r="P27" s="3783"/>
      <c r="Q27" s="1343" t="str">
        <f t="shared" si="8"/>
        <v>公共配套设施</v>
      </c>
      <c r="R27" s="701" t="s">
        <v>14</v>
      </c>
      <c r="S27" s="702">
        <f>F27</f>
        <v>100</v>
      </c>
      <c r="T27" s="701" t="s">
        <v>14</v>
      </c>
      <c r="U27" s="702">
        <f>H27</f>
        <v>100</v>
      </c>
      <c r="V27" s="701" t="s">
        <v>14</v>
      </c>
      <c r="W27" s="702">
        <f>J27</f>
        <v>100</v>
      </c>
      <c r="X27" s="703"/>
      <c r="Y27" s="3783"/>
      <c r="Z27" s="52" t="str">
        <f>Q27</f>
        <v>公共配套设施</v>
      </c>
      <c r="AA27" s="1353">
        <f>D27/F27</f>
        <v>1</v>
      </c>
      <c r="AB27" s="1353">
        <f>D27/H27</f>
        <v>1</v>
      </c>
      <c r="AC27" s="1353">
        <f>D27/J27</f>
        <v>1</v>
      </c>
    </row>
    <row r="28" spans="1:29" s="108" customFormat="1" ht="15">
      <c r="A28" s="597"/>
      <c r="B28" s="407"/>
      <c r="C28" s="1976" t="s">
        <v>3386</v>
      </c>
      <c r="D28" s="399"/>
      <c r="E28" s="1904" t="s">
        <v>3386</v>
      </c>
      <c r="F28" s="399"/>
      <c r="G28" s="1904" t="s">
        <v>3386</v>
      </c>
      <c r="H28" s="399"/>
      <c r="I28" s="1904" t="s">
        <v>3386</v>
      </c>
      <c r="J28" s="399"/>
      <c r="K28" s="620"/>
      <c r="L28" s="2710"/>
      <c r="M28" s="2711"/>
      <c r="N28" s="2711"/>
      <c r="O28" s="2765"/>
      <c r="P28" s="3783"/>
      <c r="Q28" s="1343"/>
      <c r="R28" s="701"/>
      <c r="S28" s="702"/>
      <c r="T28" s="701"/>
      <c r="U28" s="702"/>
      <c r="V28" s="701"/>
      <c r="W28" s="702"/>
      <c r="X28" s="703"/>
      <c r="Y28" s="3783"/>
      <c r="Z28" s="52"/>
      <c r="AA28" s="1353">
        <v>1</v>
      </c>
      <c r="AB28" s="1353">
        <v>1</v>
      </c>
      <c r="AC28" s="1353">
        <v>1</v>
      </c>
    </row>
    <row r="29" spans="1:29" s="108" customFormat="1" ht="15">
      <c r="A29" s="597"/>
      <c r="B29" s="1131" t="s">
        <v>1777</v>
      </c>
      <c r="C29" s="1900" t="str">
        <f>估价对象房地状况!C22</f>
        <v>七通</v>
      </c>
      <c r="D29" s="401">
        <v>100</v>
      </c>
      <c r="E29" s="403" t="s">
        <v>3390</v>
      </c>
      <c r="F29" s="401">
        <f>SUMIF(101:101,E30,102:102)-SUMIF(101:101,C30,102:102)+100</f>
        <v>100</v>
      </c>
      <c r="G29" s="403" t="s">
        <v>3390</v>
      </c>
      <c r="H29" s="401">
        <f>SUMIF(101:101,G30,102:102)-SUMIF(101:101,C30,102:102)+100</f>
        <v>100</v>
      </c>
      <c r="I29" s="403" t="s">
        <v>3390</v>
      </c>
      <c r="J29" s="401">
        <f>SUMIF(101:101,I30,102:102)-SUMIF(101:101,C30,102:102)+100</f>
        <v>100</v>
      </c>
      <c r="K29" s="621">
        <v>1</v>
      </c>
      <c r="L29" s="2710"/>
      <c r="M29" s="2711"/>
      <c r="N29" s="2711"/>
      <c r="O29" s="2765"/>
      <c r="P29" s="3783"/>
      <c r="Q29" s="1343" t="str">
        <f t="shared" ref="Q29" si="9">B29</f>
        <v>基础设施水平</v>
      </c>
      <c r="R29" s="701" t="s">
        <v>14</v>
      </c>
      <c r="S29" s="702">
        <f>F29</f>
        <v>100</v>
      </c>
      <c r="T29" s="701" t="s">
        <v>14</v>
      </c>
      <c r="U29" s="702">
        <f>H29</f>
        <v>100</v>
      </c>
      <c r="V29" s="701" t="s">
        <v>14</v>
      </c>
      <c r="W29" s="702">
        <f>J29</f>
        <v>100</v>
      </c>
      <c r="X29" s="703"/>
      <c r="Y29" s="3783"/>
      <c r="Z29" s="52" t="str">
        <f>Q29</f>
        <v>基础设施水平</v>
      </c>
      <c r="AA29" s="1353">
        <f>D29/F29</f>
        <v>1</v>
      </c>
      <c r="AB29" s="1353">
        <f>D29/H29</f>
        <v>1</v>
      </c>
      <c r="AC29" s="1353">
        <f>D29/J29</f>
        <v>1</v>
      </c>
    </row>
    <row r="30" spans="1:29" s="108" customFormat="1" ht="15.75" thickBot="1">
      <c r="A30" s="597"/>
      <c r="B30" s="407"/>
      <c r="C30" s="1976" t="s">
        <v>3390</v>
      </c>
      <c r="D30" s="399"/>
      <c r="E30" s="1977" t="s">
        <v>3390</v>
      </c>
      <c r="F30" s="399"/>
      <c r="G30" s="1977" t="s">
        <v>3390</v>
      </c>
      <c r="H30" s="399"/>
      <c r="I30" s="1977" t="s">
        <v>3390</v>
      </c>
      <c r="J30" s="399"/>
      <c r="K30" s="620"/>
      <c r="L30" s="2710"/>
      <c r="M30" s="2711"/>
      <c r="N30" s="2711"/>
      <c r="O30" s="2765"/>
      <c r="P30" s="3783"/>
      <c r="Q30" s="1343"/>
      <c r="R30" s="701"/>
      <c r="S30" s="702"/>
      <c r="T30" s="701"/>
      <c r="U30" s="702"/>
      <c r="V30" s="701"/>
      <c r="W30" s="702"/>
      <c r="X30" s="703"/>
      <c r="Y30" s="3783"/>
      <c r="Z30" s="52"/>
      <c r="AA30" s="1353">
        <v>1</v>
      </c>
      <c r="AB30" s="1353">
        <v>1</v>
      </c>
      <c r="AC30" s="1353">
        <v>1</v>
      </c>
    </row>
    <row r="31" spans="1:29" ht="15" hidden="1">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3"/>
      <c r="Z31" s="1356" t="str">
        <f t="shared" ref="Z31:Z45" si="13">Q31</f>
        <v>临街状况</v>
      </c>
      <c r="AA31" s="1353">
        <f t="shared" si="3"/>
        <v>1</v>
      </c>
      <c r="AB31" s="1353">
        <f t="shared" si="4"/>
        <v>1</v>
      </c>
      <c r="AC31" s="1353">
        <f t="shared" si="5"/>
        <v>1</v>
      </c>
    </row>
    <row r="32" spans="1:29" ht="27" hidden="1">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83"/>
      <c r="Q32" s="1352" t="str">
        <f t="shared" si="8"/>
        <v>毗邻道路的类型与等级</v>
      </c>
      <c r="R32" s="705" t="s">
        <v>14</v>
      </c>
      <c r="S32" s="706">
        <f t="shared" si="10"/>
        <v>100</v>
      </c>
      <c r="T32" s="705" t="s">
        <v>14</v>
      </c>
      <c r="U32" s="706">
        <f t="shared" si="11"/>
        <v>100</v>
      </c>
      <c r="V32" s="705" t="s">
        <v>14</v>
      </c>
      <c r="W32" s="706">
        <f t="shared" si="12"/>
        <v>100</v>
      </c>
      <c r="X32" s="1355"/>
      <c r="Y32" s="3783"/>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15"/>
      <c r="M33" s="2709"/>
      <c r="N33" s="2709"/>
      <c r="O33" s="2767"/>
      <c r="P33" s="3783"/>
      <c r="Q33" s="1352"/>
      <c r="R33" s="705"/>
      <c r="S33" s="706"/>
      <c r="T33" s="705"/>
      <c r="U33" s="706"/>
      <c r="V33" s="705"/>
      <c r="W33" s="706"/>
      <c r="X33" s="1355"/>
      <c r="Y33" s="3783"/>
      <c r="Z33" s="1356"/>
      <c r="AA33" s="1353">
        <v>1</v>
      </c>
      <c r="AB33" s="1353">
        <v>1</v>
      </c>
      <c r="AC33" s="1353">
        <v>1</v>
      </c>
    </row>
    <row r="34" spans="1:29" ht="15" hidden="1">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83"/>
      <c r="Q34" s="1352" t="str">
        <f t="shared" si="8"/>
        <v>土地级别</v>
      </c>
      <c r="R34" s="705" t="s">
        <v>14</v>
      </c>
      <c r="S34" s="706">
        <f t="shared" si="10"/>
        <v>100</v>
      </c>
      <c r="T34" s="705" t="s">
        <v>14</v>
      </c>
      <c r="U34" s="706">
        <f t="shared" si="11"/>
        <v>100</v>
      </c>
      <c r="V34" s="705" t="s">
        <v>14</v>
      </c>
      <c r="W34" s="706">
        <f t="shared" si="12"/>
        <v>100</v>
      </c>
      <c r="X34" s="1355"/>
      <c r="Y34" s="3783"/>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83"/>
      <c r="Q35" s="1352">
        <f t="shared" si="8"/>
        <v>111</v>
      </c>
      <c r="R35" s="705" t="s">
        <v>14</v>
      </c>
      <c r="S35" s="706">
        <f t="shared" si="10"/>
        <v>100</v>
      </c>
      <c r="T35" s="705" t="s">
        <v>14</v>
      </c>
      <c r="U35" s="706">
        <f t="shared" si="11"/>
        <v>100</v>
      </c>
      <c r="V35" s="705" t="s">
        <v>14</v>
      </c>
      <c r="W35" s="706">
        <f t="shared" si="12"/>
        <v>100</v>
      </c>
      <c r="X35" s="1355"/>
      <c r="Y35" s="3783"/>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84" t="s">
        <v>1694</v>
      </c>
      <c r="Q36" s="1352">
        <f t="shared" si="8"/>
        <v>111</v>
      </c>
      <c r="R36" s="705" t="s">
        <v>14</v>
      </c>
      <c r="S36" s="706">
        <f t="shared" si="10"/>
        <v>100</v>
      </c>
      <c r="T36" s="705" t="s">
        <v>14</v>
      </c>
      <c r="U36" s="706">
        <f t="shared" si="11"/>
        <v>100</v>
      </c>
      <c r="V36" s="705" t="s">
        <v>14</v>
      </c>
      <c r="W36" s="706">
        <f t="shared" si="12"/>
        <v>100</v>
      </c>
      <c r="X36" s="1355"/>
      <c r="Y36" s="3785" t="s">
        <v>1694</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85"/>
      <c r="Q37" s="1352">
        <f t="shared" si="8"/>
        <v>111</v>
      </c>
      <c r="R37" s="708" t="s">
        <v>14</v>
      </c>
      <c r="S37" s="709">
        <f t="shared" si="10"/>
        <v>100</v>
      </c>
      <c r="T37" s="708" t="s">
        <v>14</v>
      </c>
      <c r="U37" s="709">
        <f t="shared" si="11"/>
        <v>100</v>
      </c>
      <c r="V37" s="708" t="s">
        <v>14</v>
      </c>
      <c r="W37" s="709">
        <f t="shared" si="12"/>
        <v>100</v>
      </c>
      <c r="X37" s="710"/>
      <c r="Y37" s="3785"/>
      <c r="Z37" s="711">
        <f t="shared" si="13"/>
        <v>111</v>
      </c>
      <c r="AA37" s="1353">
        <f t="shared" si="3"/>
        <v>1</v>
      </c>
      <c r="AB37" s="1353">
        <f t="shared" si="4"/>
        <v>1</v>
      </c>
      <c r="AC37" s="1353">
        <f t="shared" si="5"/>
        <v>1</v>
      </c>
    </row>
    <row r="38" spans="1:29" ht="15">
      <c r="A38" s="423" t="s">
        <v>1692</v>
      </c>
      <c r="B38" s="407" t="s">
        <v>1872</v>
      </c>
      <c r="C38" s="627">
        <f>18859+15963.04</f>
        <v>34822.04</v>
      </c>
      <c r="D38" s="418">
        <v>100</v>
      </c>
      <c r="E38" s="627">
        <f>土地案例!H2</f>
        <v>67829.210000000006</v>
      </c>
      <c r="F38" s="418">
        <f>LOOKUP(E38,116:116,117:117)-LOOKUP(C38,116:116,117:117)+100</f>
        <v>102</v>
      </c>
      <c r="G38" s="627">
        <f>土地案例!H3</f>
        <v>12629.88</v>
      </c>
      <c r="H38" s="418">
        <f>LOOKUP(G38,116:116,117:117)-LOOKUP(C38,116:116,117:117)+100</f>
        <v>98</v>
      </c>
      <c r="I38" s="479">
        <f>土地案例!H4</f>
        <v>49900.54</v>
      </c>
      <c r="J38" s="418">
        <f>LOOKUP(I38,116:116,117:117)-LOOKUP(C38,116:116,117:117)+100</f>
        <v>102</v>
      </c>
      <c r="K38" s="562"/>
      <c r="L38" s="2715"/>
      <c r="M38" s="2709"/>
      <c r="N38" s="2709"/>
      <c r="O38" s="2767"/>
      <c r="P38" s="3785"/>
      <c r="Q38" s="1352" t="str">
        <f>B38</f>
        <v>宗地面积</v>
      </c>
      <c r="R38" s="705" t="s">
        <v>14</v>
      </c>
      <c r="S38" s="706">
        <f t="shared" si="10"/>
        <v>102</v>
      </c>
      <c r="T38" s="705" t="s">
        <v>14</v>
      </c>
      <c r="U38" s="706">
        <f t="shared" si="11"/>
        <v>98</v>
      </c>
      <c r="V38" s="705" t="s">
        <v>14</v>
      </c>
      <c r="W38" s="706">
        <f t="shared" si="12"/>
        <v>102</v>
      </c>
      <c r="X38" s="1355"/>
      <c r="Y38" s="3785"/>
      <c r="Z38" s="1356" t="str">
        <f t="shared" si="13"/>
        <v>宗地面积</v>
      </c>
      <c r="AA38" s="1353">
        <f t="shared" si="3"/>
        <v>0.98039215686274506</v>
      </c>
      <c r="AB38" s="1353">
        <f t="shared" si="4"/>
        <v>1.0204081632653061</v>
      </c>
      <c r="AC38" s="1353">
        <f t="shared" si="5"/>
        <v>0.98039215686274506</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5"/>
      <c r="M39" s="2709"/>
      <c r="N39" s="2709"/>
      <c r="O39" s="2767"/>
      <c r="P39" s="3785"/>
      <c r="Q39" s="1352" t="str">
        <f t="shared" ref="Q39:Q45" si="14">B39</f>
        <v>宗地形状</v>
      </c>
      <c r="R39" s="705" t="s">
        <v>14</v>
      </c>
      <c r="S39" s="706">
        <f t="shared" si="10"/>
        <v>100</v>
      </c>
      <c r="T39" s="705" t="s">
        <v>14</v>
      </c>
      <c r="U39" s="706">
        <f t="shared" si="11"/>
        <v>100</v>
      </c>
      <c r="V39" s="705" t="s">
        <v>14</v>
      </c>
      <c r="W39" s="706">
        <f t="shared" si="12"/>
        <v>100</v>
      </c>
      <c r="X39" s="1355"/>
      <c r="Y39" s="3785"/>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5"/>
      <c r="M40" s="2709"/>
      <c r="N40" s="2709"/>
      <c r="O40" s="2767"/>
      <c r="P40" s="3785"/>
      <c r="Q40" s="1352" t="str">
        <f t="shared" si="14"/>
        <v>临街宽度及深度</v>
      </c>
      <c r="R40" s="705" t="s">
        <v>14</v>
      </c>
      <c r="S40" s="706">
        <f t="shared" si="10"/>
        <v>100</v>
      </c>
      <c r="T40" s="705" t="s">
        <v>14</v>
      </c>
      <c r="U40" s="706">
        <f t="shared" si="11"/>
        <v>100</v>
      </c>
      <c r="V40" s="705" t="s">
        <v>14</v>
      </c>
      <c r="W40" s="706">
        <f t="shared" si="12"/>
        <v>100</v>
      </c>
      <c r="X40" s="1355"/>
      <c r="Y40" s="3785"/>
      <c r="Z40" s="1356" t="str">
        <f t="shared" si="13"/>
        <v>临街宽度及深度</v>
      </c>
      <c r="AA40" s="1353">
        <f t="shared" si="3"/>
        <v>1</v>
      </c>
      <c r="AB40" s="1353">
        <f t="shared" si="4"/>
        <v>1</v>
      </c>
      <c r="AC40" s="1353">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85"/>
      <c r="Q41" s="1352" t="str">
        <f t="shared" si="14"/>
        <v>宗地开发程度</v>
      </c>
      <c r="R41" s="701" t="s">
        <v>14</v>
      </c>
      <c r="S41" s="702">
        <f t="shared" si="10"/>
        <v>100</v>
      </c>
      <c r="T41" s="701" t="s">
        <v>14</v>
      </c>
      <c r="U41" s="702">
        <f t="shared" si="11"/>
        <v>100</v>
      </c>
      <c r="V41" s="701" t="s">
        <v>14</v>
      </c>
      <c r="W41" s="702">
        <f t="shared" si="12"/>
        <v>100</v>
      </c>
      <c r="X41" s="703"/>
      <c r="Y41" s="3785"/>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5"/>
      <c r="M42" s="2709"/>
      <c r="N42" s="2709"/>
      <c r="O42" s="2767"/>
      <c r="P42" s="3785" t="s">
        <v>1694</v>
      </c>
      <c r="Q42" s="1352" t="str">
        <f t="shared" si="14"/>
        <v>工程地质条件</v>
      </c>
      <c r="R42" s="705" t="s">
        <v>14</v>
      </c>
      <c r="S42" s="706">
        <f t="shared" si="10"/>
        <v>100</v>
      </c>
      <c r="T42" s="705" t="s">
        <v>14</v>
      </c>
      <c r="U42" s="706">
        <f t="shared" si="11"/>
        <v>100</v>
      </c>
      <c r="V42" s="705" t="s">
        <v>14</v>
      </c>
      <c r="W42" s="706">
        <f t="shared" si="12"/>
        <v>100</v>
      </c>
      <c r="X42" s="1355"/>
      <c r="Y42" s="3785"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85"/>
      <c r="Q43" s="1352">
        <f t="shared" si="14"/>
        <v>111</v>
      </c>
      <c r="R43" s="705" t="s">
        <v>14</v>
      </c>
      <c r="S43" s="706">
        <f t="shared" si="10"/>
        <v>100</v>
      </c>
      <c r="T43" s="705" t="s">
        <v>14</v>
      </c>
      <c r="U43" s="706">
        <f t="shared" si="11"/>
        <v>100</v>
      </c>
      <c r="V43" s="705" t="s">
        <v>14</v>
      </c>
      <c r="W43" s="706">
        <f t="shared" si="12"/>
        <v>100</v>
      </c>
      <c r="X43" s="1355"/>
      <c r="Y43" s="37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85"/>
      <c r="Q44" s="1352">
        <f t="shared" si="14"/>
        <v>111</v>
      </c>
      <c r="R44" s="705" t="s">
        <v>14</v>
      </c>
      <c r="S44" s="706">
        <f t="shared" si="10"/>
        <v>100</v>
      </c>
      <c r="T44" s="705" t="s">
        <v>14</v>
      </c>
      <c r="U44" s="706">
        <f t="shared" si="11"/>
        <v>100</v>
      </c>
      <c r="V44" s="705" t="s">
        <v>14</v>
      </c>
      <c r="W44" s="706">
        <f t="shared" si="12"/>
        <v>100</v>
      </c>
      <c r="X44" s="1355"/>
      <c r="Y44" s="3785"/>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85"/>
      <c r="Q45" s="1352">
        <f t="shared" si="14"/>
        <v>111</v>
      </c>
      <c r="R45" s="708" t="s">
        <v>14</v>
      </c>
      <c r="S45" s="709">
        <f t="shared" si="10"/>
        <v>100</v>
      </c>
      <c r="T45" s="708" t="s">
        <v>14</v>
      </c>
      <c r="U45" s="709">
        <f t="shared" si="11"/>
        <v>100</v>
      </c>
      <c r="V45" s="708" t="s">
        <v>14</v>
      </c>
      <c r="W45" s="709">
        <f t="shared" si="12"/>
        <v>100</v>
      </c>
      <c r="X45" s="710"/>
      <c r="Y45" s="3785"/>
      <c r="Z45" s="711">
        <f t="shared" si="13"/>
        <v>111</v>
      </c>
      <c r="AA45" s="1353">
        <f t="shared" si="3"/>
        <v>1</v>
      </c>
      <c r="AB45" s="1353">
        <f t="shared" si="4"/>
        <v>1</v>
      </c>
      <c r="AC45" s="1353">
        <f t="shared" si="5"/>
        <v>1</v>
      </c>
    </row>
    <row r="46" spans="1:29" ht="15">
      <c r="A46" s="430" t="s">
        <v>1842</v>
      </c>
      <c r="B46" s="1980" t="s">
        <v>1877</v>
      </c>
      <c r="C46" s="630" t="s">
        <v>0</v>
      </c>
      <c r="D46" s="432"/>
      <c r="E46" s="433">
        <f>土地案例!K2</f>
        <v>22811</v>
      </c>
      <c r="F46" s="434"/>
      <c r="G46" s="435">
        <f>土地案例!K3</f>
        <v>20750</v>
      </c>
      <c r="H46" s="436"/>
      <c r="I46" s="433">
        <f>土地案例!K4</f>
        <v>20677</v>
      </c>
      <c r="J46" s="436"/>
      <c r="K46" s="714"/>
      <c r="L46" s="2717"/>
      <c r="M46" s="2718"/>
      <c r="N46" s="2709"/>
      <c r="O46" s="2718"/>
      <c r="P46" s="3767" t="str">
        <f>A46</f>
        <v>成交单价</v>
      </c>
      <c r="Q46" s="3767"/>
      <c r="R46" s="3780">
        <f>E46</f>
        <v>22811</v>
      </c>
      <c r="S46" s="3780"/>
      <c r="T46" s="3780">
        <f>G46</f>
        <v>20750</v>
      </c>
      <c r="U46" s="3780"/>
      <c r="V46" s="3780">
        <f>I46</f>
        <v>20677</v>
      </c>
      <c r="W46" s="3780"/>
      <c r="X46" s="690"/>
      <c r="Y46" s="712"/>
      <c r="Z46" s="690"/>
      <c r="AA46" s="690"/>
      <c r="AB46" s="690"/>
      <c r="AC46" s="690"/>
    </row>
    <row r="47" spans="1:29" ht="15.75" thickBot="1">
      <c r="A47" s="437" t="s">
        <v>1791</v>
      </c>
      <c r="B47" s="631"/>
      <c r="C47" s="440">
        <f>R48</f>
        <v>19464</v>
      </c>
      <c r="D47" s="2315" t="s">
        <v>2136</v>
      </c>
      <c r="E47" s="440">
        <f>R47</f>
        <v>20792</v>
      </c>
      <c r="F47" s="2316"/>
      <c r="G47" s="439">
        <f>T47</f>
        <v>19464</v>
      </c>
      <c r="H47" s="2316"/>
      <c r="I47" s="440">
        <f>V47</f>
        <v>18136</v>
      </c>
      <c r="J47" s="2316"/>
      <c r="K47" s="2318">
        <f>F47+H47+J47</f>
        <v>0</v>
      </c>
      <c r="L47" s="2717"/>
      <c r="M47" s="2718"/>
      <c r="N47" s="2718"/>
      <c r="O47" s="2718"/>
      <c r="P47" s="3767" t="str">
        <f>A47</f>
        <v>比较价值（元/平方米）</v>
      </c>
      <c r="Q47" s="3767"/>
      <c r="R47" s="3786">
        <f>ROUND(PRODUCT(R46,AA7:AA45),0)</f>
        <v>20792</v>
      </c>
      <c r="S47" s="3786"/>
      <c r="T47" s="3786">
        <f>ROUND(PRODUCT(T46,AB7:AB45),0)</f>
        <v>19464</v>
      </c>
      <c r="U47" s="3786"/>
      <c r="V47" s="3786">
        <f>ROUND(PRODUCT(V46,AC7:AC45),0)</f>
        <v>18136</v>
      </c>
      <c r="W47" s="3786"/>
      <c r="X47" s="690"/>
      <c r="Y47" s="690"/>
      <c r="Z47" s="690"/>
      <c r="AA47" s="690"/>
      <c r="AB47" s="690"/>
      <c r="AC47" s="690"/>
    </row>
    <row r="48" spans="1:29" ht="15.75" thickBot="1">
      <c r="A48" s="441" t="s">
        <v>1878</v>
      </c>
      <c r="B48" s="442"/>
      <c r="C48" s="443">
        <f>R48</f>
        <v>19464</v>
      </c>
      <c r="D48" s="443"/>
      <c r="E48" s="443"/>
      <c r="F48" s="443"/>
      <c r="G48" s="443"/>
      <c r="H48" s="443"/>
      <c r="I48" s="443"/>
      <c r="J48" s="443"/>
      <c r="K48" s="715"/>
      <c r="L48" s="2717"/>
      <c r="M48" s="2718"/>
      <c r="N48" s="2718"/>
      <c r="O48" s="2718"/>
      <c r="P48" s="3787" t="str">
        <f>A48</f>
        <v>估价对象XX用房的比较价值（楼面单价，元/平方米）</v>
      </c>
      <c r="Q48" s="3788"/>
      <c r="R48" s="3789">
        <f>ROUND(IF(D47="简单平均",AVERAGE(R47:W47),R47*F47+T47*H47+V47*J47),0)</f>
        <v>19464</v>
      </c>
      <c r="S48" s="3789"/>
      <c r="T48" s="3789"/>
      <c r="U48" s="3789"/>
      <c r="V48" s="3789"/>
      <c r="W48" s="3789"/>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f>IF(E46&lt;E47,E47/E46-1,E46/E47-1)</f>
        <v>9.7104655636783388E-2</v>
      </c>
      <c r="F51" s="449" t="str">
        <f>IF(OR(E51&gt;=0.3,E51&lt;=-0.3),"超过30%","")</f>
        <v/>
      </c>
      <c r="G51" s="448">
        <f>IF(G46&lt;G47,G47/G46-1,G46/G47-1)</f>
        <v>6.6070694615700809E-2</v>
      </c>
      <c r="H51" s="449" t="str">
        <f>IF(OR(G51&gt;=0.3,G51&lt;=-0.3),"超过30%","")</f>
        <v/>
      </c>
      <c r="I51" s="448">
        <f>IF(I46&lt;I47,I47/I46-1,I46/I47-1)</f>
        <v>0.14010807234230249</v>
      </c>
      <c r="J51" s="449" t="str">
        <f>IF(OR(I51&gt;=0.3,I51&lt;=-0.3),"超过30%","")</f>
        <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f>IF(E47&lt;G47,G47/E47-1,E47/G47-1)</f>
        <v>6.8228524455404838E-2</v>
      </c>
      <c r="F52" s="449" t="str">
        <f>IF(OR(E52&gt;=0.2,E52&lt;=-0.2),"超过20%","")</f>
        <v/>
      </c>
      <c r="G52" s="448">
        <f>IF(G47&lt;I47,I47/G47-1,G47/I47-1)</f>
        <v>7.3224525805028584E-2</v>
      </c>
      <c r="H52" s="449" t="str">
        <f>IF(OR(G52&gt;=0.2,G52&lt;=-0.2),"超过20%","")</f>
        <v/>
      </c>
      <c r="I52" s="448">
        <f>IF(I47&lt;E47,E47/I47-1,I47/E47-1)</f>
        <v>0.14644905161005739</v>
      </c>
      <c r="J52" s="449" t="str">
        <f>IF(OR(I52&gt;=0.2,I52&lt;=-0.2),"超过20%","")</f>
        <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f>IF(E46&lt;G46,G46/E46-1,E46/G46-1)</f>
        <v>9.9325301204819194E-2</v>
      </c>
      <c r="F53" s="449" t="str">
        <f>IF(OR(E53&gt;=0.3,E53&lt;=-0.3),"超过30%","")</f>
        <v/>
      </c>
      <c r="G53" s="448">
        <f>IF(G46&lt;I46,I46/G46-1,G46/I46-1)</f>
        <v>3.5304928181070228E-3</v>
      </c>
      <c r="H53" s="449" t="str">
        <f>IF(OR(G53&gt;=0.3,G53&lt;=-0.3),"超过30%","")</f>
        <v/>
      </c>
      <c r="I53" s="448">
        <f>IF(I46&lt;E46,E46/I46-1,I46/E46-1)</f>
        <v>0.10320646128548638</v>
      </c>
      <c r="J53" s="449" t="str">
        <f>IF(OR(I53&gt;=0.3,I53&lt;=-0.3),"超过30%","")</f>
        <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1" t="s">
        <v>1881</v>
      </c>
      <c r="D55" s="1982" t="s">
        <v>1882</v>
      </c>
      <c r="E55" s="634" t="s">
        <v>1883</v>
      </c>
      <c r="F55" s="890" t="s">
        <v>1884</v>
      </c>
      <c r="G55" s="3768" t="s">
        <v>1885</v>
      </c>
      <c r="H55" s="3790"/>
      <c r="I55" s="135" t="s">
        <v>1886</v>
      </c>
      <c r="J55" s="1983">
        <f>项目基本情况!F35</f>
        <v>0</v>
      </c>
      <c r="K55" s="1984"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f>C48</f>
        <v>19464</v>
      </c>
      <c r="C56" s="638">
        <v>1</v>
      </c>
      <c r="D56" s="944">
        <v>1</v>
      </c>
      <c r="E56" s="638">
        <f>'数据-汇总表'!E8+'数据-汇总表'!E9</f>
        <v>67424.87</v>
      </c>
      <c r="F56" s="886">
        <f t="shared" ref="F56:F64" si="15">ROUND(B56*E56/10000,0)</f>
        <v>131236</v>
      </c>
      <c r="G56" s="3791"/>
      <c r="H56" s="3767"/>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f>ROUND($C$48*C57*D57,0)</f>
        <v>2920</v>
      </c>
      <c r="C57" s="171">
        <f t="shared" ref="C57:C64" si="16">IF($C$55="北京市系数",I57,J57)</f>
        <v>0.6</v>
      </c>
      <c r="D57" s="945">
        <v>0.25</v>
      </c>
      <c r="E57" s="642">
        <f>商业!C33</f>
        <v>12142.489999999998</v>
      </c>
      <c r="F57" s="886">
        <f t="shared" si="15"/>
        <v>3546</v>
      </c>
      <c r="G57" s="2998" t="s">
        <v>1890</v>
      </c>
      <c r="H57" s="887" t="str">
        <f>项目基本情况!B37</f>
        <v>三级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f t="shared" ref="B58:B64" si="17">ROUND($C$48*C58*D58,0)</f>
        <v>1460</v>
      </c>
      <c r="C58" s="171">
        <f t="shared" si="16"/>
        <v>0.3</v>
      </c>
      <c r="D58" s="945">
        <v>0.25</v>
      </c>
      <c r="E58" s="642">
        <f>商业!C32</f>
        <v>12446.259999999998</v>
      </c>
      <c r="F58" s="886">
        <f t="shared" si="15"/>
        <v>1817</v>
      </c>
      <c r="G58" s="2999"/>
      <c r="H58" s="887" t="str">
        <f>项目基本情况!B37</f>
        <v>三级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f t="shared" si="17"/>
        <v>1217</v>
      </c>
      <c r="C59" s="171">
        <f t="shared" si="16"/>
        <v>0.25</v>
      </c>
      <c r="D59" s="945">
        <v>0.25</v>
      </c>
      <c r="E59" s="642"/>
      <c r="F59" s="886">
        <f t="shared" si="15"/>
        <v>0</v>
      </c>
      <c r="G59" s="2999"/>
      <c r="H59" s="887" t="str">
        <f>项目基本情况!B37</f>
        <v>三级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f t="shared" si="17"/>
        <v>1217</v>
      </c>
      <c r="C60" s="171">
        <f t="shared" si="16"/>
        <v>0.25</v>
      </c>
      <c r="D60" s="945">
        <v>0.25</v>
      </c>
      <c r="E60" s="217">
        <f>'数据-汇总表'!E11</f>
        <v>0</v>
      </c>
      <c r="F60" s="886">
        <f t="shared" si="15"/>
        <v>0</v>
      </c>
      <c r="G60" s="1985" t="s">
        <v>1894</v>
      </c>
      <c r="H60" s="887" t="str">
        <f>项目基本情况!C37</f>
        <v>三级</v>
      </c>
      <c r="I60" s="891">
        <f>SUMIF(修正!A57:A68,H60,修正!E57:E68)</f>
        <v>0.25</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f t="shared" si="17"/>
        <v>1217</v>
      </c>
      <c r="C61" s="171">
        <f t="shared" si="16"/>
        <v>0.25</v>
      </c>
      <c r="D61" s="945">
        <v>0.25</v>
      </c>
      <c r="E61" s="217">
        <f>'数据-汇总表'!E12</f>
        <v>0</v>
      </c>
      <c r="F61" s="886">
        <f t="shared" si="15"/>
        <v>0</v>
      </c>
      <c r="G61" s="892" t="s">
        <v>1896</v>
      </c>
      <c r="H61" s="887" t="str">
        <f>IF(G61="商业",项目基本情况!B37,IF(G61="办公",项目基本情况!C37,IF(G61="住宅",项目基本情况!D37,项目基本情况!E37)))</f>
        <v>三级</v>
      </c>
      <c r="I61" s="891">
        <f>SUMIF(修正!A57:A68,H61,修正!F57:F68)</f>
        <v>0.25</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f t="shared" si="17"/>
        <v>730</v>
      </c>
      <c r="C62" s="171">
        <f t="shared" si="16"/>
        <v>0.15</v>
      </c>
      <c r="D62" s="945">
        <v>0.25</v>
      </c>
      <c r="E62" s="217">
        <f>'数据-汇总表'!E13</f>
        <v>11876.310000000001</v>
      </c>
      <c r="F62" s="886">
        <f t="shared" si="15"/>
        <v>867</v>
      </c>
      <c r="G62" s="892" t="s">
        <v>3896</v>
      </c>
      <c r="H62" s="887" t="str">
        <f>IF(G62="商业",项目基本情况!B37,IF(G62="办公",项目基本情况!C37,IF(G62="住宅",项目基本情况!D37,项目基本情况!E37)))</f>
        <v>三级</v>
      </c>
      <c r="I62" s="891">
        <f>SUMIF(修正!A57:A68,H62,修正!G57:G68)</f>
        <v>0.15</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f t="shared" si="17"/>
        <v>730</v>
      </c>
      <c r="C63" s="171">
        <f t="shared" si="16"/>
        <v>0.15</v>
      </c>
      <c r="D63" s="945">
        <v>0.25</v>
      </c>
      <c r="E63" s="217">
        <f>'数据-汇总表'!E14</f>
        <v>0</v>
      </c>
      <c r="F63" s="886">
        <f t="shared" si="15"/>
        <v>0</v>
      </c>
      <c r="G63" s="1985" t="s">
        <v>1890</v>
      </c>
      <c r="H63" s="887" t="str">
        <f>项目基本情况!B37</f>
        <v>三级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f t="shared" si="17"/>
        <v>730</v>
      </c>
      <c r="C64" s="171">
        <f t="shared" si="16"/>
        <v>0.15</v>
      </c>
      <c r="D64" s="945">
        <v>0.25</v>
      </c>
      <c r="E64" s="217">
        <f>'数据-汇总表'!E15</f>
        <v>0</v>
      </c>
      <c r="F64" s="886">
        <f t="shared" si="15"/>
        <v>0</v>
      </c>
      <c r="G64" s="1986" t="s">
        <v>1894</v>
      </c>
      <c r="H64" s="897" t="str">
        <f>项目基本情况!C37</f>
        <v>三级</v>
      </c>
      <c r="I64" s="893">
        <f>SUMIF(修正!A57:A68,H64,修正!G57:G68)</f>
        <v>0.15</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103889.92999999998</v>
      </c>
      <c r="F65" s="645">
        <f>IF(B46="楼面地价",SUM(F56:F64),ROUND(C48*E65/10000,0))</f>
        <v>137466</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7" t="s">
        <v>1902</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8" t="s">
        <v>1903</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ht="42.75">
      <c r="A74" s="476" t="s">
        <v>1717</v>
      </c>
      <c r="B74" s="477" t="s">
        <v>1683</v>
      </c>
      <c r="C74" s="479" t="str">
        <f>土地案例!F3</f>
        <v xml:space="preserve"> B4综合性商业金融服务业用地  </v>
      </c>
      <c r="D74" s="479" t="str">
        <f>土地案例!F2</f>
        <v xml:space="preserve"> F3其他类多功能用地、S32公交场站设施用地  </v>
      </c>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v>100</v>
      </c>
      <c r="D75" s="485">
        <v>95</v>
      </c>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5（含）-6</v>
      </c>
      <c r="I78" s="496" t="str">
        <f t="shared" si="20"/>
        <v>6（含）-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v>0</v>
      </c>
      <c r="D79" s="498">
        <v>1</v>
      </c>
      <c r="E79" s="498">
        <v>2</v>
      </c>
      <c r="F79" s="498">
        <v>3</v>
      </c>
      <c r="G79" s="498">
        <v>4</v>
      </c>
      <c r="H79" s="498">
        <v>5</v>
      </c>
      <c r="I79" s="498">
        <v>6</v>
      </c>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98</v>
      </c>
      <c r="E90" s="493">
        <f>D90-$K17</f>
        <v>96</v>
      </c>
      <c r="F90" s="493">
        <f>E90-$K17</f>
        <v>94</v>
      </c>
      <c r="G90" s="493">
        <f>F90-$K17</f>
        <v>92</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98</v>
      </c>
      <c r="E92" s="493">
        <f>D92-$K19</f>
        <v>96</v>
      </c>
      <c r="F92" s="493">
        <f>E92-$K19</f>
        <v>94</v>
      </c>
      <c r="G92" s="493">
        <f>F92-$K19</f>
        <v>92</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98</v>
      </c>
      <c r="E94" s="493">
        <f>D94-$K21</f>
        <v>96</v>
      </c>
      <c r="F94" s="493">
        <f>E94-$K21</f>
        <v>94</v>
      </c>
      <c r="G94" s="493">
        <f>F94-$K21</f>
        <v>92</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ht="28.5">
      <c r="A115" s="476" t="s">
        <v>1692</v>
      </c>
      <c r="B115" s="477" t="s">
        <v>1911</v>
      </c>
      <c r="C115" s="478" t="str">
        <f>C116&amp;"(含)"&amp;"-"&amp;D116</f>
        <v>0(含)-20000</v>
      </c>
      <c r="D115" s="478" t="str">
        <f t="shared" ref="D115:M115" si="25">D116&amp;"(含)"&amp;"-"&amp;E116</f>
        <v>20000(含)-40000</v>
      </c>
      <c r="E115" s="478" t="str">
        <f t="shared" si="25"/>
        <v>40000(含)-100000</v>
      </c>
      <c r="F115" s="478" t="str">
        <f t="shared" si="25"/>
        <v>100000(含)-200000</v>
      </c>
      <c r="G115" s="478" t="str">
        <f t="shared" si="25"/>
        <v>200000(含)-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v>0</v>
      </c>
      <c r="D116" s="544">
        <v>20000</v>
      </c>
      <c r="E116" s="544">
        <v>40000</v>
      </c>
      <c r="F116" s="544">
        <v>100000</v>
      </c>
      <c r="G116" s="544">
        <v>200000</v>
      </c>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v>100</v>
      </c>
      <c r="D117" s="540">
        <f>C117+2</f>
        <v>102</v>
      </c>
      <c r="E117" s="540">
        <f>D117+2</f>
        <v>104</v>
      </c>
      <c r="F117" s="540">
        <f>E117+2</f>
        <v>106</v>
      </c>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0" priority="18" stopIfTrue="1" operator="containsText" text="超过">
      <formula>NOT(ISERROR(SEARCH("超过",F51)))</formula>
    </cfRule>
  </conditionalFormatting>
  <conditionalFormatting sqref="J53">
    <cfRule type="containsText" dxfId="159" priority="17" stopIfTrue="1" operator="containsText" text="超过">
      <formula>NOT(ISERROR(SEARCH("超过",J53)))</formula>
    </cfRule>
  </conditionalFormatting>
  <conditionalFormatting sqref="H53">
    <cfRule type="containsText" dxfId="158" priority="16" stopIfTrue="1" operator="containsText" text="超过">
      <formula>NOT(ISERROR(SEARCH("超过",H53)))</formula>
    </cfRule>
  </conditionalFormatting>
  <conditionalFormatting sqref="F53">
    <cfRule type="containsText" dxfId="157" priority="15" stopIfTrue="1" operator="containsText" text="超过">
      <formula>NOT(ISERROR(SEARCH("超过",F53)))</formula>
    </cfRule>
  </conditionalFormatting>
  <conditionalFormatting sqref="F52 H52 J52">
    <cfRule type="containsText" dxfId="156" priority="14" stopIfTrue="1" operator="containsText" text="超过">
      <formula>NOT(ISERROR(SEARCH("超过",F52)))</formula>
    </cfRule>
  </conditionalFormatting>
  <conditionalFormatting sqref="E51">
    <cfRule type="expression" dxfId="155" priority="13" stopIfTrue="1">
      <formula>$F$51="超过30%"</formula>
    </cfRule>
  </conditionalFormatting>
  <conditionalFormatting sqref="G53">
    <cfRule type="expression" dxfId="154" priority="12" stopIfTrue="1">
      <formula>$H$53="超过30%"</formula>
    </cfRule>
  </conditionalFormatting>
  <conditionalFormatting sqref="E52">
    <cfRule type="expression" dxfId="153" priority="11" stopIfTrue="1">
      <formula>$F$52="超过20%"</formula>
    </cfRule>
  </conditionalFormatting>
  <conditionalFormatting sqref="E53">
    <cfRule type="expression" dxfId="152" priority="10" stopIfTrue="1">
      <formula>$F$53="超过30%"</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I51">
    <cfRule type="expression" dxfId="149" priority="7" stopIfTrue="1">
      <formula>$J$51="超过30%"</formula>
    </cfRule>
  </conditionalFormatting>
  <conditionalFormatting sqref="I52">
    <cfRule type="expression" dxfId="148" priority="6" stopIfTrue="1">
      <formula>$J$52="超过20%"</formula>
    </cfRule>
  </conditionalFormatting>
  <conditionalFormatting sqref="I53">
    <cfRule type="expression" dxfId="147" priority="5" stopIfTrue="1">
      <formula>$J$53="超过30%"</formula>
    </cfRule>
  </conditionalFormatting>
  <conditionalFormatting sqref="F47">
    <cfRule type="expression" dxfId="146" priority="4">
      <formula>$D$47="简单平均"</formula>
    </cfRule>
  </conditionalFormatting>
  <conditionalFormatting sqref="H47">
    <cfRule type="expression" dxfId="145" priority="3">
      <formula>$D$47="简单平均"</formula>
    </cfRule>
  </conditionalFormatting>
  <conditionalFormatting sqref="J47">
    <cfRule type="expression" dxfId="144" priority="2">
      <formula>$D$47="简单平均"</formula>
    </cfRule>
  </conditionalFormatting>
  <conditionalFormatting sqref="F7:F45 H7:H45 J7:J45">
    <cfRule type="cellIs" dxfId="1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zoomScale="80" zoomScaleNormal="80" workbookViewId="0">
      <selection activeCell="A3" sqref="A3:XFD3"/>
    </sheetView>
  </sheetViews>
  <sheetFormatPr defaultRowHeight="14.25"/>
  <cols>
    <col min="1" max="1" width="34.5" style="3529" customWidth="1"/>
    <col min="2" max="2" width="11.125" style="3529" customWidth="1"/>
    <col min="3" max="4" width="20" style="3529" customWidth="1"/>
    <col min="5" max="5" width="10.25" style="3529" customWidth="1"/>
    <col min="6" max="6" width="20" style="3529" customWidth="1"/>
    <col min="7" max="7" width="11.125" style="3529" customWidth="1"/>
    <col min="8" max="8" width="12" style="3529" customWidth="1"/>
    <col min="9" max="9" width="12.875" style="3529" customWidth="1"/>
    <col min="10" max="10" width="14.25" style="3529" customWidth="1"/>
    <col min="11" max="11" width="11.5" style="3529" customWidth="1"/>
    <col min="12" max="12" width="12.5" style="3529" customWidth="1"/>
    <col min="13" max="13" width="13.5" style="3529" customWidth="1"/>
    <col min="14" max="15" width="20" style="3529" customWidth="1"/>
    <col min="16" max="16384" width="9" style="3529"/>
  </cols>
  <sheetData>
    <row r="1" spans="1:14">
      <c r="A1" s="3529" t="s">
        <v>3798</v>
      </c>
      <c r="B1" s="3529" t="s">
        <v>3799</v>
      </c>
      <c r="C1" s="3529" t="s">
        <v>3800</v>
      </c>
      <c r="D1" s="3529" t="s">
        <v>3801</v>
      </c>
      <c r="E1" s="3529" t="s">
        <v>3802</v>
      </c>
      <c r="F1" s="3529" t="s">
        <v>3803</v>
      </c>
      <c r="G1" s="3529" t="s">
        <v>3804</v>
      </c>
      <c r="H1" s="3529" t="s">
        <v>3805</v>
      </c>
      <c r="I1" s="3529" t="s">
        <v>3806</v>
      </c>
      <c r="J1" s="3529" t="s">
        <v>3807</v>
      </c>
      <c r="K1" s="3529" t="s">
        <v>3808</v>
      </c>
      <c r="L1" s="3529" t="s">
        <v>3809</v>
      </c>
      <c r="M1" s="3529" t="s">
        <v>3810</v>
      </c>
      <c r="N1" s="3529" t="s">
        <v>3811</v>
      </c>
    </row>
    <row r="2" spans="1:14">
      <c r="A2" s="3529" t="s">
        <v>3812</v>
      </c>
      <c r="B2" s="3529" t="s">
        <v>3813</v>
      </c>
      <c r="C2" s="3529" t="s">
        <v>3814</v>
      </c>
      <c r="D2" s="3529" t="s">
        <v>3815</v>
      </c>
      <c r="E2" s="3529">
        <v>4.4000000000000004</v>
      </c>
      <c r="F2" s="3529" t="s">
        <v>3816</v>
      </c>
      <c r="G2" s="3529">
        <v>298100</v>
      </c>
      <c r="H2" s="3529">
        <v>67829.210000000006</v>
      </c>
      <c r="I2" s="3530">
        <v>45090.000497685185</v>
      </c>
      <c r="J2" s="3529">
        <v>680000</v>
      </c>
      <c r="K2" s="3529">
        <v>22811</v>
      </c>
      <c r="L2" s="3529">
        <v>6683.45</v>
      </c>
      <c r="M2" s="3529">
        <v>0</v>
      </c>
      <c r="N2" s="3529" t="s">
        <v>3817</v>
      </c>
    </row>
    <row r="3" spans="1:14">
      <c r="A3" s="3529" t="s">
        <v>3818</v>
      </c>
      <c r="B3" s="3529" t="s">
        <v>3813</v>
      </c>
      <c r="C3" s="3529" t="s">
        <v>3814</v>
      </c>
      <c r="D3" s="3529" t="s">
        <v>3815</v>
      </c>
      <c r="E3" s="3529">
        <v>6.33</v>
      </c>
      <c r="F3" s="3529" t="s">
        <v>3820</v>
      </c>
      <c r="G3" s="3529">
        <v>80000</v>
      </c>
      <c r="H3" s="3529">
        <v>12629.88</v>
      </c>
      <c r="I3" s="3530">
        <v>44798.000497685185</v>
      </c>
      <c r="J3" s="3529">
        <v>166000</v>
      </c>
      <c r="K3" s="3529">
        <v>20750</v>
      </c>
      <c r="L3" s="3529">
        <v>8762.2900000000009</v>
      </c>
      <c r="M3" s="3529">
        <v>0</v>
      </c>
      <c r="N3" s="3529" t="s">
        <v>3821</v>
      </c>
    </row>
    <row r="4" spans="1:14">
      <c r="A4" s="3529" t="s">
        <v>3853</v>
      </c>
      <c r="B4" s="3529" t="s">
        <v>3854</v>
      </c>
      <c r="C4" s="3529" t="s">
        <v>3855</v>
      </c>
      <c r="D4" s="3529" t="s">
        <v>3815</v>
      </c>
      <c r="E4" s="3529">
        <v>2.2000000000000002</v>
      </c>
      <c r="F4" s="3529" t="s">
        <v>3823</v>
      </c>
      <c r="G4" s="3529">
        <v>109781.19</v>
      </c>
      <c r="H4" s="3529">
        <v>49900.54</v>
      </c>
      <c r="I4" s="3530">
        <v>45141</v>
      </c>
      <c r="J4" s="3529">
        <v>227000</v>
      </c>
      <c r="K4" s="3529">
        <v>20677</v>
      </c>
      <c r="L4" s="3529">
        <v>3032.7</v>
      </c>
      <c r="M4" s="3529">
        <v>0</v>
      </c>
      <c r="N4" s="3529" t="s">
        <v>3856</v>
      </c>
    </row>
    <row r="7" spans="1:14">
      <c r="A7" s="3529" t="s">
        <v>3798</v>
      </c>
      <c r="B7" s="3529" t="s">
        <v>3799</v>
      </c>
      <c r="C7" s="3529" t="s">
        <v>3800</v>
      </c>
      <c r="D7" s="3529" t="s">
        <v>3801</v>
      </c>
      <c r="E7" s="3529" t="s">
        <v>3802</v>
      </c>
      <c r="F7" s="3529" t="s">
        <v>3803</v>
      </c>
      <c r="G7" s="3529" t="s">
        <v>3804</v>
      </c>
      <c r="H7" s="3529" t="s">
        <v>3805</v>
      </c>
      <c r="I7" s="3529" t="s">
        <v>3806</v>
      </c>
      <c r="J7" s="3529" t="s">
        <v>3807</v>
      </c>
      <c r="K7" s="3529" t="s">
        <v>3808</v>
      </c>
      <c r="L7" s="3529" t="s">
        <v>3809</v>
      </c>
      <c r="M7" s="3529" t="s">
        <v>3810</v>
      </c>
      <c r="N7" s="3529" t="s">
        <v>3811</v>
      </c>
    </row>
    <row r="8" spans="1:14">
      <c r="A8" s="3529" t="s">
        <v>3812</v>
      </c>
      <c r="B8" s="3529" t="s">
        <v>3813</v>
      </c>
      <c r="C8" s="3529" t="s">
        <v>3814</v>
      </c>
      <c r="D8" s="3529" t="s">
        <v>3815</v>
      </c>
      <c r="E8" s="3529">
        <v>4.4000000000000004</v>
      </c>
      <c r="F8" s="3529" t="s">
        <v>3816</v>
      </c>
      <c r="G8" s="3529">
        <v>298100</v>
      </c>
      <c r="H8" s="3529">
        <v>67829.210000000006</v>
      </c>
      <c r="I8" s="3530">
        <v>45090.000497685185</v>
      </c>
      <c r="J8" s="3529">
        <v>680000</v>
      </c>
      <c r="K8" s="3529">
        <v>22811</v>
      </c>
      <c r="L8" s="3529">
        <v>6683.45</v>
      </c>
      <c r="M8" s="3529">
        <v>0</v>
      </c>
      <c r="N8" s="3529" t="s">
        <v>3817</v>
      </c>
    </row>
    <row r="9" spans="1:14">
      <c r="A9" s="3529" t="s">
        <v>3818</v>
      </c>
      <c r="B9" s="3529" t="s">
        <v>3813</v>
      </c>
      <c r="C9" s="3529" t="s">
        <v>3814</v>
      </c>
      <c r="D9" s="3529" t="s">
        <v>3815</v>
      </c>
      <c r="E9" s="3529" t="s">
        <v>3819</v>
      </c>
      <c r="F9" s="3529" t="s">
        <v>3820</v>
      </c>
      <c r="G9" s="3529">
        <v>80000</v>
      </c>
      <c r="H9" s="3529">
        <v>12629.88</v>
      </c>
      <c r="I9" s="3530">
        <v>44798.000497685185</v>
      </c>
      <c r="J9" s="3529">
        <v>166000</v>
      </c>
      <c r="K9" s="3529">
        <v>20750</v>
      </c>
      <c r="L9" s="3529">
        <v>8762.2900000000009</v>
      </c>
      <c r="M9" s="3529">
        <v>0</v>
      </c>
      <c r="N9" s="3529" t="s">
        <v>3821</v>
      </c>
    </row>
    <row r="10" spans="1:14">
      <c r="A10" s="3529" t="s">
        <v>3822</v>
      </c>
      <c r="B10" s="3529" t="s">
        <v>3813</v>
      </c>
      <c r="C10" s="3529" t="s">
        <v>3814</v>
      </c>
      <c r="D10" s="3529" t="s">
        <v>3815</v>
      </c>
      <c r="E10" s="3529">
        <v>3.04</v>
      </c>
      <c r="F10" s="3529" t="s">
        <v>3823</v>
      </c>
      <c r="G10" s="3529">
        <v>120000</v>
      </c>
      <c r="H10" s="3529">
        <v>39410.74</v>
      </c>
      <c r="I10" s="3530">
        <v>43287.000497685185</v>
      </c>
      <c r="J10" s="3529">
        <v>318758</v>
      </c>
      <c r="K10" s="3529">
        <v>26563</v>
      </c>
      <c r="L10" s="3529">
        <v>5392.07</v>
      </c>
      <c r="M10" s="3529">
        <v>0</v>
      </c>
      <c r="N10" s="3529" t="s">
        <v>3824</v>
      </c>
    </row>
    <row r="11" spans="1:14">
      <c r="A11" s="3529" t="s">
        <v>3825</v>
      </c>
      <c r="B11" s="3529" t="s">
        <v>3813</v>
      </c>
      <c r="C11" s="3529" t="s">
        <v>3814</v>
      </c>
      <c r="D11" s="3529" t="s">
        <v>3815</v>
      </c>
      <c r="E11" s="3529">
        <v>7.45</v>
      </c>
      <c r="F11" s="3529" t="s">
        <v>3820</v>
      </c>
      <c r="G11" s="3529">
        <v>105000</v>
      </c>
      <c r="H11" s="3529">
        <v>14089.17</v>
      </c>
      <c r="I11" s="3530">
        <v>43053.000497685185</v>
      </c>
      <c r="J11" s="3529">
        <v>355000</v>
      </c>
      <c r="K11" s="3529">
        <v>33810</v>
      </c>
      <c r="L11" s="3529">
        <v>16797.77</v>
      </c>
      <c r="M11" s="3529">
        <v>0.40869999999999995</v>
      </c>
      <c r="N11" s="3529" t="s">
        <v>3826</v>
      </c>
    </row>
    <row r="12" spans="1:14">
      <c r="A12" s="3529" t="s">
        <v>3827</v>
      </c>
      <c r="B12" s="3529" t="s">
        <v>3813</v>
      </c>
      <c r="C12" s="3529" t="s">
        <v>3814</v>
      </c>
      <c r="D12" s="3529" t="s">
        <v>3815</v>
      </c>
      <c r="E12" s="3529">
        <v>5.8</v>
      </c>
      <c r="F12" s="3529" t="s">
        <v>3823</v>
      </c>
      <c r="G12" s="3529">
        <v>160000</v>
      </c>
      <c r="H12" s="3529">
        <v>27295.08</v>
      </c>
      <c r="I12" s="3530">
        <v>42873.000497685185</v>
      </c>
      <c r="J12" s="3529">
        <v>434000</v>
      </c>
      <c r="K12" s="3529">
        <v>27125</v>
      </c>
      <c r="L12" s="3529">
        <v>10600.2</v>
      </c>
      <c r="M12" s="3529">
        <v>4.5999999999999999E-3</v>
      </c>
      <c r="N12" s="3529" t="s">
        <v>3828</v>
      </c>
    </row>
    <row r="13" spans="1:14">
      <c r="A13" s="3529" t="s">
        <v>3829</v>
      </c>
      <c r="B13" s="3529" t="s">
        <v>3813</v>
      </c>
      <c r="C13" s="3529" t="s">
        <v>3830</v>
      </c>
      <c r="D13" s="3529" t="s">
        <v>3815</v>
      </c>
      <c r="E13" s="3529">
        <v>4</v>
      </c>
      <c r="F13" s="3529" t="s">
        <v>3820</v>
      </c>
      <c r="G13" s="3529">
        <v>59153</v>
      </c>
      <c r="H13" s="3529">
        <v>14788.3</v>
      </c>
      <c r="I13" s="3530">
        <v>42298.000497685185</v>
      </c>
      <c r="J13" s="3529">
        <v>176000</v>
      </c>
      <c r="K13" s="3529">
        <v>29753</v>
      </c>
      <c r="L13" s="3529">
        <v>7934.2</v>
      </c>
      <c r="M13" s="3529">
        <v>1.4615</v>
      </c>
      <c r="N13" s="3529" t="s">
        <v>3831</v>
      </c>
    </row>
    <row r="14" spans="1:14">
      <c r="A14" s="3529" t="s">
        <v>3832</v>
      </c>
      <c r="B14" s="3529" t="s">
        <v>3813</v>
      </c>
      <c r="C14" s="3529" t="s">
        <v>3830</v>
      </c>
      <c r="D14" s="3529" t="s">
        <v>3815</v>
      </c>
      <c r="E14" s="3529">
        <v>4</v>
      </c>
      <c r="F14" s="3529" t="s">
        <v>3820</v>
      </c>
      <c r="G14" s="3529">
        <v>118000</v>
      </c>
      <c r="H14" s="3529">
        <v>29500</v>
      </c>
      <c r="I14" s="3530">
        <v>42298.000497685185</v>
      </c>
      <c r="J14" s="3529">
        <v>342000</v>
      </c>
      <c r="K14" s="3529">
        <v>28983</v>
      </c>
      <c r="L14" s="3529">
        <v>7728.81</v>
      </c>
      <c r="M14" s="3529">
        <v>1.4084999999999999</v>
      </c>
      <c r="N14" s="3529" t="s">
        <v>3831</v>
      </c>
    </row>
    <row r="15" spans="1:14">
      <c r="A15" s="3529" t="s">
        <v>3833</v>
      </c>
      <c r="B15" s="3529" t="s">
        <v>3813</v>
      </c>
      <c r="C15" s="3529" t="s">
        <v>3830</v>
      </c>
      <c r="D15" s="3529" t="s">
        <v>3815</v>
      </c>
      <c r="E15" s="3529">
        <v>4</v>
      </c>
      <c r="F15" s="3529" t="s">
        <v>3820</v>
      </c>
      <c r="G15" s="3529">
        <v>60357</v>
      </c>
      <c r="H15" s="3529">
        <v>15089.35</v>
      </c>
      <c r="I15" s="3530">
        <v>42297.000497685185</v>
      </c>
      <c r="J15" s="3529">
        <v>110000</v>
      </c>
      <c r="K15" s="3529">
        <v>18225</v>
      </c>
      <c r="L15" s="3529">
        <v>4859.9399999999996</v>
      </c>
      <c r="M15" s="3529">
        <v>0.54930000000000001</v>
      </c>
      <c r="N15" s="3529" t="s">
        <v>3834</v>
      </c>
    </row>
    <row r="16" spans="1:14">
      <c r="A16" s="3529" t="s">
        <v>3835</v>
      </c>
      <c r="B16" s="3529" t="s">
        <v>3813</v>
      </c>
      <c r="C16" s="3529" t="s">
        <v>3830</v>
      </c>
      <c r="D16" s="3529" t="s">
        <v>3815</v>
      </c>
      <c r="E16" s="3529">
        <v>4</v>
      </c>
      <c r="F16" s="3529" t="s">
        <v>3820</v>
      </c>
      <c r="G16" s="3529">
        <v>110000</v>
      </c>
      <c r="H16" s="3529">
        <v>27500</v>
      </c>
      <c r="I16" s="3530">
        <v>42200.000497685185</v>
      </c>
      <c r="J16" s="3529">
        <v>176000</v>
      </c>
      <c r="K16" s="3529">
        <v>16000</v>
      </c>
      <c r="L16" s="3529">
        <v>4266.67</v>
      </c>
      <c r="M16" s="3529">
        <v>0.36430000000000001</v>
      </c>
      <c r="N16" s="3529" t="s">
        <v>3836</v>
      </c>
    </row>
    <row r="17" spans="1:14">
      <c r="A17" s="3529" t="s">
        <v>3837</v>
      </c>
      <c r="B17" s="3529" t="s">
        <v>3813</v>
      </c>
      <c r="C17" s="3529" t="s">
        <v>3814</v>
      </c>
      <c r="D17" s="3529" t="s">
        <v>3815</v>
      </c>
      <c r="E17" s="3529">
        <v>9.4</v>
      </c>
      <c r="F17" s="3529" t="s">
        <v>3838</v>
      </c>
      <c r="G17" s="3529">
        <v>336000</v>
      </c>
      <c r="H17" s="3529">
        <v>35708.800000000003</v>
      </c>
      <c r="I17" s="3530">
        <v>42121.000497685185</v>
      </c>
      <c r="J17" s="3529">
        <v>504000</v>
      </c>
      <c r="K17" s="3529">
        <v>15000</v>
      </c>
      <c r="L17" s="3529">
        <v>9409.4500000000007</v>
      </c>
      <c r="M17" s="3529">
        <v>0</v>
      </c>
      <c r="N17" s="3529" t="s">
        <v>3839</v>
      </c>
    </row>
    <row r="18" spans="1:14">
      <c r="A18" s="3529" t="s">
        <v>3840</v>
      </c>
      <c r="B18" s="3529" t="s">
        <v>3813</v>
      </c>
      <c r="C18" s="3529" t="s">
        <v>3830</v>
      </c>
      <c r="D18" s="3529" t="s">
        <v>3815</v>
      </c>
      <c r="E18" s="3529">
        <v>4</v>
      </c>
      <c r="F18" s="3529" t="s">
        <v>3838</v>
      </c>
      <c r="G18" s="3529">
        <v>141675</v>
      </c>
      <c r="H18" s="3529">
        <v>35418.839999999997</v>
      </c>
      <c r="I18" s="3530">
        <v>42044.000497685185</v>
      </c>
      <c r="J18" s="3529">
        <v>255015</v>
      </c>
      <c r="K18" s="3529">
        <v>18000</v>
      </c>
      <c r="L18" s="3529">
        <v>4799.99</v>
      </c>
      <c r="M18" s="3529">
        <v>0</v>
      </c>
      <c r="N18" s="3529" t="s">
        <v>3841</v>
      </c>
    </row>
    <row r="19" spans="1:14">
      <c r="A19" s="3529" t="s">
        <v>3842</v>
      </c>
      <c r="B19" s="3529" t="s">
        <v>3813</v>
      </c>
      <c r="C19" s="3529" t="s">
        <v>3814</v>
      </c>
      <c r="D19" s="3529" t="s">
        <v>3815</v>
      </c>
      <c r="E19" s="3529">
        <v>6</v>
      </c>
      <c r="F19" s="3529" t="s">
        <v>3823</v>
      </c>
      <c r="G19" s="3529">
        <v>120000</v>
      </c>
      <c r="H19" s="3529">
        <v>19979.490000000002</v>
      </c>
      <c r="I19" s="3530">
        <v>42020.000497685185</v>
      </c>
      <c r="J19" s="3529">
        <v>251000</v>
      </c>
      <c r="K19" s="3529">
        <v>20917</v>
      </c>
      <c r="L19" s="3529">
        <v>8375.26</v>
      </c>
      <c r="M19" s="3529">
        <v>0.39439999999999997</v>
      </c>
      <c r="N19" s="3529" t="s">
        <v>3843</v>
      </c>
    </row>
    <row r="20" spans="1:14">
      <c r="A20" s="3529" t="s">
        <v>3844</v>
      </c>
      <c r="B20" s="3529" t="s">
        <v>3813</v>
      </c>
      <c r="C20" s="3529" t="s">
        <v>3845</v>
      </c>
      <c r="D20" s="3529" t="s">
        <v>3815</v>
      </c>
      <c r="E20" s="3529">
        <v>2.2599999999999998</v>
      </c>
      <c r="F20" s="3529" t="s">
        <v>3846</v>
      </c>
      <c r="G20" s="3529">
        <v>45275</v>
      </c>
      <c r="H20" s="3529">
        <v>20070.2</v>
      </c>
      <c r="I20" s="3530">
        <v>42003.000497685185</v>
      </c>
      <c r="J20" s="3529">
        <v>55000</v>
      </c>
      <c r="K20" s="3529">
        <v>12148</v>
      </c>
      <c r="L20" s="3529">
        <v>1826.92</v>
      </c>
      <c r="M20" s="3529">
        <v>0</v>
      </c>
      <c r="N20" s="3529" t="s">
        <v>3847</v>
      </c>
    </row>
    <row r="21" spans="1:14">
      <c r="A21" s="3529" t="s">
        <v>3848</v>
      </c>
      <c r="B21" s="3529" t="s">
        <v>3813</v>
      </c>
      <c r="C21" s="3529" t="s">
        <v>3830</v>
      </c>
      <c r="D21" s="3529" t="s">
        <v>3815</v>
      </c>
      <c r="E21" s="3529">
        <v>4</v>
      </c>
      <c r="F21" s="3529" t="s">
        <v>3838</v>
      </c>
      <c r="G21" s="3529">
        <v>84551</v>
      </c>
      <c r="H21" s="3529">
        <v>21137.72</v>
      </c>
      <c r="I21" s="3530">
        <v>41933.000497685185</v>
      </c>
      <c r="J21" s="3529">
        <v>85000</v>
      </c>
      <c r="K21" s="3529">
        <v>10053</v>
      </c>
      <c r="L21" s="3529">
        <v>2680.83</v>
      </c>
      <c r="M21" s="3529">
        <v>0</v>
      </c>
      <c r="N21" s="3529" t="s">
        <v>3849</v>
      </c>
    </row>
    <row r="22" spans="1:14">
      <c r="A22" s="3529" t="s">
        <v>3850</v>
      </c>
      <c r="B22" s="3529" t="s">
        <v>3813</v>
      </c>
      <c r="C22" s="3529" t="s">
        <v>3830</v>
      </c>
      <c r="D22" s="3529" t="s">
        <v>3815</v>
      </c>
      <c r="E22" s="3529">
        <v>3</v>
      </c>
      <c r="F22" s="3529" t="s">
        <v>3851</v>
      </c>
      <c r="G22" s="3529">
        <v>164134</v>
      </c>
      <c r="H22" s="3529">
        <v>54711.27</v>
      </c>
      <c r="I22" s="3530">
        <v>41925.000497685185</v>
      </c>
      <c r="J22" s="3529">
        <v>258000</v>
      </c>
      <c r="K22" s="3529">
        <v>15719</v>
      </c>
      <c r="L22" s="3529">
        <v>3143.78</v>
      </c>
      <c r="M22" s="3529">
        <v>0.56359999999999999</v>
      </c>
      <c r="N22" s="3529" t="s">
        <v>3852</v>
      </c>
    </row>
    <row r="23" spans="1:14">
      <c r="A23" s="3529" t="s">
        <v>3798</v>
      </c>
      <c r="B23" s="3529" t="s">
        <v>3799</v>
      </c>
      <c r="C23" s="3529" t="s">
        <v>3800</v>
      </c>
      <c r="D23" s="3529" t="s">
        <v>3801</v>
      </c>
      <c r="E23" s="3529" t="s">
        <v>3802</v>
      </c>
      <c r="F23" s="3529" t="s">
        <v>3803</v>
      </c>
      <c r="G23" s="3529" t="s">
        <v>3804</v>
      </c>
      <c r="H23" s="3529" t="s">
        <v>3805</v>
      </c>
      <c r="I23" s="3529" t="s">
        <v>3806</v>
      </c>
      <c r="J23" s="3529" t="s">
        <v>3807</v>
      </c>
      <c r="K23" s="3529" t="s">
        <v>3808</v>
      </c>
      <c r="L23" s="3529" t="s">
        <v>3809</v>
      </c>
      <c r="M23" s="3529" t="s">
        <v>3810</v>
      </c>
      <c r="N23" s="3529" t="s">
        <v>3811</v>
      </c>
    </row>
    <row r="24" spans="1:14">
      <c r="A24" s="3529" t="s">
        <v>3853</v>
      </c>
      <c r="B24" s="3529" t="s">
        <v>3854</v>
      </c>
      <c r="C24" s="3529" t="s">
        <v>3855</v>
      </c>
      <c r="D24" s="3529" t="s">
        <v>3815</v>
      </c>
      <c r="E24" s="3529">
        <v>2.2000000000000002</v>
      </c>
      <c r="F24" s="3529" t="s">
        <v>3823</v>
      </c>
      <c r="G24" s="3529">
        <v>109781.19</v>
      </c>
      <c r="H24" s="3529">
        <v>49900.54</v>
      </c>
      <c r="I24" s="3530">
        <v>45141</v>
      </c>
      <c r="J24" s="3529">
        <v>227000</v>
      </c>
      <c r="K24" s="3529">
        <v>20677</v>
      </c>
      <c r="L24" s="3529">
        <v>3032.7</v>
      </c>
      <c r="M24" s="3529">
        <v>0</v>
      </c>
      <c r="N24" s="3529" t="s">
        <v>3856</v>
      </c>
    </row>
    <row r="25" spans="1:14">
      <c r="A25" s="3529" t="s">
        <v>3857</v>
      </c>
      <c r="B25" s="3529" t="s">
        <v>3854</v>
      </c>
      <c r="C25" s="3529" t="s">
        <v>3855</v>
      </c>
      <c r="D25" s="3529" t="s">
        <v>3815</v>
      </c>
      <c r="E25" s="3529">
        <v>2.2000000000000002</v>
      </c>
      <c r="F25" s="3529" t="s">
        <v>3823</v>
      </c>
      <c r="G25" s="3529">
        <v>72013.08</v>
      </c>
      <c r="H25" s="3529">
        <v>32733.22</v>
      </c>
      <c r="I25" s="3530">
        <v>44865</v>
      </c>
      <c r="J25" s="3529">
        <v>149000</v>
      </c>
      <c r="K25" s="3529">
        <v>20691</v>
      </c>
      <c r="L25" s="3529">
        <v>3034.63</v>
      </c>
      <c r="M25" s="3529">
        <v>0</v>
      </c>
      <c r="N25" s="3529" t="s">
        <v>3858</v>
      </c>
    </row>
    <row r="26" spans="1:14">
      <c r="A26" s="3529" t="s">
        <v>3859</v>
      </c>
      <c r="B26" s="3529" t="s">
        <v>3854</v>
      </c>
      <c r="C26" s="3529" t="s">
        <v>3855</v>
      </c>
      <c r="D26" s="3529" t="s">
        <v>3815</v>
      </c>
      <c r="E26" s="3529">
        <v>2.2000000000000002</v>
      </c>
      <c r="F26" s="3529" t="s">
        <v>3823</v>
      </c>
      <c r="G26" s="3529">
        <v>64914.41</v>
      </c>
      <c r="H26" s="3529">
        <v>29506.55</v>
      </c>
      <c r="I26" s="3530">
        <v>44865</v>
      </c>
      <c r="J26" s="3529">
        <v>135000</v>
      </c>
      <c r="K26" s="3529">
        <v>20797</v>
      </c>
      <c r="L26" s="3529">
        <v>3050.17</v>
      </c>
      <c r="M26" s="3529">
        <v>0</v>
      </c>
      <c r="N26" s="3529" t="s">
        <v>3860</v>
      </c>
    </row>
    <row r="27" spans="1:14">
      <c r="A27" s="3529" t="s">
        <v>3861</v>
      </c>
      <c r="B27" s="3529" t="s">
        <v>3854</v>
      </c>
      <c r="C27" s="3529" t="s">
        <v>3855</v>
      </c>
      <c r="D27" s="3529" t="s">
        <v>3815</v>
      </c>
      <c r="E27" s="3529">
        <v>2.2000000000000002</v>
      </c>
      <c r="F27" s="3529" t="s">
        <v>3823</v>
      </c>
      <c r="G27" s="3529">
        <v>84155.61</v>
      </c>
      <c r="H27" s="3529">
        <v>38252.550000000003</v>
      </c>
      <c r="I27" s="3530">
        <v>44495</v>
      </c>
      <c r="J27" s="3529">
        <v>175000</v>
      </c>
      <c r="K27" s="3529">
        <v>20795</v>
      </c>
      <c r="L27" s="3529">
        <v>3049.91</v>
      </c>
      <c r="M27" s="3529">
        <v>0</v>
      </c>
      <c r="N27" s="3529" t="s">
        <v>3862</v>
      </c>
    </row>
    <row r="28" spans="1:14">
      <c r="A28" s="3529" t="s">
        <v>3863</v>
      </c>
      <c r="B28" s="3529" t="s">
        <v>3854</v>
      </c>
      <c r="C28" s="3529" t="s">
        <v>3855</v>
      </c>
      <c r="D28" s="3529" t="s">
        <v>3815</v>
      </c>
      <c r="E28" s="3529">
        <v>2.2000000000000002</v>
      </c>
      <c r="F28" s="3529" t="s">
        <v>3823</v>
      </c>
      <c r="G28" s="3529">
        <v>66055.39</v>
      </c>
      <c r="H28" s="3529">
        <v>30025.18</v>
      </c>
      <c r="I28" s="3530">
        <v>44495</v>
      </c>
      <c r="J28" s="3529">
        <v>137000</v>
      </c>
      <c r="K28" s="3529">
        <v>20740</v>
      </c>
      <c r="L28" s="3529">
        <v>3041.89</v>
      </c>
      <c r="M28" s="3529">
        <v>0</v>
      </c>
      <c r="N28" s="3529" t="s">
        <v>3864</v>
      </c>
    </row>
    <row r="29" spans="1:14">
      <c r="A29" s="3529" t="s">
        <v>3865</v>
      </c>
      <c r="B29" s="3529" t="s">
        <v>3854</v>
      </c>
      <c r="C29" s="3529" t="s">
        <v>3855</v>
      </c>
      <c r="D29" s="3529" t="s">
        <v>3815</v>
      </c>
      <c r="E29" s="3529">
        <v>2.2000000000000002</v>
      </c>
      <c r="F29" s="3529" t="s">
        <v>3823</v>
      </c>
      <c r="G29" s="3529">
        <v>55267.89</v>
      </c>
      <c r="H29" s="3529">
        <v>25121.77</v>
      </c>
      <c r="I29" s="3530">
        <v>44495</v>
      </c>
      <c r="J29" s="3529">
        <v>115000</v>
      </c>
      <c r="K29" s="3529">
        <v>20808</v>
      </c>
      <c r="L29" s="3529">
        <v>3051.8</v>
      </c>
      <c r="M29" s="3529">
        <v>0</v>
      </c>
      <c r="N29" s="3529" t="s">
        <v>3866</v>
      </c>
    </row>
    <row r="30" spans="1:14">
      <c r="A30" s="3529" t="s">
        <v>3867</v>
      </c>
      <c r="B30" s="3529" t="s">
        <v>3854</v>
      </c>
      <c r="C30" s="3529" t="s">
        <v>3868</v>
      </c>
      <c r="D30" s="3529" t="s">
        <v>3815</v>
      </c>
      <c r="E30" s="3529" t="s">
        <v>3869</v>
      </c>
      <c r="F30" s="3529" t="s">
        <v>3820</v>
      </c>
      <c r="G30" s="3529">
        <v>184800</v>
      </c>
      <c r="H30" s="3529">
        <v>51788.13</v>
      </c>
      <c r="I30" s="3530">
        <v>44167</v>
      </c>
      <c r="J30" s="3529">
        <v>579500</v>
      </c>
      <c r="K30" s="3529">
        <v>31358</v>
      </c>
      <c r="L30" s="3529">
        <v>7459.88</v>
      </c>
      <c r="M30" s="3529">
        <v>1.5800000000000002E-2</v>
      </c>
      <c r="N30" s="3529" t="s">
        <v>3870</v>
      </c>
    </row>
    <row r="31" spans="1:14">
      <c r="A31" s="3529" t="s">
        <v>3871</v>
      </c>
      <c r="B31" s="3529" t="s">
        <v>3854</v>
      </c>
      <c r="C31" s="3529" t="s">
        <v>3872</v>
      </c>
      <c r="D31" s="3529" t="s">
        <v>3815</v>
      </c>
      <c r="E31" s="3529" t="s">
        <v>3873</v>
      </c>
      <c r="F31" s="3529" t="s">
        <v>3874</v>
      </c>
      <c r="G31" s="3529">
        <v>285523</v>
      </c>
      <c r="H31" s="3529">
        <v>70601.070000000007</v>
      </c>
      <c r="I31" s="3530">
        <v>43801</v>
      </c>
      <c r="J31" s="3529">
        <v>660900</v>
      </c>
      <c r="K31" s="3529">
        <v>23147</v>
      </c>
      <c r="L31" s="3529">
        <v>6240.7</v>
      </c>
      <c r="M31" s="3529">
        <v>0</v>
      </c>
      <c r="N31" s="3529" t="s">
        <v>3875</v>
      </c>
    </row>
    <row r="32" spans="1:14">
      <c r="A32" s="3529" t="s">
        <v>3876</v>
      </c>
      <c r="B32" s="3529" t="s">
        <v>3854</v>
      </c>
      <c r="C32" s="3529" t="s">
        <v>3877</v>
      </c>
      <c r="D32" s="3529" t="s">
        <v>3815</v>
      </c>
      <c r="E32" s="3529" t="s">
        <v>3878</v>
      </c>
      <c r="F32" s="3529" t="s">
        <v>3820</v>
      </c>
      <c r="G32" s="3529">
        <v>61700.6</v>
      </c>
      <c r="H32" s="3529">
        <v>22035.93</v>
      </c>
      <c r="I32" s="3530">
        <v>43650</v>
      </c>
      <c r="J32" s="3529">
        <v>103700</v>
      </c>
      <c r="K32" s="3529">
        <v>16807</v>
      </c>
      <c r="L32" s="3529">
        <v>3137.3</v>
      </c>
      <c r="M32" s="3529">
        <v>0</v>
      </c>
      <c r="N32" s="3529" t="s">
        <v>3879</v>
      </c>
    </row>
    <row r="33" spans="1:14">
      <c r="A33" s="3529" t="s">
        <v>3880</v>
      </c>
      <c r="B33" s="3529" t="s">
        <v>3854</v>
      </c>
      <c r="C33" s="3529" t="s">
        <v>3855</v>
      </c>
      <c r="D33" s="3529" t="s">
        <v>3815</v>
      </c>
      <c r="E33" s="3529" t="s">
        <v>3881</v>
      </c>
      <c r="F33" s="3529" t="s">
        <v>3882</v>
      </c>
      <c r="G33" s="3529">
        <v>96476.82</v>
      </c>
      <c r="H33" s="3529">
        <v>32158.94</v>
      </c>
      <c r="I33" s="3530">
        <v>43613</v>
      </c>
      <c r="J33" s="3529">
        <v>263800</v>
      </c>
      <c r="K33" s="3529">
        <v>27343</v>
      </c>
      <c r="L33" s="3529">
        <v>5468.67</v>
      </c>
      <c r="M33" s="3529">
        <v>0</v>
      </c>
      <c r="N33" s="3529" t="s">
        <v>3883</v>
      </c>
    </row>
    <row r="34" spans="1:14">
      <c r="A34" s="3529" t="s">
        <v>3884</v>
      </c>
      <c r="B34" s="3529" t="s">
        <v>3854</v>
      </c>
      <c r="C34" s="3529" t="s">
        <v>3868</v>
      </c>
      <c r="D34" s="3529" t="s">
        <v>3815</v>
      </c>
      <c r="E34" s="3529">
        <v>5.7</v>
      </c>
      <c r="F34" s="3529" t="s">
        <v>3820</v>
      </c>
      <c r="G34" s="3529">
        <v>86800</v>
      </c>
      <c r="H34" s="3529">
        <v>15240.2</v>
      </c>
      <c r="I34" s="3530">
        <v>43055</v>
      </c>
      <c r="J34" s="3529">
        <v>242500</v>
      </c>
      <c r="K34" s="3529">
        <v>27938</v>
      </c>
      <c r="L34" s="3529">
        <v>10607.91</v>
      </c>
      <c r="M34" s="3529">
        <v>2.1100000000000001E-2</v>
      </c>
      <c r="N34" s="3529" t="s">
        <v>3885</v>
      </c>
    </row>
    <row r="35" spans="1:14">
      <c r="A35" s="3529" t="s">
        <v>3886</v>
      </c>
      <c r="B35" s="3529" t="s">
        <v>3854</v>
      </c>
      <c r="C35" s="3529" t="s">
        <v>3855</v>
      </c>
      <c r="D35" s="3529" t="s">
        <v>3815</v>
      </c>
      <c r="E35" s="3529">
        <v>3.5</v>
      </c>
      <c r="F35" s="3529" t="s">
        <v>3887</v>
      </c>
      <c r="G35" s="3529">
        <v>46644</v>
      </c>
      <c r="H35" s="3529">
        <v>13326.99</v>
      </c>
      <c r="I35" s="3530">
        <v>42523</v>
      </c>
      <c r="J35" s="3529">
        <v>141000</v>
      </c>
      <c r="K35" s="3529">
        <v>30229</v>
      </c>
      <c r="L35" s="3529">
        <v>7053.36</v>
      </c>
      <c r="M35" s="3529">
        <v>1.0734999999999999</v>
      </c>
      <c r="N35" s="3529" t="s">
        <v>3888</v>
      </c>
    </row>
    <row r="36" spans="1:14">
      <c r="A36" s="3529" t="s">
        <v>3889</v>
      </c>
      <c r="B36" s="3529" t="s">
        <v>3854</v>
      </c>
      <c r="C36" s="3529" t="s">
        <v>3855</v>
      </c>
      <c r="D36" s="3529" t="s">
        <v>3815</v>
      </c>
      <c r="E36" s="3529">
        <v>3</v>
      </c>
      <c r="F36" s="3529" t="s">
        <v>3887</v>
      </c>
      <c r="G36" s="3529">
        <v>52889</v>
      </c>
      <c r="H36" s="3529">
        <v>17629.740000000002</v>
      </c>
      <c r="I36" s="3530">
        <v>42305</v>
      </c>
      <c r="J36" s="3529">
        <v>64200</v>
      </c>
      <c r="K36" s="3529">
        <v>12139</v>
      </c>
      <c r="L36" s="3529">
        <v>2427.7199999999998</v>
      </c>
      <c r="M36" s="3529">
        <v>1.0999999999999999E-2</v>
      </c>
      <c r="N36" s="3529" t="s">
        <v>3890</v>
      </c>
    </row>
    <row r="37" spans="1:14">
      <c r="A37" s="3529" t="s">
        <v>3891</v>
      </c>
      <c r="B37" s="3529" t="s">
        <v>3854</v>
      </c>
      <c r="C37" s="3529" t="s">
        <v>3855</v>
      </c>
      <c r="D37" s="3529" t="s">
        <v>3815</v>
      </c>
      <c r="E37" s="3529">
        <v>3</v>
      </c>
      <c r="F37" s="3529" t="s">
        <v>3892</v>
      </c>
      <c r="G37" s="3529">
        <v>62041</v>
      </c>
      <c r="H37" s="3529">
        <v>20680.23</v>
      </c>
      <c r="I37" s="3530">
        <v>42304</v>
      </c>
      <c r="J37" s="3529">
        <v>81000</v>
      </c>
      <c r="K37" s="3529">
        <v>13056</v>
      </c>
      <c r="L37" s="3529">
        <v>2611.19</v>
      </c>
      <c r="M37" s="3529">
        <v>0.08</v>
      </c>
      <c r="N37" s="3529" t="s">
        <v>3893</v>
      </c>
    </row>
    <row r="38" spans="1:14">
      <c r="A38" s="3529" t="s">
        <v>3894</v>
      </c>
      <c r="B38" s="3529" t="s">
        <v>3854</v>
      </c>
      <c r="C38" s="3529" t="s">
        <v>3855</v>
      </c>
      <c r="D38" s="3529" t="s">
        <v>3815</v>
      </c>
      <c r="E38" s="3529">
        <v>2.5</v>
      </c>
      <c r="F38" s="3529" t="s">
        <v>3887</v>
      </c>
      <c r="G38" s="3529">
        <v>149376</v>
      </c>
      <c r="H38" s="3529">
        <v>59750.39</v>
      </c>
      <c r="I38" s="3530">
        <v>42017</v>
      </c>
      <c r="J38" s="3529">
        <v>182700</v>
      </c>
      <c r="K38" s="3529">
        <v>12231</v>
      </c>
      <c r="L38" s="3529">
        <v>2038.48</v>
      </c>
      <c r="M38" s="3529">
        <v>1.4999999999999999E-2</v>
      </c>
      <c r="N38" s="3529" t="s">
        <v>3895</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K23" sqref="K2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0"/>
      <c r="G1" s="1489"/>
      <c r="H1" s="1489"/>
      <c r="I1" s="1489"/>
      <c r="J1" s="1489"/>
      <c r="K1" s="1489"/>
      <c r="L1" s="1489"/>
      <c r="M1" s="1489"/>
      <c r="N1" s="1489"/>
      <c r="O1" s="1489"/>
      <c r="P1" s="1489"/>
      <c r="Q1" s="1489"/>
      <c r="R1" s="1489"/>
      <c r="S1" s="1489"/>
    </row>
    <row r="2" spans="1:22" ht="15.75">
      <c r="A2" s="1870" t="s">
        <v>1460</v>
      </c>
      <c r="B2" s="1871">
        <f ca="1">SUMIF(B6:B13,"&lt;&gt;#ref!",B6:B13)</f>
        <v>209217</v>
      </c>
      <c r="C2" s="1872" t="s">
        <v>1649</v>
      </c>
      <c r="D2" s="1873" t="s">
        <v>1650</v>
      </c>
      <c r="E2" s="2600">
        <f>SUM(E6:E13)</f>
        <v>103889.93</v>
      </c>
      <c r="F2" s="2700"/>
      <c r="G2" s="1489"/>
      <c r="H2" s="1489"/>
      <c r="I2" s="1489"/>
      <c r="J2" s="1489"/>
      <c r="K2" s="1489"/>
      <c r="L2" s="1489"/>
      <c r="M2" s="1489"/>
      <c r="N2" s="1489"/>
      <c r="O2" s="1489"/>
      <c r="P2" s="1489"/>
      <c r="Q2" s="1489"/>
      <c r="R2" s="1489"/>
      <c r="S2" s="1489"/>
    </row>
    <row r="3" spans="1:22" ht="15.75">
      <c r="A3" s="1870" t="s">
        <v>686</v>
      </c>
      <c r="B3" s="2594">
        <f ca="1">ROUND(B2*10000/E2,0)</f>
        <v>20138</v>
      </c>
      <c r="C3" s="1872" t="s">
        <v>1657</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1651</v>
      </c>
      <c r="B5" s="3792" t="s">
        <v>1652</v>
      </c>
      <c r="C5" s="3793"/>
      <c r="D5" s="2701"/>
      <c r="E5" s="1874" t="s">
        <v>1653</v>
      </c>
      <c r="F5" s="1875" t="s">
        <v>1654</v>
      </c>
      <c r="G5" s="1489"/>
      <c r="H5" s="1489"/>
      <c r="I5" s="1489"/>
      <c r="J5" s="1489"/>
      <c r="K5" s="1489"/>
      <c r="L5" s="1489"/>
      <c r="M5" s="1489"/>
      <c r="N5" s="1489"/>
      <c r="O5" s="1489"/>
      <c r="P5" s="1489"/>
      <c r="Q5" s="1489"/>
      <c r="R5" s="1489"/>
      <c r="S5" s="1489"/>
    </row>
    <row r="6" spans="1:22">
      <c r="A6" s="2597" t="str">
        <f>'数据-取费表'!AN6</f>
        <v>收益法</v>
      </c>
      <c r="B6" s="2595">
        <f ca="1">IF(F6="是",'数据-取费表'!AO6,0)</f>
        <v>201903</v>
      </c>
      <c r="C6" s="1872" t="s">
        <v>1649</v>
      </c>
      <c r="D6" s="2702"/>
      <c r="E6" s="2599">
        <f>IF(OR(A6=0,F6="否"),0,'数据-取费表'!K6+'数据-取费表'!S6)</f>
        <v>92013.62</v>
      </c>
      <c r="F6" s="1876" t="s">
        <v>1655</v>
      </c>
      <c r="G6" s="1489"/>
      <c r="H6" s="1489"/>
      <c r="I6" s="1489"/>
      <c r="J6" s="1489"/>
      <c r="K6" s="1489"/>
      <c r="L6" s="1489"/>
      <c r="M6" s="1489"/>
      <c r="N6" s="1489"/>
      <c r="O6" s="1489"/>
      <c r="P6" s="1489"/>
      <c r="Q6" s="1489"/>
      <c r="R6" s="1489"/>
      <c r="S6" s="1489"/>
    </row>
    <row r="7" spans="1:22">
      <c r="A7" s="2597" t="str">
        <f>'数据-取费表'!AN7</f>
        <v>收益法-车库</v>
      </c>
      <c r="B7" s="2595">
        <f ca="1">IF(F7="是",'数据-取费表'!AO7,0)</f>
        <v>7314</v>
      </c>
      <c r="C7" s="1872" t="s">
        <v>1649</v>
      </c>
      <c r="D7" s="2702"/>
      <c r="E7" s="2599">
        <f>IF(OR(A7=0,F7="否"),0,'数据-取费表'!K7+'数据-取费表'!S7)</f>
        <v>11876.310000000001</v>
      </c>
      <c r="F7" s="1876" t="s">
        <v>1655</v>
      </c>
      <c r="G7" s="1489"/>
      <c r="H7" s="1489"/>
      <c r="I7" s="1489"/>
      <c r="J7" s="1489"/>
      <c r="K7" s="1489"/>
      <c r="L7" s="1489"/>
      <c r="M7" s="1489"/>
      <c r="N7" s="1489"/>
      <c r="O7" s="1489"/>
      <c r="P7" s="1489"/>
      <c r="Q7" s="1489"/>
      <c r="R7" s="1489"/>
      <c r="S7" s="1489"/>
    </row>
    <row r="8" spans="1:22">
      <c r="A8" s="2597">
        <f>'数据-取费表'!AN8</f>
        <v>0</v>
      </c>
      <c r="B8" s="2595">
        <f>IF(F8="是",'数据-取费表'!AO8,0)</f>
        <v>0</v>
      </c>
      <c r="C8" s="1872" t="s">
        <v>1649</v>
      </c>
      <c r="D8" s="2702"/>
      <c r="E8" s="2599">
        <f>IF(OR(A8=0,F8="否"),0,'数据-取费表'!K8+'数据-取费表'!S8)</f>
        <v>0</v>
      </c>
      <c r="F8" s="1876"/>
      <c r="G8" s="1489"/>
      <c r="H8" s="1489"/>
      <c r="I8" s="1489"/>
      <c r="J8" s="1489"/>
      <c r="K8" s="1489"/>
      <c r="L8" s="1489"/>
      <c r="M8" s="1489"/>
      <c r="N8" s="1489"/>
      <c r="O8" s="1489"/>
      <c r="P8" s="1489"/>
      <c r="Q8" s="1489"/>
      <c r="R8" s="1489"/>
      <c r="S8" s="1489"/>
    </row>
    <row r="9" spans="1:22">
      <c r="A9" s="2597">
        <f>'数据-取费表'!AN9</f>
        <v>0</v>
      </c>
      <c r="B9" s="2595">
        <f>IF(F9="是",'数据-取费表'!AO9,0)</f>
        <v>0</v>
      </c>
      <c r="C9" s="1872" t="s">
        <v>1649</v>
      </c>
      <c r="D9" s="2702"/>
      <c r="E9" s="2599">
        <f>IF(OR(A9=0,F9="否"),0,'数据-取费表'!K9+'数据-取费表'!S9)</f>
        <v>0</v>
      </c>
      <c r="F9" s="1876"/>
      <c r="G9" s="1489"/>
      <c r="H9" s="1489"/>
      <c r="I9" s="1489"/>
      <c r="J9" s="1489"/>
      <c r="K9" s="1489"/>
      <c r="L9" s="1489"/>
      <c r="M9" s="1489"/>
      <c r="N9" s="1489"/>
      <c r="O9" s="1489"/>
      <c r="P9" s="1489"/>
      <c r="Q9" s="1489"/>
      <c r="R9" s="1489"/>
      <c r="S9" s="1489"/>
    </row>
    <row r="10" spans="1:22">
      <c r="A10" s="2597">
        <f>'数据-取费表'!AN10</f>
        <v>0</v>
      </c>
      <c r="B10" s="2595">
        <f>IF(F10="是",'数据-取费表'!AO10,0)</f>
        <v>0</v>
      </c>
      <c r="C10" s="1872" t="s">
        <v>1649</v>
      </c>
      <c r="D10" s="2702"/>
      <c r="E10" s="2599">
        <f>IF(OR(A10=0,F10="否"),0,'数据-取费表'!K10+'数据-取费表'!S10)</f>
        <v>0</v>
      </c>
      <c r="F10" s="1876"/>
      <c r="G10" s="1489"/>
      <c r="H10" s="1489"/>
      <c r="I10" s="1489"/>
      <c r="J10" s="1489"/>
      <c r="K10" s="1489"/>
      <c r="L10" s="1489"/>
      <c r="M10" s="1489"/>
      <c r="N10" s="1489"/>
      <c r="O10" s="1489"/>
      <c r="P10" s="1489"/>
      <c r="Q10" s="1489"/>
      <c r="R10" s="1489"/>
      <c r="S10" s="1489"/>
    </row>
    <row r="11" spans="1:22">
      <c r="A11" s="2597">
        <f>'数据-取费表'!AN11</f>
        <v>0</v>
      </c>
      <c r="B11" s="2595">
        <f>IF(F11="是",'数据-取费表'!AO11,0)</f>
        <v>0</v>
      </c>
      <c r="C11" s="1872" t="s">
        <v>1649</v>
      </c>
      <c r="D11" s="2702"/>
      <c r="E11" s="2599">
        <f>IF(OR(A11=0,F11="否"),0,'数据-取费表'!K11+'数据-取费表'!S11)</f>
        <v>0</v>
      </c>
      <c r="F11" s="1876"/>
      <c r="G11" s="1489"/>
      <c r="H11" s="1489"/>
      <c r="I11" s="1489"/>
      <c r="J11" s="1489"/>
      <c r="K11" s="1489"/>
      <c r="L11" s="1489"/>
      <c r="M11" s="1489"/>
      <c r="N11" s="1489"/>
      <c r="O11" s="1489"/>
      <c r="P11" s="1489"/>
      <c r="Q11" s="1489"/>
      <c r="R11" s="1489"/>
      <c r="S11" s="1489"/>
    </row>
    <row r="12" spans="1:22">
      <c r="A12" s="2597">
        <f>'数据-取费表'!AN12</f>
        <v>0</v>
      </c>
      <c r="B12" s="2595">
        <f>IF(F12="是",'数据-取费表'!AO12,0)</f>
        <v>0</v>
      </c>
      <c r="C12" s="1872" t="s">
        <v>1649</v>
      </c>
      <c r="D12" s="2702"/>
      <c r="E12" s="2599">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98">
        <f>'数据-取费表'!AN13</f>
        <v>0</v>
      </c>
      <c r="B13" s="2595">
        <f>IF(F13="是",'数据-取费表'!AO13,0)</f>
        <v>0</v>
      </c>
      <c r="C13" s="1877" t="s">
        <v>1649</v>
      </c>
      <c r="D13" s="2703"/>
      <c r="E13" s="2599">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18"/>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6"/>
      <c r="M2" s="2707"/>
      <c r="N2" s="2707"/>
      <c r="O2" s="270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103889.93</v>
      </c>
      <c r="E3" s="907"/>
      <c r="F3" s="1888"/>
      <c r="G3" s="907"/>
      <c r="H3" s="907"/>
      <c r="I3" s="907"/>
      <c r="J3" s="907"/>
      <c r="K3" s="1884"/>
      <c r="L3" s="2706"/>
      <c r="M3" s="2707"/>
      <c r="N3" s="2707"/>
      <c r="O3" s="2707"/>
      <c r="P3" s="1885"/>
      <c r="Q3" s="1886"/>
      <c r="R3" s="1886"/>
      <c r="S3" s="1886"/>
      <c r="T3" s="1886"/>
      <c r="U3" s="1886"/>
      <c r="V3" s="1886"/>
      <c r="W3" s="1886"/>
      <c r="X3" s="1886"/>
      <c r="Y3" s="1886"/>
      <c r="Z3" s="1886"/>
      <c r="AA3" s="1886"/>
      <c r="AB3" s="1886"/>
      <c r="AC3" s="1061"/>
    </row>
    <row r="4" spans="1:29" ht="15">
      <c r="A4" s="355" t="s">
        <v>1664</v>
      </c>
      <c r="B4" s="356"/>
      <c r="C4" s="3768" t="s">
        <v>1665</v>
      </c>
      <c r="D4" s="3769"/>
      <c r="E4" s="3770" t="s">
        <v>1666</v>
      </c>
      <c r="F4" s="3771"/>
      <c r="G4" s="3768" t="s">
        <v>1667</v>
      </c>
      <c r="H4" s="3769"/>
      <c r="I4" s="3768" t="s">
        <v>1668</v>
      </c>
      <c r="J4" s="3769"/>
      <c r="K4" s="1889" t="s">
        <v>1669</v>
      </c>
      <c r="L4" s="2708"/>
      <c r="M4" s="2709"/>
      <c r="N4" s="2709"/>
      <c r="O4" s="2709"/>
      <c r="P4" s="3772" t="s">
        <v>1670</v>
      </c>
      <c r="Q4" s="3773"/>
      <c r="R4" s="3755" t="s">
        <v>1666</v>
      </c>
      <c r="S4" s="3756"/>
      <c r="T4" s="3755" t="s">
        <v>1667</v>
      </c>
      <c r="U4" s="3756"/>
      <c r="V4" s="3780" t="s">
        <v>1668</v>
      </c>
      <c r="W4" s="3780"/>
      <c r="X4" s="1355"/>
      <c r="Y4" s="3755" t="s">
        <v>1670</v>
      </c>
      <c r="Z4" s="3756"/>
      <c r="AA4" s="3750" t="s">
        <v>1666</v>
      </c>
      <c r="AB4" s="3750" t="s">
        <v>1667</v>
      </c>
      <c r="AC4" s="3750" t="s">
        <v>1668</v>
      </c>
    </row>
    <row r="5" spans="1:29" ht="15">
      <c r="A5" s="358"/>
      <c r="B5" s="359"/>
      <c r="C5" s="3761" t="s">
        <v>1671</v>
      </c>
      <c r="D5" s="3762"/>
      <c r="E5" s="3759" t="s">
        <v>1672</v>
      </c>
      <c r="F5" s="3760"/>
      <c r="G5" s="3761" t="s">
        <v>1673</v>
      </c>
      <c r="H5" s="3762"/>
      <c r="I5" s="3761" t="s">
        <v>1674</v>
      </c>
      <c r="J5" s="3762"/>
      <c r="K5" s="1890"/>
      <c r="L5" s="2708"/>
      <c r="M5" s="2709"/>
      <c r="N5" s="2709"/>
      <c r="O5" s="2709"/>
      <c r="P5" s="3774"/>
      <c r="Q5" s="3775"/>
      <c r="R5" s="3757"/>
      <c r="S5" s="3758"/>
      <c r="T5" s="3757"/>
      <c r="U5" s="3758"/>
      <c r="V5" s="3780"/>
      <c r="W5" s="3780"/>
      <c r="X5" s="1355"/>
      <c r="Y5" s="3757"/>
      <c r="Z5" s="3758"/>
      <c r="AA5" s="3751"/>
      <c r="AB5" s="3751"/>
      <c r="AC5" s="3751"/>
    </row>
    <row r="6" spans="1:29" ht="15.75" thickBot="1">
      <c r="A6" s="360"/>
      <c r="B6" s="361"/>
      <c r="C6" s="3763" t="s">
        <v>1675</v>
      </c>
      <c r="D6" s="3764"/>
      <c r="E6" s="3765" t="s">
        <v>1675</v>
      </c>
      <c r="F6" s="3766"/>
      <c r="G6" s="3763" t="s">
        <v>1675</v>
      </c>
      <c r="H6" s="3764"/>
      <c r="I6" s="3763" t="s">
        <v>1675</v>
      </c>
      <c r="J6" s="3764"/>
      <c r="K6" s="1890" t="s">
        <v>1676</v>
      </c>
      <c r="L6" s="2708"/>
      <c r="M6" s="2709"/>
      <c r="N6" s="2709"/>
      <c r="O6" s="2709"/>
      <c r="P6" s="3776"/>
      <c r="Q6" s="3777"/>
      <c r="R6" s="3757"/>
      <c r="S6" s="3758"/>
      <c r="T6" s="3778"/>
      <c r="U6" s="3779"/>
      <c r="V6" s="3780"/>
      <c r="W6" s="3780"/>
      <c r="X6" s="1355"/>
      <c r="Y6" s="3778"/>
      <c r="Z6" s="3779"/>
      <c r="AA6" s="3752"/>
      <c r="AB6" s="3752"/>
      <c r="AC6" s="3752"/>
    </row>
    <row r="7" spans="1:29" s="108" customFormat="1" ht="15.75" thickBot="1">
      <c r="A7" s="362" t="s">
        <v>1677</v>
      </c>
      <c r="B7" s="363"/>
      <c r="C7" s="364">
        <f>'数据-取费表'!B2</f>
        <v>45210</v>
      </c>
      <c r="D7" s="365">
        <v>100</v>
      </c>
      <c r="E7" s="366"/>
      <c r="F7" s="367">
        <f>SUMIF(58:58,YEAR(E7)&amp;"-"&amp;MONTH(E7),59:59)</f>
        <v>0</v>
      </c>
      <c r="G7" s="366"/>
      <c r="H7" s="365">
        <f>SUMIF(58:58,YEAR(G7)&amp;"-"&amp;MONTH(G7),59:59)</f>
        <v>0</v>
      </c>
      <c r="I7" s="366"/>
      <c r="J7" s="365">
        <f>SUMIF(58:58,YEAR(I7)&amp;"-"&amp;MONTH(I7),59:59)</f>
        <v>0</v>
      </c>
      <c r="K7" s="1891"/>
      <c r="L7" s="2710"/>
      <c r="M7" s="2711"/>
      <c r="N7" s="2711"/>
      <c r="O7" s="2711"/>
      <c r="P7" s="3753" t="s">
        <v>1678</v>
      </c>
      <c r="Q7" s="3781"/>
      <c r="R7" s="701" t="s">
        <v>20</v>
      </c>
      <c r="S7" s="702">
        <f t="shared" ref="S7:S15" si="0">F7</f>
        <v>0</v>
      </c>
      <c r="T7" s="701" t="s">
        <v>20</v>
      </c>
      <c r="U7" s="702">
        <f t="shared" ref="U7:U15" si="1">H7</f>
        <v>0</v>
      </c>
      <c r="V7" s="701" t="s">
        <v>20</v>
      </c>
      <c r="W7" s="702">
        <f t="shared" ref="W7:W15" si="2">J7</f>
        <v>0</v>
      </c>
      <c r="X7" s="703"/>
      <c r="Y7" s="3753" t="s">
        <v>1678</v>
      </c>
      <c r="Z7" s="3754"/>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0"/>
      <c r="M8" s="2711"/>
      <c r="N8" s="2711"/>
      <c r="O8" s="2711"/>
      <c r="P8" s="3753" t="s">
        <v>1681</v>
      </c>
      <c r="Q8" s="3754"/>
      <c r="R8" s="701" t="s">
        <v>20</v>
      </c>
      <c r="S8" s="702">
        <f t="shared" si="0"/>
        <v>100</v>
      </c>
      <c r="T8" s="701" t="s">
        <v>20</v>
      </c>
      <c r="U8" s="702">
        <f t="shared" si="1"/>
        <v>100</v>
      </c>
      <c r="V8" s="701" t="s">
        <v>20</v>
      </c>
      <c r="W8" s="702">
        <f t="shared" si="2"/>
        <v>100</v>
      </c>
      <c r="X8" s="703"/>
      <c r="Y8" s="3753" t="s">
        <v>1681</v>
      </c>
      <c r="Z8" s="375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0"/>
      <c r="M9" s="2711"/>
      <c r="N9" s="2711"/>
      <c r="O9" s="2711"/>
      <c r="P9" s="3791" t="s">
        <v>1684</v>
      </c>
      <c r="Q9" s="1343" t="str">
        <f t="shared" ref="Q9:Q15" si="6">B9</f>
        <v>用途</v>
      </c>
      <c r="R9" s="701" t="s">
        <v>14</v>
      </c>
      <c r="S9" s="702">
        <f t="shared" si="0"/>
        <v>100</v>
      </c>
      <c r="T9" s="701" t="s">
        <v>14</v>
      </c>
      <c r="U9" s="702">
        <f t="shared" si="1"/>
        <v>100</v>
      </c>
      <c r="V9" s="701" t="s">
        <v>14</v>
      </c>
      <c r="W9" s="702">
        <f t="shared" si="2"/>
        <v>100</v>
      </c>
      <c r="X9" s="703"/>
      <c r="Y9" s="3699"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7"/>
      <c r="F10" s="376">
        <f>SUMIF(65:65,E10,66:66)-SUMIF(65:65,C10,66:66)+100</f>
        <v>100</v>
      </c>
      <c r="G10" s="3426"/>
      <c r="H10" s="127">
        <f>SUMIF(65:65,G10,66:66)-SUMIF(65:65,C10,66:66)+100</f>
        <v>100</v>
      </c>
      <c r="I10" s="3426"/>
      <c r="J10" s="127">
        <f>SUMIF(65:65,I10,66:66)-SUMIF(65:65,C10,66:66)+100</f>
        <v>100</v>
      </c>
      <c r="K10" s="1891"/>
      <c r="L10" s="2712"/>
      <c r="M10" s="2713"/>
      <c r="N10" s="2713"/>
      <c r="O10" s="2713"/>
      <c r="P10" s="3791"/>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4"/>
      <c r="M11" s="2709"/>
      <c r="N11" s="2709"/>
      <c r="O11" s="2709"/>
      <c r="P11" s="3791"/>
      <c r="Q11" s="1343" t="str">
        <f t="shared" si="6"/>
        <v>容积率</v>
      </c>
      <c r="R11" s="701" t="s">
        <v>18</v>
      </c>
      <c r="S11" s="702" t="e">
        <f t="shared" si="0"/>
        <v>#N/A</v>
      </c>
      <c r="T11" s="701" t="s">
        <v>18</v>
      </c>
      <c r="U11" s="702" t="e">
        <f t="shared" si="1"/>
        <v>#N/A</v>
      </c>
      <c r="V11" s="701" t="s">
        <v>18</v>
      </c>
      <c r="W11" s="702" t="e">
        <f t="shared" si="2"/>
        <v>#N/A</v>
      </c>
      <c r="X11" s="703"/>
      <c r="Y11" s="369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0"/>
      <c r="M12" s="2711"/>
      <c r="N12" s="2711"/>
      <c r="O12" s="2711"/>
      <c r="P12" s="3791"/>
      <c r="Q12" s="1343">
        <f t="shared" si="6"/>
        <v>111</v>
      </c>
      <c r="R12" s="701" t="s">
        <v>18</v>
      </c>
      <c r="S12" s="702">
        <f t="shared" si="0"/>
        <v>100</v>
      </c>
      <c r="T12" s="701" t="s">
        <v>18</v>
      </c>
      <c r="U12" s="702">
        <f t="shared" si="1"/>
        <v>100</v>
      </c>
      <c r="V12" s="701" t="s">
        <v>18</v>
      </c>
      <c r="W12" s="702">
        <f t="shared" si="2"/>
        <v>100</v>
      </c>
      <c r="X12" s="703"/>
      <c r="Y12" s="369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5"/>
      <c r="M13" s="2709"/>
      <c r="N13" s="2709"/>
      <c r="O13" s="2709"/>
      <c r="P13" s="3791"/>
      <c r="Q13" s="1343">
        <f t="shared" si="6"/>
        <v>111</v>
      </c>
      <c r="R13" s="701" t="s">
        <v>18</v>
      </c>
      <c r="S13" s="702">
        <f t="shared" si="0"/>
        <v>100</v>
      </c>
      <c r="T13" s="701" t="s">
        <v>18</v>
      </c>
      <c r="U13" s="702">
        <f t="shared" si="1"/>
        <v>100</v>
      </c>
      <c r="V13" s="701" t="s">
        <v>18</v>
      </c>
      <c r="W13" s="702">
        <f t="shared" si="2"/>
        <v>100</v>
      </c>
      <c r="X13" s="703"/>
      <c r="Y13" s="369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5"/>
      <c r="M14" s="2709"/>
      <c r="N14" s="2709"/>
      <c r="O14" s="2709"/>
      <c r="P14" s="3791"/>
      <c r="Q14" s="1343">
        <f t="shared" si="6"/>
        <v>111</v>
      </c>
      <c r="R14" s="701" t="s">
        <v>18</v>
      </c>
      <c r="S14" s="702">
        <f t="shared" si="0"/>
        <v>100</v>
      </c>
      <c r="T14" s="701" t="s">
        <v>18</v>
      </c>
      <c r="U14" s="702">
        <f t="shared" si="1"/>
        <v>100</v>
      </c>
      <c r="V14" s="701" t="s">
        <v>18</v>
      </c>
      <c r="W14" s="702">
        <f t="shared" si="2"/>
        <v>100</v>
      </c>
      <c r="X14" s="703"/>
      <c r="Y14" s="3699"/>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5"/>
      <c r="M15" s="2709"/>
      <c r="N15" s="2709"/>
      <c r="O15" s="2709"/>
      <c r="P15" s="3800" t="s">
        <v>1689</v>
      </c>
      <c r="Q15" s="1352" t="str">
        <f t="shared" si="6"/>
        <v>居住社区成熟度</v>
      </c>
      <c r="R15" s="705" t="s">
        <v>18</v>
      </c>
      <c r="S15" s="706">
        <f t="shared" si="0"/>
        <v>100</v>
      </c>
      <c r="T15" s="705" t="s">
        <v>18</v>
      </c>
      <c r="U15" s="706">
        <f t="shared" si="1"/>
        <v>100</v>
      </c>
      <c r="V15" s="705" t="s">
        <v>18</v>
      </c>
      <c r="W15" s="706">
        <f t="shared" si="2"/>
        <v>100</v>
      </c>
      <c r="X15" s="1355"/>
      <c r="Y15" s="3782"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5"/>
      <c r="M16" s="2709"/>
      <c r="N16" s="2709"/>
      <c r="O16" s="2709"/>
      <c r="P16" s="3801"/>
      <c r="Q16" s="1352"/>
      <c r="R16" s="705"/>
      <c r="S16" s="706"/>
      <c r="T16" s="705"/>
      <c r="U16" s="706"/>
      <c r="V16" s="705"/>
      <c r="W16" s="706"/>
      <c r="X16" s="1355"/>
      <c r="Y16" s="3783"/>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5"/>
      <c r="M17" s="2709"/>
      <c r="N17" s="2709"/>
      <c r="O17" s="2709"/>
      <c r="P17" s="3801"/>
      <c r="Q17" s="1352" t="str">
        <f>B17</f>
        <v>交通便捷度</v>
      </c>
      <c r="R17" s="705" t="s">
        <v>18</v>
      </c>
      <c r="S17" s="706">
        <f>F17</f>
        <v>100</v>
      </c>
      <c r="T17" s="705" t="s">
        <v>18</v>
      </c>
      <c r="U17" s="706">
        <f>H17</f>
        <v>100</v>
      </c>
      <c r="V17" s="705" t="s">
        <v>18</v>
      </c>
      <c r="W17" s="706">
        <f>J17</f>
        <v>100</v>
      </c>
      <c r="X17" s="1355"/>
      <c r="Y17" s="37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5"/>
      <c r="M18" s="2709"/>
      <c r="N18" s="2709"/>
      <c r="O18" s="2709"/>
      <c r="P18" s="3801"/>
      <c r="Q18" s="1352"/>
      <c r="R18" s="705"/>
      <c r="S18" s="706"/>
      <c r="T18" s="705"/>
      <c r="U18" s="706"/>
      <c r="V18" s="705"/>
      <c r="W18" s="706"/>
      <c r="X18" s="1355"/>
      <c r="Y18" s="3783"/>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5"/>
      <c r="M19" s="2709"/>
      <c r="N19" s="2709"/>
      <c r="O19" s="2709"/>
      <c r="P19" s="3801"/>
      <c r="Q19" s="1352" t="str">
        <f>B19</f>
        <v>公共配套设施</v>
      </c>
      <c r="R19" s="705" t="s">
        <v>18</v>
      </c>
      <c r="S19" s="706">
        <f>F19</f>
        <v>100</v>
      </c>
      <c r="T19" s="705" t="s">
        <v>18</v>
      </c>
      <c r="U19" s="706">
        <f>H19</f>
        <v>100</v>
      </c>
      <c r="V19" s="705" t="s">
        <v>18</v>
      </c>
      <c r="W19" s="706">
        <f>J19</f>
        <v>100</v>
      </c>
      <c r="X19" s="1355"/>
      <c r="Y19" s="37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5"/>
      <c r="M20" s="2709"/>
      <c r="N20" s="2709"/>
      <c r="O20" s="2709"/>
      <c r="P20" s="3801"/>
      <c r="Q20" s="1352"/>
      <c r="R20" s="705"/>
      <c r="S20" s="706"/>
      <c r="T20" s="705"/>
      <c r="U20" s="706"/>
      <c r="V20" s="705"/>
      <c r="W20" s="706"/>
      <c r="X20" s="1355"/>
      <c r="Y20" s="3783"/>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5"/>
      <c r="M21" s="2709"/>
      <c r="N21" s="2709"/>
      <c r="O21" s="2709"/>
      <c r="P21" s="3801"/>
      <c r="Q21" s="1352" t="str">
        <f>B21</f>
        <v>基础设施水平</v>
      </c>
      <c r="R21" s="705" t="s">
        <v>14</v>
      </c>
      <c r="S21" s="706">
        <f>F21</f>
        <v>100</v>
      </c>
      <c r="T21" s="705" t="s">
        <v>14</v>
      </c>
      <c r="U21" s="706">
        <f>H21</f>
        <v>100</v>
      </c>
      <c r="V21" s="705" t="s">
        <v>14</v>
      </c>
      <c r="W21" s="706">
        <f>J21</f>
        <v>100</v>
      </c>
      <c r="X21" s="1355"/>
      <c r="Y21" s="37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5"/>
      <c r="M22" s="2709"/>
      <c r="N22" s="2709"/>
      <c r="O22" s="2709"/>
      <c r="P22" s="3801"/>
      <c r="Q22" s="1352"/>
      <c r="R22" s="705"/>
      <c r="S22" s="706"/>
      <c r="T22" s="705"/>
      <c r="U22" s="706"/>
      <c r="V22" s="705"/>
      <c r="W22" s="706"/>
      <c r="X22" s="1355"/>
      <c r="Y22" s="3783"/>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5"/>
      <c r="M23" s="2709"/>
      <c r="N23" s="2709"/>
      <c r="O23" s="2709"/>
      <c r="P23" s="3801"/>
      <c r="Q23" s="1352" t="str">
        <f>B23</f>
        <v>自然及人文环境</v>
      </c>
      <c r="R23" s="705" t="s">
        <v>18</v>
      </c>
      <c r="S23" s="706">
        <f>F23</f>
        <v>100</v>
      </c>
      <c r="T23" s="705" t="s">
        <v>18</v>
      </c>
      <c r="U23" s="706">
        <f>H23</f>
        <v>100</v>
      </c>
      <c r="V23" s="705" t="s">
        <v>18</v>
      </c>
      <c r="W23" s="706">
        <f>J23</f>
        <v>100</v>
      </c>
      <c r="X23" s="1355"/>
      <c r="Y23" s="37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5"/>
      <c r="M24" s="2709"/>
      <c r="N24" s="2709"/>
      <c r="O24" s="2709"/>
      <c r="P24" s="3801"/>
      <c r="Q24" s="1352"/>
      <c r="R24" s="705"/>
      <c r="S24" s="706"/>
      <c r="T24" s="705"/>
      <c r="U24" s="706"/>
      <c r="V24" s="705"/>
      <c r="W24" s="706"/>
      <c r="X24" s="1355"/>
      <c r="Y24" s="3783"/>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5"/>
      <c r="M25" s="2709"/>
      <c r="N25" s="2709"/>
      <c r="O25" s="2709"/>
      <c r="P25" s="38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3"/>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5"/>
      <c r="M26" s="2709"/>
      <c r="N26" s="2709"/>
      <c r="O26" s="2709"/>
      <c r="P26" s="3801"/>
      <c r="Q26" s="1352" t="str">
        <f t="shared" si="11"/>
        <v>朝向</v>
      </c>
      <c r="R26" s="705" t="s">
        <v>18</v>
      </c>
      <c r="S26" s="706">
        <f t="shared" si="12"/>
        <v>100</v>
      </c>
      <c r="T26" s="705" t="s">
        <v>18</v>
      </c>
      <c r="U26" s="706">
        <f t="shared" si="13"/>
        <v>100</v>
      </c>
      <c r="V26" s="705" t="s">
        <v>18</v>
      </c>
      <c r="W26" s="706">
        <f t="shared" si="14"/>
        <v>100</v>
      </c>
      <c r="X26" s="1355"/>
      <c r="Y26" s="37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0"/>
      <c r="M27" s="2711"/>
      <c r="N27" s="2711"/>
      <c r="O27" s="2711"/>
      <c r="P27" s="3801"/>
      <c r="Q27" s="1343">
        <f t="shared" si="11"/>
        <v>111</v>
      </c>
      <c r="R27" s="701" t="s">
        <v>18</v>
      </c>
      <c r="S27" s="702">
        <f t="shared" si="12"/>
        <v>100</v>
      </c>
      <c r="T27" s="701" t="s">
        <v>18</v>
      </c>
      <c r="U27" s="702">
        <f t="shared" si="13"/>
        <v>100</v>
      </c>
      <c r="V27" s="701" t="s">
        <v>18</v>
      </c>
      <c r="W27" s="702">
        <f t="shared" si="14"/>
        <v>100</v>
      </c>
      <c r="X27" s="703"/>
      <c r="Y27" s="37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5"/>
      <c r="M28" s="2709"/>
      <c r="N28" s="2709"/>
      <c r="O28" s="2709"/>
      <c r="P28" s="3801"/>
      <c r="Q28" s="1352">
        <f t="shared" si="11"/>
        <v>111</v>
      </c>
      <c r="R28" s="705" t="s">
        <v>18</v>
      </c>
      <c r="S28" s="706">
        <f t="shared" si="12"/>
        <v>100</v>
      </c>
      <c r="T28" s="705" t="s">
        <v>18</v>
      </c>
      <c r="U28" s="706">
        <f t="shared" si="13"/>
        <v>100</v>
      </c>
      <c r="V28" s="705" t="s">
        <v>18</v>
      </c>
      <c r="W28" s="706">
        <f t="shared" si="14"/>
        <v>100</v>
      </c>
      <c r="X28" s="1355"/>
      <c r="Y28" s="37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5"/>
      <c r="M29" s="2709"/>
      <c r="N29" s="2709"/>
      <c r="O29" s="2709"/>
      <c r="P29" s="3801"/>
      <c r="Q29" s="1352">
        <f t="shared" si="11"/>
        <v>111</v>
      </c>
      <c r="R29" s="705" t="s">
        <v>18</v>
      </c>
      <c r="S29" s="706">
        <f t="shared" si="12"/>
        <v>100</v>
      </c>
      <c r="T29" s="705" t="s">
        <v>18</v>
      </c>
      <c r="U29" s="706">
        <f t="shared" si="13"/>
        <v>100</v>
      </c>
      <c r="V29" s="705" t="s">
        <v>18</v>
      </c>
      <c r="W29" s="706">
        <f t="shared" si="14"/>
        <v>100</v>
      </c>
      <c r="X29" s="1355"/>
      <c r="Y29" s="37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5"/>
      <c r="M30" s="2709"/>
      <c r="N30" s="2709"/>
      <c r="O30" s="2709"/>
      <c r="P30" s="3801"/>
      <c r="Q30" s="1352">
        <f t="shared" si="11"/>
        <v>111</v>
      </c>
      <c r="R30" s="705" t="s">
        <v>18</v>
      </c>
      <c r="S30" s="706">
        <f t="shared" si="12"/>
        <v>100</v>
      </c>
      <c r="T30" s="705" t="s">
        <v>18</v>
      </c>
      <c r="U30" s="706">
        <f t="shared" si="13"/>
        <v>100</v>
      </c>
      <c r="V30" s="705" t="s">
        <v>18</v>
      </c>
      <c r="W30" s="706">
        <f t="shared" si="14"/>
        <v>100</v>
      </c>
      <c r="X30" s="1355"/>
      <c r="Y30" s="37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5"/>
      <c r="M31" s="2709"/>
      <c r="N31" s="2709"/>
      <c r="O31" s="2709"/>
      <c r="P31" s="3801"/>
      <c r="Q31" s="1352">
        <f t="shared" si="11"/>
        <v>111</v>
      </c>
      <c r="R31" s="705" t="s">
        <v>18</v>
      </c>
      <c r="S31" s="706">
        <f t="shared" si="12"/>
        <v>100</v>
      </c>
      <c r="T31" s="705" t="s">
        <v>18</v>
      </c>
      <c r="U31" s="706">
        <f t="shared" si="13"/>
        <v>100</v>
      </c>
      <c r="V31" s="705" t="s">
        <v>18</v>
      </c>
      <c r="W31" s="706">
        <f t="shared" si="14"/>
        <v>100</v>
      </c>
      <c r="X31" s="1355"/>
      <c r="Y31" s="3783"/>
      <c r="Z31" s="1356">
        <f t="shared" si="18"/>
        <v>111</v>
      </c>
      <c r="AA31" s="1353">
        <f t="shared" si="15"/>
        <v>1</v>
      </c>
      <c r="AB31" s="1353">
        <f t="shared" si="16"/>
        <v>1</v>
      </c>
      <c r="AC31" s="1353">
        <f t="shared" si="17"/>
        <v>1</v>
      </c>
    </row>
    <row r="32" spans="1:29" ht="15">
      <c r="A32" s="391" t="s">
        <v>1692</v>
      </c>
      <c r="B32" s="63" t="s">
        <v>1693</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5"/>
      <c r="M32" s="2709"/>
      <c r="N32" s="2709"/>
      <c r="O32" s="2709"/>
      <c r="P32" s="3796" t="s">
        <v>1694</v>
      </c>
      <c r="Q32" s="1352" t="str">
        <f t="shared" si="11"/>
        <v>建筑类型</v>
      </c>
      <c r="R32" s="705" t="s">
        <v>18</v>
      </c>
      <c r="S32" s="706">
        <f t="shared" si="12"/>
        <v>100</v>
      </c>
      <c r="T32" s="705" t="s">
        <v>18</v>
      </c>
      <c r="U32" s="706">
        <f t="shared" si="13"/>
        <v>100</v>
      </c>
      <c r="V32" s="705" t="s">
        <v>18</v>
      </c>
      <c r="W32" s="706">
        <f t="shared" si="14"/>
        <v>100</v>
      </c>
      <c r="X32" s="1355"/>
      <c r="Y32" s="3785"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4"/>
      <c r="M33" s="2716"/>
      <c r="N33" s="2716"/>
      <c r="O33" s="2716"/>
      <c r="P33" s="3797"/>
      <c r="Q33" s="707" t="str">
        <f t="shared" si="11"/>
        <v>项目建筑规模</v>
      </c>
      <c r="R33" s="708" t="s">
        <v>18</v>
      </c>
      <c r="S33" s="709" t="e">
        <f t="shared" si="12"/>
        <v>#N/A</v>
      </c>
      <c r="T33" s="708" t="s">
        <v>18</v>
      </c>
      <c r="U33" s="709" t="e">
        <f t="shared" si="13"/>
        <v>#N/A</v>
      </c>
      <c r="V33" s="708" t="s">
        <v>18</v>
      </c>
      <c r="W33" s="709" t="e">
        <f t="shared" si="14"/>
        <v>#N/A</v>
      </c>
      <c r="X33" s="710"/>
      <c r="Y33" s="3785"/>
      <c r="Z33" s="711" t="str">
        <f t="shared" si="18"/>
        <v>项目建筑规模</v>
      </c>
      <c r="AA33" s="1353" t="e">
        <f t="shared" si="15"/>
        <v>#N/A</v>
      </c>
      <c r="AB33" s="1353" t="e">
        <f t="shared" si="16"/>
        <v>#N/A</v>
      </c>
      <c r="AC33" s="1353" t="e">
        <f t="shared" si="17"/>
        <v>#N/A</v>
      </c>
    </row>
    <row r="34" spans="1:29" ht="15">
      <c r="A34" s="423"/>
      <c r="B34" s="375" t="s">
        <v>1696</v>
      </c>
      <c r="C34" s="1911" t="s">
        <v>3402</v>
      </c>
      <c r="D34" s="386">
        <v>100</v>
      </c>
      <c r="E34" s="1911" t="s">
        <v>3402</v>
      </c>
      <c r="F34" s="412">
        <f>SUMIF(105:105,E34,106:106)-SUMIF(105:105,C34,106:106)+100</f>
        <v>100</v>
      </c>
      <c r="G34" s="1911" t="s">
        <v>3402</v>
      </c>
      <c r="H34" s="386">
        <f>SUMIF(105:105,G34,106:106)-SUMIF(105:105,C34,106:106)+100</f>
        <v>100</v>
      </c>
      <c r="I34" s="1911" t="s">
        <v>3402</v>
      </c>
      <c r="J34" s="386">
        <f>SUMIF(105:105,I34,106:106)-SUMIF(105:105,C34,106:106)+100</f>
        <v>100</v>
      </c>
      <c r="K34" s="377">
        <v>2</v>
      </c>
      <c r="L34" s="2715"/>
      <c r="M34" s="2709"/>
      <c r="N34" s="2709"/>
      <c r="O34" s="2709"/>
      <c r="P34" s="3797"/>
      <c r="Q34" s="1352" t="str">
        <f t="shared" si="11"/>
        <v>建筑结构</v>
      </c>
      <c r="R34" s="705" t="s">
        <v>18</v>
      </c>
      <c r="S34" s="706">
        <f t="shared" si="12"/>
        <v>100</v>
      </c>
      <c r="T34" s="705" t="s">
        <v>18</v>
      </c>
      <c r="U34" s="706">
        <f t="shared" si="13"/>
        <v>100</v>
      </c>
      <c r="V34" s="705" t="s">
        <v>18</v>
      </c>
      <c r="W34" s="706">
        <f t="shared" si="14"/>
        <v>100</v>
      </c>
      <c r="X34" s="1355"/>
      <c r="Y34" s="3785"/>
      <c r="Z34" s="1356" t="str">
        <f t="shared" si="18"/>
        <v>建筑结构</v>
      </c>
      <c r="AA34" s="1353">
        <f t="shared" si="15"/>
        <v>1</v>
      </c>
      <c r="AB34" s="1353">
        <f t="shared" si="16"/>
        <v>1</v>
      </c>
      <c r="AC34" s="1353">
        <f t="shared" si="17"/>
        <v>1</v>
      </c>
    </row>
    <row r="35" spans="1:29" ht="15">
      <c r="A35" s="423"/>
      <c r="B35" s="375" t="s">
        <v>1697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5"/>
      <c r="M35" s="2709"/>
      <c r="N35" s="2709"/>
      <c r="O35" s="2709"/>
      <c r="P35" s="3797"/>
      <c r="Q35" s="1352" t="str">
        <f t="shared" si="11"/>
        <v>建筑品质</v>
      </c>
      <c r="R35" s="705" t="s">
        <v>18</v>
      </c>
      <c r="S35" s="706">
        <f t="shared" si="12"/>
        <v>100</v>
      </c>
      <c r="T35" s="705" t="s">
        <v>18</v>
      </c>
      <c r="U35" s="706">
        <f t="shared" si="13"/>
        <v>100</v>
      </c>
      <c r="V35" s="705" t="s">
        <v>18</v>
      </c>
      <c r="W35" s="706">
        <f t="shared" si="14"/>
        <v>100</v>
      </c>
      <c r="X35" s="1355"/>
      <c r="Y35" s="3785"/>
      <c r="Z35" s="1356" t="str">
        <f t="shared" si="18"/>
        <v>建筑品质</v>
      </c>
      <c r="AA35" s="1353">
        <f t="shared" si="15"/>
        <v>1</v>
      </c>
      <c r="AB35" s="1353">
        <f t="shared" si="16"/>
        <v>1</v>
      </c>
      <c r="AC35" s="1353">
        <f t="shared" si="17"/>
        <v>1</v>
      </c>
    </row>
    <row r="36" spans="1:29" ht="15">
      <c r="A36" s="423"/>
      <c r="B36" s="375" t="s">
        <v>1698</v>
      </c>
      <c r="C36" s="1906" t="s">
        <v>3405</v>
      </c>
      <c r="D36" s="386">
        <v>100</v>
      </c>
      <c r="E36" s="1906" t="s">
        <v>3405</v>
      </c>
      <c r="F36" s="412">
        <f>SUMIF(109:109,E36,110:110)-SUMIF(109:109,C36,110:110)+100</f>
        <v>100</v>
      </c>
      <c r="G36" s="1906" t="s">
        <v>3405</v>
      </c>
      <c r="H36" s="386">
        <f>SUMIF(109:109,G36,110:110)-SUMIF(109:109,C36,110:110)+100</f>
        <v>100</v>
      </c>
      <c r="I36" s="1906" t="s">
        <v>3405</v>
      </c>
      <c r="J36" s="386">
        <f>SUMIF(109:109,I36,110:110)-SUMIF(109:109,C36,110:110)+100</f>
        <v>100</v>
      </c>
      <c r="K36" s="377">
        <v>2</v>
      </c>
      <c r="L36" s="2715"/>
      <c r="M36" s="2709"/>
      <c r="N36" s="2709"/>
      <c r="O36" s="2709"/>
      <c r="P36" s="3797"/>
      <c r="Q36" s="1352" t="str">
        <f t="shared" si="11"/>
        <v>公共部分装修</v>
      </c>
      <c r="R36" s="705" t="s">
        <v>18</v>
      </c>
      <c r="S36" s="706">
        <f t="shared" si="12"/>
        <v>100</v>
      </c>
      <c r="T36" s="705" t="s">
        <v>18</v>
      </c>
      <c r="U36" s="706">
        <f t="shared" si="13"/>
        <v>100</v>
      </c>
      <c r="V36" s="705" t="s">
        <v>18</v>
      </c>
      <c r="W36" s="706">
        <f t="shared" si="14"/>
        <v>100</v>
      </c>
      <c r="X36" s="1355"/>
      <c r="Y36" s="3785"/>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797"/>
      <c r="Q37" s="1343" t="str">
        <f t="shared" si="11"/>
        <v>成新度</v>
      </c>
      <c r="R37" s="701" t="s">
        <v>18</v>
      </c>
      <c r="S37" s="702" t="e">
        <f t="shared" si="12"/>
        <v>#N/A</v>
      </c>
      <c r="T37" s="701" t="s">
        <v>18</v>
      </c>
      <c r="U37" s="702" t="e">
        <f t="shared" si="13"/>
        <v>#N/A</v>
      </c>
      <c r="V37" s="701" t="s">
        <v>18</v>
      </c>
      <c r="W37" s="702" t="e">
        <f t="shared" si="14"/>
        <v>#N/A</v>
      </c>
      <c r="X37" s="703"/>
      <c r="Y37" s="3785"/>
      <c r="Z37" s="52" t="str">
        <f t="shared" si="18"/>
        <v>成新度</v>
      </c>
      <c r="AA37" s="704" t="e">
        <f t="shared" si="15"/>
        <v>#N/A</v>
      </c>
      <c r="AB37" s="704" t="e">
        <f t="shared" si="16"/>
        <v>#N/A</v>
      </c>
      <c r="AC37" s="704" t="e">
        <f t="shared" si="17"/>
        <v>#N/A</v>
      </c>
    </row>
    <row r="38" spans="1:29" ht="15">
      <c r="A38" s="423"/>
      <c r="B38" s="375" t="s">
        <v>1700</v>
      </c>
      <c r="C38" s="1906" t="s">
        <v>3406</v>
      </c>
      <c r="D38" s="386">
        <v>100</v>
      </c>
      <c r="E38" s="1906" t="s">
        <v>3406</v>
      </c>
      <c r="F38" s="412">
        <f>SUMIF(114:114,E38,115:115)-SUMIF(114:114,C38,115:115)+100</f>
        <v>100</v>
      </c>
      <c r="G38" s="1906" t="s">
        <v>3406</v>
      </c>
      <c r="H38" s="386">
        <f>SUMIF(114:114,G38,115:115)-SUMIF(114:114,C38,115:115)+100</f>
        <v>100</v>
      </c>
      <c r="I38" s="1906" t="s">
        <v>3406</v>
      </c>
      <c r="J38" s="386">
        <f>SUMIF(114:114,I38,115:115)-SUMIF(114:114,C38,115:115)+100</f>
        <v>100</v>
      </c>
      <c r="K38" s="377">
        <v>2</v>
      </c>
      <c r="L38" s="2715"/>
      <c r="M38" s="2709"/>
      <c r="N38" s="2709"/>
      <c r="O38" s="2709"/>
      <c r="P38" s="3797" t="s">
        <v>1694</v>
      </c>
      <c r="Q38" s="1352" t="str">
        <f t="shared" si="11"/>
        <v>物业管理</v>
      </c>
      <c r="R38" s="705" t="s">
        <v>18</v>
      </c>
      <c r="S38" s="706">
        <f t="shared" si="12"/>
        <v>100</v>
      </c>
      <c r="T38" s="705" t="s">
        <v>18</v>
      </c>
      <c r="U38" s="706">
        <f t="shared" si="13"/>
        <v>100</v>
      </c>
      <c r="V38" s="705" t="s">
        <v>18</v>
      </c>
      <c r="W38" s="706">
        <f t="shared" si="14"/>
        <v>100</v>
      </c>
      <c r="X38" s="1355"/>
      <c r="Y38" s="3785" t="s">
        <v>1694</v>
      </c>
      <c r="Z38" s="1356" t="str">
        <f t="shared" si="18"/>
        <v>物业管理</v>
      </c>
      <c r="AA38" s="1353">
        <f t="shared" si="15"/>
        <v>1</v>
      </c>
      <c r="AB38" s="1353">
        <f t="shared" si="16"/>
        <v>1</v>
      </c>
      <c r="AC38" s="1353">
        <f t="shared" si="17"/>
        <v>1</v>
      </c>
    </row>
    <row r="39" spans="1:29" ht="15">
      <c r="A39" s="423"/>
      <c r="B39" s="375" t="s">
        <v>1701</v>
      </c>
      <c r="C39" s="1906" t="s">
        <v>3390</v>
      </c>
      <c r="D39" s="386">
        <v>100</v>
      </c>
      <c r="E39" s="1906" t="s">
        <v>3390</v>
      </c>
      <c r="F39" s="412">
        <f>SUMIF(116:116,E39,117:117)-SUMIF(116:116,C39,117:117)+100</f>
        <v>100</v>
      </c>
      <c r="G39" s="1906" t="s">
        <v>3390</v>
      </c>
      <c r="H39" s="386">
        <f>SUMIF(116:116,G39,117:117)-SUMIF(116:116,C39,117:117)+100</f>
        <v>100</v>
      </c>
      <c r="I39" s="1906" t="s">
        <v>3390</v>
      </c>
      <c r="J39" s="386">
        <f>SUMIF(116:116,I39,117:117)-SUMIF(116:116,C39,117:117)+100</f>
        <v>100</v>
      </c>
      <c r="K39" s="377">
        <v>1</v>
      </c>
      <c r="L39" s="2715"/>
      <c r="M39" s="2709"/>
      <c r="N39" s="2709"/>
      <c r="O39" s="2709"/>
      <c r="P39" s="3797"/>
      <c r="Q39" s="1352" t="str">
        <f t="shared" si="11"/>
        <v>市政基础设施</v>
      </c>
      <c r="R39" s="705" t="s">
        <v>18</v>
      </c>
      <c r="S39" s="706">
        <f t="shared" si="12"/>
        <v>100</v>
      </c>
      <c r="T39" s="705" t="s">
        <v>18</v>
      </c>
      <c r="U39" s="706">
        <f t="shared" si="13"/>
        <v>100</v>
      </c>
      <c r="V39" s="705" t="s">
        <v>18</v>
      </c>
      <c r="W39" s="706">
        <f t="shared" si="14"/>
        <v>100</v>
      </c>
      <c r="X39" s="1355"/>
      <c r="Y39" s="3785"/>
      <c r="Z39" s="1356" t="str">
        <f t="shared" si="18"/>
        <v>市政基础设施</v>
      </c>
      <c r="AA39" s="1353">
        <f t="shared" si="15"/>
        <v>1</v>
      </c>
      <c r="AB39" s="1353">
        <f t="shared" si="16"/>
        <v>1</v>
      </c>
      <c r="AC39" s="1353">
        <f t="shared" si="17"/>
        <v>1</v>
      </c>
    </row>
    <row r="40" spans="1:29" ht="15">
      <c r="A40" s="423"/>
      <c r="B40" s="375" t="s">
        <v>1702</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5"/>
      <c r="M40" s="2709"/>
      <c r="N40" s="2709"/>
      <c r="O40" s="2709"/>
      <c r="P40" s="3797"/>
      <c r="Q40" s="1352" t="str">
        <f t="shared" si="11"/>
        <v>房型</v>
      </c>
      <c r="R40" s="705" t="s">
        <v>18</v>
      </c>
      <c r="S40" s="706">
        <f t="shared" si="12"/>
        <v>100</v>
      </c>
      <c r="T40" s="705" t="s">
        <v>18</v>
      </c>
      <c r="U40" s="706">
        <f t="shared" si="13"/>
        <v>100</v>
      </c>
      <c r="V40" s="705" t="s">
        <v>18</v>
      </c>
      <c r="W40" s="706">
        <f t="shared" si="14"/>
        <v>100</v>
      </c>
      <c r="X40" s="1355"/>
      <c r="Y40" s="3785"/>
      <c r="Z40" s="1356" t="str">
        <f t="shared" si="18"/>
        <v>房型</v>
      </c>
      <c r="AA40" s="1353">
        <f t="shared" si="15"/>
        <v>1</v>
      </c>
      <c r="AB40" s="1353">
        <f t="shared" si="16"/>
        <v>1</v>
      </c>
      <c r="AC40" s="1353">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4"/>
      <c r="M41" s="2716"/>
      <c r="N41" s="2716"/>
      <c r="O41" s="2716"/>
      <c r="P41" s="3797"/>
      <c r="Q41" s="707" t="str">
        <f t="shared" si="11"/>
        <v>单套/主力户型建筑面积</v>
      </c>
      <c r="R41" s="708" t="s">
        <v>18</v>
      </c>
      <c r="S41" s="709">
        <f t="shared" si="12"/>
        <v>100</v>
      </c>
      <c r="T41" s="708" t="s">
        <v>18</v>
      </c>
      <c r="U41" s="709">
        <f t="shared" si="13"/>
        <v>100</v>
      </c>
      <c r="V41" s="708" t="s">
        <v>18</v>
      </c>
      <c r="W41" s="709">
        <f t="shared" si="14"/>
        <v>100</v>
      </c>
      <c r="X41" s="710"/>
      <c r="Y41" s="3785"/>
      <c r="Z41" s="711" t="str">
        <f t="shared" si="18"/>
        <v>单套/主力户型建筑面积</v>
      </c>
      <c r="AA41" s="1353">
        <f t="shared" si="15"/>
        <v>1</v>
      </c>
      <c r="AB41" s="1353">
        <f t="shared" si="16"/>
        <v>1</v>
      </c>
      <c r="AC41" s="1353">
        <f t="shared" si="17"/>
        <v>1</v>
      </c>
    </row>
    <row r="42" spans="1:29" ht="15">
      <c r="A42" s="423"/>
      <c r="B42" s="375" t="s">
        <v>1704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5"/>
      <c r="M42" s="2709"/>
      <c r="N42" s="2709"/>
      <c r="O42" s="2709"/>
      <c r="P42" s="3797"/>
      <c r="Q42" s="1352" t="str">
        <f t="shared" si="11"/>
        <v>内部装修</v>
      </c>
      <c r="R42" s="705" t="s">
        <v>18</v>
      </c>
      <c r="S42" s="706">
        <f t="shared" si="12"/>
        <v>100</v>
      </c>
      <c r="T42" s="705" t="s">
        <v>18</v>
      </c>
      <c r="U42" s="706">
        <f t="shared" si="13"/>
        <v>100</v>
      </c>
      <c r="V42" s="705" t="s">
        <v>18</v>
      </c>
      <c r="W42" s="706">
        <f t="shared" si="14"/>
        <v>100</v>
      </c>
      <c r="X42" s="1355"/>
      <c r="Y42" s="3785"/>
      <c r="Z42" s="1356" t="str">
        <f t="shared" si="18"/>
        <v>内部装修</v>
      </c>
      <c r="AA42" s="1353">
        <f t="shared" si="15"/>
        <v>1</v>
      </c>
      <c r="AB42" s="1353">
        <f t="shared" si="16"/>
        <v>1</v>
      </c>
      <c r="AC42" s="1353">
        <f t="shared" si="17"/>
        <v>1</v>
      </c>
    </row>
    <row r="43" spans="1:29" ht="15">
      <c r="A43" s="423"/>
      <c r="B43" s="375" t="s">
        <v>1705</v>
      </c>
      <c r="C43" s="1906" t="s">
        <v>3386</v>
      </c>
      <c r="D43" s="386">
        <v>100</v>
      </c>
      <c r="E43" s="1906" t="s">
        <v>3386</v>
      </c>
      <c r="F43" s="412">
        <f>SUMIF(124:124,E43,125:125)-SUMIF(124:124,C43,125:125)+100</f>
        <v>100</v>
      </c>
      <c r="G43" s="1906" t="s">
        <v>3386</v>
      </c>
      <c r="H43" s="386">
        <f>SUMIF(124:124,G43,125:125)-SUMIF(124:124,C43,125:125)+100</f>
        <v>100</v>
      </c>
      <c r="I43" s="1906" t="s">
        <v>3386</v>
      </c>
      <c r="J43" s="386">
        <f>SUMIF(124:124,I43,125:125)-SUMIF(124:124,C43,125:125)+100</f>
        <v>100</v>
      </c>
      <c r="K43" s="377">
        <v>2</v>
      </c>
      <c r="L43" s="2715"/>
      <c r="M43" s="2709"/>
      <c r="N43" s="2709"/>
      <c r="O43" s="2709"/>
      <c r="P43" s="3797"/>
      <c r="Q43" s="1352" t="str">
        <f t="shared" si="11"/>
        <v>内部装修维护情况</v>
      </c>
      <c r="R43" s="705" t="s">
        <v>18</v>
      </c>
      <c r="S43" s="706">
        <f t="shared" si="12"/>
        <v>100</v>
      </c>
      <c r="T43" s="705" t="s">
        <v>18</v>
      </c>
      <c r="U43" s="706">
        <f t="shared" si="13"/>
        <v>100</v>
      </c>
      <c r="V43" s="705" t="s">
        <v>18</v>
      </c>
      <c r="W43" s="706">
        <f t="shared" si="14"/>
        <v>100</v>
      </c>
      <c r="X43" s="1355"/>
      <c r="Y43" s="378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0"/>
      <c r="M44" s="2711"/>
      <c r="N44" s="2711"/>
      <c r="O44" s="2711"/>
      <c r="P44" s="3797"/>
      <c r="Q44" s="1343">
        <f t="shared" si="11"/>
        <v>111</v>
      </c>
      <c r="R44" s="701" t="s">
        <v>18</v>
      </c>
      <c r="S44" s="702">
        <f t="shared" si="12"/>
        <v>100</v>
      </c>
      <c r="T44" s="701" t="s">
        <v>18</v>
      </c>
      <c r="U44" s="702">
        <f t="shared" si="13"/>
        <v>100</v>
      </c>
      <c r="V44" s="701" t="s">
        <v>18</v>
      </c>
      <c r="W44" s="702">
        <f t="shared" si="14"/>
        <v>100</v>
      </c>
      <c r="X44" s="703"/>
      <c r="Y44" s="37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5"/>
      <c r="M45" s="2709"/>
      <c r="N45" s="2709"/>
      <c r="O45" s="2709"/>
      <c r="P45" s="3797"/>
      <c r="Q45" s="1352">
        <f t="shared" si="11"/>
        <v>111</v>
      </c>
      <c r="R45" s="705" t="s">
        <v>18</v>
      </c>
      <c r="S45" s="706">
        <f t="shared" si="12"/>
        <v>100</v>
      </c>
      <c r="T45" s="705" t="s">
        <v>18</v>
      </c>
      <c r="U45" s="706">
        <f t="shared" si="13"/>
        <v>100</v>
      </c>
      <c r="V45" s="705" t="s">
        <v>18</v>
      </c>
      <c r="W45" s="706">
        <f t="shared" si="14"/>
        <v>100</v>
      </c>
      <c r="X45" s="1355"/>
      <c r="Y45" s="378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5"/>
      <c r="M46" s="2709"/>
      <c r="N46" s="2709"/>
      <c r="O46" s="2709"/>
      <c r="P46" s="3798"/>
      <c r="Q46" s="1352">
        <f t="shared" si="11"/>
        <v>111</v>
      </c>
      <c r="R46" s="705" t="s">
        <v>17</v>
      </c>
      <c r="S46" s="706">
        <f t="shared" si="12"/>
        <v>100</v>
      </c>
      <c r="T46" s="705" t="s">
        <v>17</v>
      </c>
      <c r="U46" s="706">
        <f t="shared" si="13"/>
        <v>100</v>
      </c>
      <c r="V46" s="705" t="s">
        <v>17</v>
      </c>
      <c r="W46" s="706">
        <f t="shared" si="14"/>
        <v>100</v>
      </c>
      <c r="X46" s="1355"/>
      <c r="Y46" s="3799"/>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2"/>
      <c r="L47" s="2717"/>
      <c r="M47" s="2718"/>
      <c r="N47" s="2709"/>
      <c r="O47" s="2718"/>
      <c r="P47" s="3767" t="str">
        <f>A47</f>
        <v>成交单价（元/平方米）</v>
      </c>
      <c r="Q47" s="3767"/>
      <c r="R47" s="3795">
        <f>E47</f>
        <v>0</v>
      </c>
      <c r="S47" s="3795"/>
      <c r="T47" s="3795">
        <f>G47</f>
        <v>0</v>
      </c>
      <c r="U47" s="3795"/>
      <c r="V47" s="3795">
        <f>I47</f>
        <v>0</v>
      </c>
      <c r="W47" s="3795"/>
      <c r="X47" s="690"/>
      <c r="Y47" s="712"/>
      <c r="Z47" s="690"/>
      <c r="AA47" s="690"/>
      <c r="AB47" s="690"/>
      <c r="AC47" s="690"/>
    </row>
    <row r="48" spans="1:29" ht="15.75" thickBot="1">
      <c r="A48" s="437" t="s">
        <v>1707</v>
      </c>
      <c r="B48" s="438"/>
      <c r="C48" s="1160" t="e">
        <f>R49</f>
        <v>#DIV/0!</v>
      </c>
      <c r="D48" s="2315" t="s">
        <v>2136</v>
      </c>
      <c r="E48" s="1161" t="e">
        <f>R48</f>
        <v>#DIV/0!</v>
      </c>
      <c r="F48" s="2316"/>
      <c r="G48" s="1160" t="e">
        <f>T48</f>
        <v>#DIV/0!</v>
      </c>
      <c r="H48" s="2316"/>
      <c r="I48" s="1161" t="e">
        <f>V48</f>
        <v>#DIV/0!</v>
      </c>
      <c r="J48" s="2316"/>
      <c r="K48" s="2317">
        <f>F48+H48+J48</f>
        <v>0</v>
      </c>
      <c r="L48" s="2717"/>
      <c r="M48" s="2718"/>
      <c r="N48" s="2718"/>
      <c r="O48" s="2718"/>
      <c r="P48" s="3767" t="str">
        <f>A48</f>
        <v>比较价值（元/平方米）</v>
      </c>
      <c r="Q48" s="3767"/>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3"/>
      <c r="L49" s="2717"/>
      <c r="M49" s="2718"/>
      <c r="N49" s="2718"/>
      <c r="O49" s="2718"/>
      <c r="P49" s="3787" t="str">
        <f>A49</f>
        <v>估价对象XX用房的比较价值（楼面单价，元/平方米）</v>
      </c>
      <c r="Q49" s="3788"/>
      <c r="R49" s="3794" t="e">
        <f>IF(F1="售价",ROUND(IF(D48="简单平均",AVERAGE(R48:V48),R48*F48+T48*H48+V48*J48),0),ROUND(IF(D48="简单平均",AVERAGE(R48:V48),R48*F48+T48*H48+V48*J48),1))</f>
        <v>#DIV/0!</v>
      </c>
      <c r="S49" s="3794"/>
      <c r="T49" s="3794"/>
      <c r="U49" s="3794"/>
      <c r="V49" s="3794"/>
      <c r="W49" s="379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41"/>
      <c r="L57" s="942"/>
      <c r="M57" s="940"/>
      <c r="N57" s="940"/>
      <c r="O57" s="940"/>
      <c r="P57" s="1916"/>
      <c r="Q57" s="453"/>
    </row>
    <row r="58" spans="1:29" s="457" customFormat="1" ht="15">
      <c r="A58" s="454" t="s">
        <v>1713</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1717</v>
      </c>
      <c r="B63" s="477" t="s">
        <v>1683</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1686</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1732</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1733</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1692</v>
      </c>
      <c r="B100" s="477" t="s">
        <v>1734</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1736</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1737</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1738</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1739</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1740</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1741</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1742</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7">
        <v>6</v>
      </c>
      <c r="C139" s="868">
        <v>96</v>
      </c>
      <c r="D139" s="1938" t="s">
        <v>1753</v>
      </c>
      <c r="E139" s="869">
        <v>100</v>
      </c>
      <c r="F139" s="870">
        <v>102.5</v>
      </c>
      <c r="G139" s="1938" t="s">
        <v>1753</v>
      </c>
      <c r="H139" s="871">
        <v>105</v>
      </c>
      <c r="I139" s="1939" t="s">
        <v>1754</v>
      </c>
      <c r="J139" s="868">
        <v>20</v>
      </c>
      <c r="K139" s="872">
        <f>C145/(J139-2)</f>
        <v>4.0555555555555553E-3</v>
      </c>
    </row>
    <row r="140" spans="1:17" ht="15">
      <c r="B140" s="873">
        <v>5</v>
      </c>
      <c r="C140" s="874">
        <v>100</v>
      </c>
      <c r="D140" s="874"/>
      <c r="E140" s="875"/>
      <c r="F140" s="876">
        <v>102</v>
      </c>
      <c r="G140" s="874"/>
      <c r="H140" s="877"/>
      <c r="I140" s="1940" t="s">
        <v>1755</v>
      </c>
      <c r="J140" s="271">
        <f>ROUNDUP((J139-1)/2,0)</f>
        <v>10</v>
      </c>
      <c r="K140" s="878">
        <v>100</v>
      </c>
    </row>
    <row r="141" spans="1:17" ht="15">
      <c r="B141" s="873">
        <v>4</v>
      </c>
      <c r="C141" s="874">
        <v>102</v>
      </c>
      <c r="D141" s="874"/>
      <c r="E141" s="875"/>
      <c r="F141" s="876">
        <v>101.5</v>
      </c>
      <c r="G141" s="874"/>
      <c r="H141" s="877"/>
      <c r="I141" s="1940" t="s">
        <v>1756</v>
      </c>
      <c r="J141" s="271">
        <v>1</v>
      </c>
      <c r="K141" s="879">
        <f>ROUND(100+(J141-J140)*K139*100,1)</f>
        <v>96.4</v>
      </c>
    </row>
    <row r="142" spans="1:17" ht="15">
      <c r="B142" s="873">
        <v>3</v>
      </c>
      <c r="C142" s="874">
        <v>103</v>
      </c>
      <c r="D142" s="874"/>
      <c r="E142" s="875"/>
      <c r="F142" s="876">
        <v>101</v>
      </c>
      <c r="G142" s="874"/>
      <c r="H142" s="877"/>
      <c r="I142" s="1940" t="s">
        <v>1757</v>
      </c>
      <c r="J142" s="271">
        <f>J139</f>
        <v>20</v>
      </c>
      <c r="K142" s="880">
        <v>95</v>
      </c>
    </row>
    <row r="143" spans="1:17" ht="15">
      <c r="B143" s="873">
        <v>2</v>
      </c>
      <c r="C143" s="874">
        <v>100</v>
      </c>
      <c r="D143" s="874"/>
      <c r="E143" s="875"/>
      <c r="F143" s="876">
        <v>100.5</v>
      </c>
      <c r="G143" s="874"/>
      <c r="H143" s="877"/>
      <c r="I143" s="1940" t="s">
        <v>1758</v>
      </c>
      <c r="J143" s="874">
        <v>15</v>
      </c>
      <c r="K143" s="879">
        <f>ROUND(100+(J143-J140)*K139*100,1)</f>
        <v>102</v>
      </c>
    </row>
    <row r="144" spans="1:17" ht="15">
      <c r="B144" s="873">
        <v>1</v>
      </c>
      <c r="C144" s="874">
        <v>98</v>
      </c>
      <c r="D144" s="1941" t="s">
        <v>1759</v>
      </c>
      <c r="E144" s="875">
        <v>102</v>
      </c>
      <c r="F144" s="881">
        <v>100</v>
      </c>
      <c r="G144" s="1941" t="s">
        <v>1759</v>
      </c>
      <c r="H144" s="877">
        <v>105</v>
      </c>
      <c r="I144" s="1940" t="s">
        <v>1758</v>
      </c>
      <c r="J144" s="874">
        <v>18</v>
      </c>
      <c r="K144" s="879">
        <f>ROUND(100+(J144-J140)*K139*100,1)</f>
        <v>103.2</v>
      </c>
    </row>
    <row r="145" spans="2:11" ht="15.75" thickBot="1">
      <c r="B145" s="1942" t="s">
        <v>1760</v>
      </c>
      <c r="C145" s="882">
        <f>ROUND(MAX(C139:C144)/MIN(C139:C144)-1,3)</f>
        <v>7.2999999999999995E-2</v>
      </c>
      <c r="D145" s="883"/>
      <c r="E145" s="883"/>
      <c r="F145" s="1943" t="s">
        <v>1761</v>
      </c>
      <c r="G145" s="1944"/>
      <c r="H145" s="1945"/>
      <c r="I145" s="1946" t="s">
        <v>1758</v>
      </c>
      <c r="J145" s="884">
        <v>8</v>
      </c>
      <c r="K145" s="885">
        <f>ROUND(100+(J145-J140)*K139*100,1)</f>
        <v>99.2</v>
      </c>
    </row>
    <row r="147" spans="2:11">
      <c r="B147" s="1927" t="s">
        <v>1762</v>
      </c>
    </row>
    <row r="148" spans="2:11">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G5" sqref="G5:H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18" t="s">
        <v>3421</v>
      </c>
      <c r="F1" s="1879" t="s">
        <v>3422</v>
      </c>
      <c r="G1" s="1235" t="s">
        <v>1765</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1460</v>
      </c>
      <c r="B2" s="1164">
        <f>IF(E1="项目模式",IF(C2="——",ROUND(C49*D3/10000,0),ROUND(C49*D3/10000,0)-D2),IF(E1="单套模式",IF(C2="——",ROUND(C49*D3/10000,4),ROUND(C49*D3/10000,4)-D2)))</f>
        <v>73533.292499999996</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7"/>
      <c r="M2" s="2728"/>
      <c r="N2" s="2728"/>
      <c r="O2" s="2728"/>
      <c r="P2" s="1950"/>
      <c r="Q2" s="912"/>
      <c r="R2" s="912"/>
      <c r="S2" s="912"/>
      <c r="T2" s="912"/>
      <c r="U2" s="912"/>
      <c r="V2" s="912"/>
      <c r="W2" s="912"/>
      <c r="X2" s="912"/>
      <c r="Y2" s="912"/>
      <c r="Z2" s="912"/>
      <c r="AA2" s="912"/>
      <c r="AB2" s="912"/>
      <c r="AC2" s="1951"/>
    </row>
    <row r="3" spans="1:29" s="352" customFormat="1" ht="28.5" customHeight="1" thickBot="1">
      <c r="A3" s="203" t="s">
        <v>1462</v>
      </c>
      <c r="B3" s="558">
        <f>IF(C2="——",C49,ROUND(B2*10000/D3,0))</f>
        <v>7078</v>
      </c>
      <c r="C3" s="354" t="s">
        <v>1766</v>
      </c>
      <c r="D3" s="353">
        <f>IF(D1="",'数据-汇总表'!E3,SUMIF('数据-汇总表'!$C19:$C33,D1,'数据-汇总表'!$E19:$E33))</f>
        <v>103889.93</v>
      </c>
      <c r="E3" s="1952"/>
      <c r="F3" s="909"/>
      <c r="G3" s="908"/>
      <c r="H3" s="908"/>
      <c r="I3" s="908"/>
      <c r="J3" s="908"/>
      <c r="K3" s="910"/>
      <c r="L3" s="2727"/>
      <c r="M3" s="2728"/>
      <c r="N3" s="2728"/>
      <c r="O3" s="2728"/>
      <c r="P3" s="1950"/>
      <c r="Q3" s="912"/>
      <c r="R3" s="912"/>
      <c r="S3" s="912"/>
      <c r="T3" s="912"/>
      <c r="U3" s="912"/>
      <c r="V3" s="912"/>
      <c r="W3" s="912"/>
      <c r="X3" s="912"/>
      <c r="Y3" s="912"/>
      <c r="Z3" s="912"/>
      <c r="AA3" s="912"/>
      <c r="AB3" s="912"/>
      <c r="AC3" s="1952"/>
    </row>
    <row r="4" spans="1:29" ht="15">
      <c r="A4" s="355" t="s">
        <v>1767</v>
      </c>
      <c r="B4" s="356"/>
      <c r="C4" s="3768" t="s">
        <v>1768</v>
      </c>
      <c r="D4" s="3769"/>
      <c r="E4" s="3770" t="s">
        <v>1769</v>
      </c>
      <c r="F4" s="3771"/>
      <c r="G4" s="3768" t="s">
        <v>1770</v>
      </c>
      <c r="H4" s="3769"/>
      <c r="I4" s="3768" t="s">
        <v>1771</v>
      </c>
      <c r="J4" s="3769"/>
      <c r="K4" s="559" t="s">
        <v>1772</v>
      </c>
      <c r="L4" s="2708"/>
      <c r="M4" s="2709"/>
      <c r="N4" s="2709"/>
      <c r="O4" s="2709"/>
      <c r="P4" s="3772" t="s">
        <v>1773</v>
      </c>
      <c r="Q4" s="3773"/>
      <c r="R4" s="3755" t="s">
        <v>1769</v>
      </c>
      <c r="S4" s="3756"/>
      <c r="T4" s="3755" t="s">
        <v>1770</v>
      </c>
      <c r="U4" s="3756"/>
      <c r="V4" s="3780" t="s">
        <v>1771</v>
      </c>
      <c r="W4" s="3780"/>
      <c r="X4" s="1355"/>
      <c r="Y4" s="3755" t="s">
        <v>1773</v>
      </c>
      <c r="Z4" s="3756"/>
      <c r="AA4" s="3750" t="s">
        <v>1769</v>
      </c>
      <c r="AB4" s="3780" t="s">
        <v>1770</v>
      </c>
      <c r="AC4" s="3750" t="s">
        <v>1771</v>
      </c>
    </row>
    <row r="5" spans="1:29" ht="15">
      <c r="A5" s="358"/>
      <c r="B5" s="359"/>
      <c r="C5" s="3761" t="s">
        <v>1671</v>
      </c>
      <c r="D5" s="3762"/>
      <c r="E5" s="3759" t="str">
        <f>案例!A2</f>
        <v>AAA</v>
      </c>
      <c r="F5" s="3760"/>
      <c r="G5" s="3761" t="str">
        <f>案例!A3</f>
        <v>BBB</v>
      </c>
      <c r="H5" s="3762"/>
      <c r="I5" s="3761" t="str">
        <f>案例!A4</f>
        <v>CCC</v>
      </c>
      <c r="J5" s="3762"/>
      <c r="K5" s="559"/>
      <c r="L5" s="2708"/>
      <c r="M5" s="2709"/>
      <c r="N5" s="2709"/>
      <c r="O5" s="2709"/>
      <c r="P5" s="3774"/>
      <c r="Q5" s="3775"/>
      <c r="R5" s="3757"/>
      <c r="S5" s="3758"/>
      <c r="T5" s="3757"/>
      <c r="U5" s="3758"/>
      <c r="V5" s="3780"/>
      <c r="W5" s="3780"/>
      <c r="X5" s="1355"/>
      <c r="Y5" s="3757"/>
      <c r="Z5" s="3758"/>
      <c r="AA5" s="3751"/>
      <c r="AB5" s="3780"/>
      <c r="AC5" s="3751"/>
    </row>
    <row r="6" spans="1:29" ht="15.75" thickBot="1">
      <c r="A6" s="360"/>
      <c r="B6" s="361"/>
      <c r="C6" s="3763" t="s">
        <v>1675</v>
      </c>
      <c r="D6" s="3764"/>
      <c r="E6" s="3765" t="s">
        <v>1675</v>
      </c>
      <c r="F6" s="3766"/>
      <c r="G6" s="3763" t="s">
        <v>1675</v>
      </c>
      <c r="H6" s="3764"/>
      <c r="I6" s="3763" t="s">
        <v>1675</v>
      </c>
      <c r="J6" s="3764"/>
      <c r="K6" s="559" t="s">
        <v>1676</v>
      </c>
      <c r="L6" s="2708"/>
      <c r="M6" s="2709"/>
      <c r="N6" s="2709"/>
      <c r="O6" s="2709"/>
      <c r="P6" s="3776"/>
      <c r="Q6" s="3777"/>
      <c r="R6" s="3757"/>
      <c r="S6" s="3758"/>
      <c r="T6" s="3778"/>
      <c r="U6" s="3779"/>
      <c r="V6" s="3780"/>
      <c r="W6" s="3780"/>
      <c r="X6" s="1355"/>
      <c r="Y6" s="3778"/>
      <c r="Z6" s="3779"/>
      <c r="AA6" s="3752"/>
      <c r="AB6" s="3780"/>
      <c r="AC6" s="3752"/>
    </row>
    <row r="7" spans="1:29" s="108" customFormat="1" ht="15.75" thickBot="1">
      <c r="A7" s="362" t="s">
        <v>1677</v>
      </c>
      <c r="B7" s="363"/>
      <c r="C7" s="364">
        <f>'数据-取费表'!B2</f>
        <v>45210</v>
      </c>
      <c r="D7" s="365">
        <v>100</v>
      </c>
      <c r="E7" s="366">
        <f>案例!B2</f>
        <v>45210</v>
      </c>
      <c r="F7" s="367">
        <f>SUMIF(58:58,YEAR(E7)&amp;"-"&amp;MONTH(E7),59:59)</f>
        <v>100</v>
      </c>
      <c r="G7" s="366">
        <f>案例!B3</f>
        <v>45210</v>
      </c>
      <c r="H7" s="365">
        <f>SUMIF(58:58,YEAR(G7)&amp;"-"&amp;MONTH(G7),59:59)</f>
        <v>100</v>
      </c>
      <c r="I7" s="366">
        <f>案例!B4</f>
        <v>45210</v>
      </c>
      <c r="J7" s="365">
        <f>SUMIF(58:58,YEAR(I7)&amp;"-"&amp;MONTH(I7),59:59)</f>
        <v>100</v>
      </c>
      <c r="K7" s="560"/>
      <c r="L7" s="2710"/>
      <c r="M7" s="2711"/>
      <c r="N7" s="2711"/>
      <c r="O7" s="2711"/>
      <c r="P7" s="3753" t="s">
        <v>1678</v>
      </c>
      <c r="Q7" s="3781"/>
      <c r="R7" s="701" t="s">
        <v>14</v>
      </c>
      <c r="S7" s="702">
        <f t="shared" ref="S7:S15" si="0">F7</f>
        <v>100</v>
      </c>
      <c r="T7" s="701" t="s">
        <v>14</v>
      </c>
      <c r="U7" s="702">
        <f t="shared" ref="U7:U15" si="1">H7</f>
        <v>100</v>
      </c>
      <c r="V7" s="701" t="s">
        <v>14</v>
      </c>
      <c r="W7" s="702">
        <f t="shared" ref="W7:W15" si="2">J7</f>
        <v>100</v>
      </c>
      <c r="X7" s="703"/>
      <c r="Y7" s="3753" t="s">
        <v>1678</v>
      </c>
      <c r="Z7" s="3754"/>
      <c r="AA7" s="704">
        <f>D7/F7</f>
        <v>1</v>
      </c>
      <c r="AB7" s="704">
        <f>D7/H7</f>
        <v>1</v>
      </c>
      <c r="AC7" s="704">
        <f>D7/J7</f>
        <v>1</v>
      </c>
    </row>
    <row r="8" spans="1:29" s="108" customFormat="1" ht="15.75" thickBot="1">
      <c r="A8" s="362" t="s">
        <v>1679</v>
      </c>
      <c r="B8" s="363"/>
      <c r="C8" s="368" t="s">
        <v>3395</v>
      </c>
      <c r="D8" s="365">
        <v>100</v>
      </c>
      <c r="E8" s="368" t="s">
        <v>3423</v>
      </c>
      <c r="F8" s="367">
        <f>SUMIF(61:61,E8,62:62)-SUMIF(61:61,C8,62:62)+100</f>
        <v>102</v>
      </c>
      <c r="G8" s="368" t="s">
        <v>3423</v>
      </c>
      <c r="H8" s="365">
        <f>SUMIF(61:61,G8,62:62)-SUMIF(61:61,C8,62:62)+100</f>
        <v>102</v>
      </c>
      <c r="I8" s="368" t="s">
        <v>3423</v>
      </c>
      <c r="J8" s="365">
        <f>SUMIF(61:61,I8,62:62)-SUMIF(61:61,C8,62:62)+100</f>
        <v>102</v>
      </c>
      <c r="K8" s="560"/>
      <c r="L8" s="2710"/>
      <c r="M8" s="2711"/>
      <c r="N8" s="2711"/>
      <c r="O8" s="2711"/>
      <c r="P8" s="3753" t="s">
        <v>1681</v>
      </c>
      <c r="Q8" s="3754"/>
      <c r="R8" s="701" t="s">
        <v>14</v>
      </c>
      <c r="S8" s="702">
        <f t="shared" si="0"/>
        <v>102</v>
      </c>
      <c r="T8" s="701" t="s">
        <v>14</v>
      </c>
      <c r="U8" s="702">
        <f t="shared" si="1"/>
        <v>102</v>
      </c>
      <c r="V8" s="701" t="s">
        <v>14</v>
      </c>
      <c r="W8" s="702">
        <f t="shared" si="2"/>
        <v>102</v>
      </c>
      <c r="X8" s="703"/>
      <c r="Y8" s="3753" t="s">
        <v>1681</v>
      </c>
      <c r="Z8" s="3754"/>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461" t="s">
        <v>3464</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791" t="s">
        <v>1684</v>
      </c>
      <c r="Q9" s="1343" t="str">
        <f t="shared" ref="Q9:Q15" si="6">B9</f>
        <v>用途</v>
      </c>
      <c r="R9" s="701" t="s">
        <v>14</v>
      </c>
      <c r="S9" s="702">
        <f t="shared" si="0"/>
        <v>100</v>
      </c>
      <c r="T9" s="701" t="s">
        <v>14</v>
      </c>
      <c r="U9" s="702">
        <f t="shared" si="1"/>
        <v>100</v>
      </c>
      <c r="V9" s="701" t="s">
        <v>14</v>
      </c>
      <c r="W9" s="702">
        <f t="shared" si="2"/>
        <v>100</v>
      </c>
      <c r="X9" s="703"/>
      <c r="Y9" s="3699" t="s">
        <v>1685</v>
      </c>
      <c r="Z9" s="52" t="str">
        <f t="shared" ref="Z9:Z15" si="7">Q9</f>
        <v>用途</v>
      </c>
      <c r="AA9" s="704">
        <f t="shared" si="3"/>
        <v>1</v>
      </c>
      <c r="AB9" s="704">
        <f t="shared" si="4"/>
        <v>1</v>
      </c>
      <c r="AC9" s="704">
        <f t="shared" si="5"/>
        <v>1</v>
      </c>
    </row>
    <row r="10" spans="1:29" s="378" customFormat="1" ht="27">
      <c r="A10" s="374"/>
      <c r="B10" s="375" t="s">
        <v>1686</v>
      </c>
      <c r="C10" s="3426">
        <f>项目基本情况!D15</f>
        <v>29.44</v>
      </c>
      <c r="D10" s="127">
        <v>100</v>
      </c>
      <c r="E10" s="3427"/>
      <c r="F10" s="376">
        <f>SUMIF(65:65,E10,66:66)-SUMIF(65:65,C10,66:66)+100</f>
        <v>100</v>
      </c>
      <c r="G10" s="3426"/>
      <c r="H10" s="127">
        <f>SUMIF(65:65,G10,66:66)-SUMIF(65:65,C10,66:66)+100</f>
        <v>100</v>
      </c>
      <c r="I10" s="3426"/>
      <c r="J10" s="127">
        <f>SUMIF(65:65,I10,66:66)-SUMIF(65:65,C10,66:66)+100</f>
        <v>100</v>
      </c>
      <c r="K10" s="560"/>
      <c r="L10" s="2712"/>
      <c r="M10" s="2713"/>
      <c r="N10" s="2713"/>
      <c r="O10" s="2713"/>
      <c r="P10" s="3791"/>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91"/>
      <c r="Q11" s="1343" t="str">
        <f t="shared" si="6"/>
        <v>容积率</v>
      </c>
      <c r="R11" s="701" t="s">
        <v>14</v>
      </c>
      <c r="S11" s="702">
        <f t="shared" si="0"/>
        <v>100</v>
      </c>
      <c r="T11" s="701" t="s">
        <v>14</v>
      </c>
      <c r="U11" s="702">
        <f t="shared" si="1"/>
        <v>100</v>
      </c>
      <c r="V11" s="701" t="s">
        <v>14</v>
      </c>
      <c r="W11" s="702">
        <f t="shared" si="2"/>
        <v>100</v>
      </c>
      <c r="X11" s="703"/>
      <c r="Y11" s="369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91"/>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91"/>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91"/>
      <c r="Q14" s="1343">
        <f t="shared" si="6"/>
        <v>111</v>
      </c>
      <c r="R14" s="701" t="s">
        <v>14</v>
      </c>
      <c r="S14" s="702">
        <f t="shared" si="0"/>
        <v>100</v>
      </c>
      <c r="T14" s="701" t="s">
        <v>14</v>
      </c>
      <c r="U14" s="702">
        <f t="shared" si="1"/>
        <v>100</v>
      </c>
      <c r="V14" s="701" t="s">
        <v>14</v>
      </c>
      <c r="W14" s="702">
        <f t="shared" si="2"/>
        <v>100</v>
      </c>
      <c r="X14" s="703"/>
      <c r="Y14" s="3699"/>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t="s">
        <v>3386</v>
      </c>
      <c r="F15" s="394">
        <f>SUMIF(76:76,E16,77:77)-SUMIF(76:76,C16,77:77)+100</f>
        <v>100</v>
      </c>
      <c r="G15" s="393" t="s">
        <v>3386</v>
      </c>
      <c r="H15" s="392">
        <f>SUMIF(76:76,G16,77:77)-SUMIF(76:76,C16,77:77)+100</f>
        <v>100</v>
      </c>
      <c r="I15" s="393" t="s">
        <v>3386</v>
      </c>
      <c r="J15" s="392">
        <f>SUMIF(76:76,I16,77:77)-SUMIF(76:76,C16,77:77)+100</f>
        <v>100</v>
      </c>
      <c r="K15" s="563">
        <v>2</v>
      </c>
      <c r="L15" s="2715"/>
      <c r="M15" s="2709"/>
      <c r="N15" s="2709"/>
      <c r="O15" s="2709"/>
      <c r="P15" s="3800" t="s">
        <v>1689</v>
      </c>
      <c r="Q15" s="1352" t="str">
        <f t="shared" si="6"/>
        <v>商业繁华度</v>
      </c>
      <c r="R15" s="705" t="s">
        <v>14</v>
      </c>
      <c r="S15" s="706">
        <f t="shared" si="0"/>
        <v>100</v>
      </c>
      <c r="T15" s="705" t="s">
        <v>14</v>
      </c>
      <c r="U15" s="706">
        <f t="shared" si="1"/>
        <v>100</v>
      </c>
      <c r="V15" s="705" t="s">
        <v>14</v>
      </c>
      <c r="W15" s="706">
        <f t="shared" si="2"/>
        <v>100</v>
      </c>
      <c r="X15" s="1355"/>
      <c r="Y15" s="3782" t="s">
        <v>1689</v>
      </c>
      <c r="Z15" s="1356" t="str">
        <f t="shared" si="7"/>
        <v>商业繁华度</v>
      </c>
      <c r="AA15" s="1353">
        <f t="shared" si="3"/>
        <v>1</v>
      </c>
      <c r="AB15" s="1353">
        <f t="shared" si="4"/>
        <v>1</v>
      </c>
      <c r="AC15" s="1353">
        <f t="shared" si="5"/>
        <v>1</v>
      </c>
    </row>
    <row r="16" spans="1:29" ht="15">
      <c r="A16" s="379"/>
      <c r="B16" s="397"/>
      <c r="C16" s="398" t="s">
        <v>3386</v>
      </c>
      <c r="D16" s="399"/>
      <c r="E16" s="398" t="s">
        <v>3386</v>
      </c>
      <c r="F16" s="400"/>
      <c r="G16" s="398" t="s">
        <v>3386</v>
      </c>
      <c r="H16" s="401"/>
      <c r="I16" s="398" t="s">
        <v>3386</v>
      </c>
      <c r="J16" s="399"/>
      <c r="K16" s="564"/>
      <c r="L16" s="2715"/>
      <c r="M16" s="2709"/>
      <c r="N16" s="2709"/>
      <c r="O16" s="2709"/>
      <c r="P16" s="3801"/>
      <c r="Q16" s="1352"/>
      <c r="R16" s="705"/>
      <c r="S16" s="706"/>
      <c r="T16" s="705"/>
      <c r="U16" s="706"/>
      <c r="V16" s="705"/>
      <c r="W16" s="706"/>
      <c r="X16" s="1355"/>
      <c r="Y16" s="3783"/>
      <c r="Z16" s="1356"/>
      <c r="AA16" s="1353">
        <v>1</v>
      </c>
      <c r="AB16" s="1353">
        <v>1</v>
      </c>
      <c r="AC16" s="1353">
        <v>1</v>
      </c>
    </row>
    <row r="17" spans="1:29" ht="15">
      <c r="A17" s="379"/>
      <c r="B17" s="402" t="s">
        <v>1257</v>
      </c>
      <c r="C17" s="1900" t="str">
        <f>估价对象房地状况!C6</f>
        <v>较好</v>
      </c>
      <c r="D17" s="401">
        <v>100</v>
      </c>
      <c r="E17" s="403" t="s">
        <v>3386</v>
      </c>
      <c r="F17" s="404">
        <f>SUMIF(78:78,E18,79:79)-SUMIF(78:78,C18,79:79)+100</f>
        <v>100</v>
      </c>
      <c r="G17" s="403" t="s">
        <v>3386</v>
      </c>
      <c r="H17" s="406">
        <f>SUMIF(78:78,G18,79:79)-SUMIF(78:78,C18,79:79)+100</f>
        <v>100</v>
      </c>
      <c r="I17" s="403" t="s">
        <v>3386</v>
      </c>
      <c r="J17" s="406">
        <f>SUMIF(78:78,I18,79:79)-SUMIF(78:78,C18,79:79)+100</f>
        <v>100</v>
      </c>
      <c r="K17" s="563">
        <v>2</v>
      </c>
      <c r="L17" s="2715"/>
      <c r="M17" s="2709"/>
      <c r="N17" s="2709"/>
      <c r="O17" s="2709"/>
      <c r="P17" s="3801"/>
      <c r="Q17" s="1352" t="str">
        <f>B17</f>
        <v>交通便捷度</v>
      </c>
      <c r="R17" s="705" t="s">
        <v>14</v>
      </c>
      <c r="S17" s="706">
        <f>F17</f>
        <v>100</v>
      </c>
      <c r="T17" s="705" t="s">
        <v>14</v>
      </c>
      <c r="U17" s="706">
        <f>H17</f>
        <v>100</v>
      </c>
      <c r="V17" s="705" t="s">
        <v>14</v>
      </c>
      <c r="W17" s="706">
        <f>J17</f>
        <v>100</v>
      </c>
      <c r="X17" s="1355"/>
      <c r="Y17" s="3783"/>
      <c r="Z17" s="1356" t="str">
        <f>Q17</f>
        <v>交通便捷度</v>
      </c>
      <c r="AA17" s="1353">
        <f t="shared" si="3"/>
        <v>1</v>
      </c>
      <c r="AB17" s="1353">
        <f t="shared" si="4"/>
        <v>1</v>
      </c>
      <c r="AC17" s="1353">
        <f t="shared" si="5"/>
        <v>1</v>
      </c>
    </row>
    <row r="18" spans="1:29" ht="15">
      <c r="A18" s="379"/>
      <c r="B18" s="407"/>
      <c r="C18" s="1901" t="s">
        <v>3386</v>
      </c>
      <c r="D18" s="401"/>
      <c r="E18" s="1903" t="s">
        <v>3386</v>
      </c>
      <c r="F18" s="404"/>
      <c r="G18" s="1903" t="s">
        <v>3386</v>
      </c>
      <c r="H18" s="399"/>
      <c r="I18" s="1903" t="s">
        <v>3386</v>
      </c>
      <c r="J18" s="399"/>
      <c r="K18" s="564"/>
      <c r="L18" s="2715"/>
      <c r="M18" s="2709"/>
      <c r="N18" s="2709"/>
      <c r="O18" s="2709"/>
      <c r="P18" s="3801"/>
      <c r="Q18" s="1352"/>
      <c r="R18" s="705"/>
      <c r="S18" s="706"/>
      <c r="T18" s="705"/>
      <c r="U18" s="706"/>
      <c r="V18" s="705"/>
      <c r="W18" s="706"/>
      <c r="X18" s="1355"/>
      <c r="Y18" s="3783"/>
      <c r="Z18" s="1356"/>
      <c r="AA18" s="1353">
        <v>1</v>
      </c>
      <c r="AB18" s="1353">
        <v>1</v>
      </c>
      <c r="AC18" s="1353">
        <v>1</v>
      </c>
    </row>
    <row r="19" spans="1:29" ht="15">
      <c r="A19" s="379"/>
      <c r="B19" s="402" t="s">
        <v>1776</v>
      </c>
      <c r="C19" s="1900" t="str">
        <f>估价对象房地状况!C7</f>
        <v>较好</v>
      </c>
      <c r="D19" s="406">
        <v>100</v>
      </c>
      <c r="E19" s="408" t="s">
        <v>3386</v>
      </c>
      <c r="F19" s="409">
        <f>SUMIF(80:80,E20,81:81)-SUMIF(80:80,C20,81:81)+100</f>
        <v>100</v>
      </c>
      <c r="G19" s="408" t="s">
        <v>3386</v>
      </c>
      <c r="H19" s="401">
        <f>SUMIF(80:80,G20,81:81)-SUMIF(80:80,C20,81:81)+100</f>
        <v>100</v>
      </c>
      <c r="I19" s="408" t="s">
        <v>3386</v>
      </c>
      <c r="J19" s="401">
        <f>SUMIF(80:80,I20,81:81)-SUMIF(80:80,C20,81:81)+100</f>
        <v>100</v>
      </c>
      <c r="K19" s="563">
        <v>2</v>
      </c>
      <c r="L19" s="2715"/>
      <c r="M19" s="2709"/>
      <c r="N19" s="2709"/>
      <c r="O19" s="2709"/>
      <c r="P19" s="3801"/>
      <c r="Q19" s="1352" t="str">
        <f>B19</f>
        <v>公共配套设施</v>
      </c>
      <c r="R19" s="705" t="s">
        <v>14</v>
      </c>
      <c r="S19" s="706">
        <f>F19</f>
        <v>100</v>
      </c>
      <c r="T19" s="705" t="s">
        <v>14</v>
      </c>
      <c r="U19" s="706">
        <f>H19</f>
        <v>100</v>
      </c>
      <c r="V19" s="705" t="s">
        <v>14</v>
      </c>
      <c r="W19" s="706">
        <f>J19</f>
        <v>100</v>
      </c>
      <c r="X19" s="1355"/>
      <c r="Y19" s="3783"/>
      <c r="Z19" s="1356" t="str">
        <f>Q19</f>
        <v>公共配套设施</v>
      </c>
      <c r="AA19" s="1353">
        <f t="shared" si="3"/>
        <v>1</v>
      </c>
      <c r="AB19" s="1353">
        <f t="shared" si="4"/>
        <v>1</v>
      </c>
      <c r="AC19" s="1353">
        <f t="shared" si="5"/>
        <v>1</v>
      </c>
    </row>
    <row r="20" spans="1:29" ht="15">
      <c r="A20" s="379"/>
      <c r="B20" s="407"/>
      <c r="C20" s="398" t="s">
        <v>3386</v>
      </c>
      <c r="D20" s="399"/>
      <c r="E20" s="1898" t="s">
        <v>3386</v>
      </c>
      <c r="F20" s="400"/>
      <c r="G20" s="1898" t="s">
        <v>3386</v>
      </c>
      <c r="H20" s="399"/>
      <c r="I20" s="1898" t="s">
        <v>3386</v>
      </c>
      <c r="J20" s="399"/>
      <c r="K20" s="564"/>
      <c r="L20" s="2715"/>
      <c r="M20" s="2709"/>
      <c r="N20" s="2709"/>
      <c r="O20" s="2709"/>
      <c r="P20" s="3801"/>
      <c r="Q20" s="1352"/>
      <c r="R20" s="705"/>
      <c r="S20" s="706"/>
      <c r="T20" s="705"/>
      <c r="U20" s="706"/>
      <c r="V20" s="705"/>
      <c r="W20" s="706"/>
      <c r="X20" s="1355"/>
      <c r="Y20" s="3783"/>
      <c r="Z20" s="1356"/>
      <c r="AA20" s="1353">
        <v>1</v>
      </c>
      <c r="AB20" s="1353">
        <v>1</v>
      </c>
      <c r="AC20" s="1353">
        <v>1</v>
      </c>
    </row>
    <row r="21" spans="1:29" ht="15">
      <c r="A21" s="379"/>
      <c r="B21" s="1131" t="s">
        <v>1777</v>
      </c>
      <c r="C21" s="1900" t="str">
        <f>估价对象房地状况!C8</f>
        <v>七通</v>
      </c>
      <c r="D21" s="406">
        <v>100</v>
      </c>
      <c r="E21" s="408" t="s">
        <v>3390</v>
      </c>
      <c r="F21" s="409">
        <f>SUMIF(82:82,E22,83:83)-SUMIF(82:82,C22,83:83)+100</f>
        <v>100</v>
      </c>
      <c r="G21" s="408" t="s">
        <v>3390</v>
      </c>
      <c r="H21" s="401">
        <f>SUMIF(82:82,G22,83:83)-SUMIF(82:82,C22,83:83)+100</f>
        <v>100</v>
      </c>
      <c r="I21" s="408" t="s">
        <v>3390</v>
      </c>
      <c r="J21" s="401">
        <f>SUMIF(82:82,I22,83:83)-SUMIF(82:82,C22,83:83)+100</f>
        <v>100</v>
      </c>
      <c r="K21" s="563">
        <v>1</v>
      </c>
      <c r="L21" s="2715"/>
      <c r="M21" s="2709"/>
      <c r="N21" s="2709"/>
      <c r="O21" s="2709"/>
      <c r="P21" s="3801"/>
      <c r="Q21" s="1352" t="str">
        <f>B21</f>
        <v>基础设施水平</v>
      </c>
      <c r="R21" s="705" t="s">
        <v>14</v>
      </c>
      <c r="S21" s="706">
        <f>F21</f>
        <v>100</v>
      </c>
      <c r="T21" s="705" t="s">
        <v>14</v>
      </c>
      <c r="U21" s="706">
        <f>H21</f>
        <v>100</v>
      </c>
      <c r="V21" s="705" t="s">
        <v>14</v>
      </c>
      <c r="W21" s="706">
        <f>J21</f>
        <v>100</v>
      </c>
      <c r="X21" s="1355"/>
      <c r="Y21" s="3783"/>
      <c r="Z21" s="1356" t="str">
        <f>Q21</f>
        <v>基础设施水平</v>
      </c>
      <c r="AA21" s="1353">
        <f t="shared" ref="AA21" si="8">D21/F21</f>
        <v>1</v>
      </c>
      <c r="AB21" s="1353">
        <f t="shared" ref="AB21" si="9">D21/H21</f>
        <v>1</v>
      </c>
      <c r="AC21" s="1353">
        <f t="shared" ref="AC21" si="10">D21/J21</f>
        <v>1</v>
      </c>
    </row>
    <row r="22" spans="1:29" ht="15">
      <c r="A22" s="379"/>
      <c r="B22" s="1131"/>
      <c r="C22" s="1901" t="s">
        <v>3390</v>
      </c>
      <c r="D22" s="399"/>
      <c r="E22" s="398" t="s">
        <v>3390</v>
      </c>
      <c r="F22" s="400"/>
      <c r="G22" s="398" t="s">
        <v>3390</v>
      </c>
      <c r="H22" s="399"/>
      <c r="I22" s="398" t="s">
        <v>3390</v>
      </c>
      <c r="J22" s="399"/>
      <c r="K22" s="1130"/>
      <c r="L22" s="2715"/>
      <c r="M22" s="2709"/>
      <c r="N22" s="2709"/>
      <c r="O22" s="2709"/>
      <c r="P22" s="3801"/>
      <c r="Q22" s="1352"/>
      <c r="R22" s="705"/>
      <c r="S22" s="706"/>
      <c r="T22" s="705"/>
      <c r="U22" s="706"/>
      <c r="V22" s="705"/>
      <c r="W22" s="706"/>
      <c r="X22" s="1355"/>
      <c r="Y22" s="3783"/>
      <c r="Z22" s="1356"/>
      <c r="AA22" s="1353">
        <v>1</v>
      </c>
      <c r="AB22" s="1353">
        <v>1</v>
      </c>
      <c r="AC22" s="1353">
        <v>1</v>
      </c>
    </row>
    <row r="23" spans="1:29" ht="15">
      <c r="A23" s="379"/>
      <c r="B23" s="402" t="s">
        <v>1259</v>
      </c>
      <c r="C23" s="1953" t="str">
        <f>估价对象房地状况!C9</f>
        <v>较好</v>
      </c>
      <c r="D23" s="401">
        <v>100</v>
      </c>
      <c r="E23" s="403" t="s">
        <v>3386</v>
      </c>
      <c r="F23" s="404">
        <f>SUMIF(84:84,E24,85:85)-SUMIF(84:84,C24,85:85)+100</f>
        <v>100</v>
      </c>
      <c r="G23" s="403" t="s">
        <v>3386</v>
      </c>
      <c r="H23" s="401">
        <f>SUMIF(84:84,G24,85:85)-SUMIF(84:84,C24,85:85)+100</f>
        <v>100</v>
      </c>
      <c r="I23" s="403" t="s">
        <v>3386</v>
      </c>
      <c r="J23" s="401">
        <f>SUMIF(84:84,I24,85:85)-SUMIF(84:84,C24,85:85)+100</f>
        <v>100</v>
      </c>
      <c r="K23" s="563">
        <v>2</v>
      </c>
      <c r="L23" s="2715"/>
      <c r="M23" s="2709"/>
      <c r="N23" s="2709"/>
      <c r="O23" s="2709"/>
      <c r="P23" s="3801"/>
      <c r="Q23" s="1352" t="str">
        <f>B23</f>
        <v>自然及人文环境</v>
      </c>
      <c r="R23" s="705" t="s">
        <v>14</v>
      </c>
      <c r="S23" s="706">
        <f>F23</f>
        <v>100</v>
      </c>
      <c r="T23" s="705" t="s">
        <v>14</v>
      </c>
      <c r="U23" s="706">
        <f>H23</f>
        <v>100</v>
      </c>
      <c r="V23" s="705" t="s">
        <v>14</v>
      </c>
      <c r="W23" s="706">
        <f>J23</f>
        <v>100</v>
      </c>
      <c r="X23" s="1355"/>
      <c r="Y23" s="3783"/>
      <c r="Z23" s="1356" t="str">
        <f>Q23</f>
        <v>自然及人文环境</v>
      </c>
      <c r="AA23" s="1353">
        <f t="shared" si="3"/>
        <v>1</v>
      </c>
      <c r="AB23" s="1353">
        <f t="shared" si="4"/>
        <v>1</v>
      </c>
      <c r="AC23" s="1353">
        <f t="shared" si="5"/>
        <v>1</v>
      </c>
    </row>
    <row r="24" spans="1:29" ht="15">
      <c r="A24" s="379"/>
      <c r="B24" s="407"/>
      <c r="C24" s="398" t="s">
        <v>3386</v>
      </c>
      <c r="D24" s="399"/>
      <c r="E24" s="1898" t="s">
        <v>3386</v>
      </c>
      <c r="F24" s="400"/>
      <c r="G24" s="1898" t="s">
        <v>3386</v>
      </c>
      <c r="H24" s="399"/>
      <c r="I24" s="1898" t="s">
        <v>3386</v>
      </c>
      <c r="J24" s="399"/>
      <c r="K24" s="564"/>
      <c r="L24" s="2715"/>
      <c r="M24" s="2709"/>
      <c r="N24" s="2709"/>
      <c r="O24" s="2709"/>
      <c r="P24" s="3801"/>
      <c r="Q24" s="1352"/>
      <c r="R24" s="705"/>
      <c r="S24" s="706"/>
      <c r="T24" s="705"/>
      <c r="U24" s="706"/>
      <c r="V24" s="705"/>
      <c r="W24" s="706"/>
      <c r="X24" s="1355"/>
      <c r="Y24" s="3783"/>
      <c r="Z24" s="1356"/>
      <c r="AA24" s="1353">
        <v>1</v>
      </c>
      <c r="AB24" s="1353">
        <v>1</v>
      </c>
      <c r="AC24" s="1353">
        <v>1</v>
      </c>
    </row>
    <row r="25" spans="1:29" ht="15">
      <c r="A25" s="379"/>
      <c r="B25" s="375" t="s">
        <v>1778</v>
      </c>
      <c r="C25" s="565" t="s">
        <v>3431</v>
      </c>
      <c r="D25" s="386">
        <v>100</v>
      </c>
      <c r="E25" s="565" t="s">
        <v>3431</v>
      </c>
      <c r="F25" s="412">
        <f>SUMIF(86:86,E25,87:87)-SUMIF(86:86,C25,87:87)+100</f>
        <v>100</v>
      </c>
      <c r="G25" s="565" t="s">
        <v>3431</v>
      </c>
      <c r="H25" s="386">
        <f>SUMIF(86:86,G25,87:87)-SUMIF(86:86,C25,87:87)+100</f>
        <v>100</v>
      </c>
      <c r="I25" s="565" t="s">
        <v>3431</v>
      </c>
      <c r="J25" s="386">
        <f>SUMIF(86:86,I25,87:87)-SUMIF(86:86,C25,87:87)+100</f>
        <v>100</v>
      </c>
      <c r="K25" s="561">
        <v>5</v>
      </c>
      <c r="L25" s="2715"/>
      <c r="M25" s="2709"/>
      <c r="N25" s="2709"/>
      <c r="O25" s="2709"/>
      <c r="P25" s="3801"/>
      <c r="Q25" s="1352" t="str">
        <f t="shared" ref="Q25:Q46" si="11">B25</f>
        <v>临街状况</v>
      </c>
      <c r="R25" s="705" t="s">
        <v>14</v>
      </c>
      <c r="S25" s="706">
        <f>F25</f>
        <v>100</v>
      </c>
      <c r="T25" s="705" t="s">
        <v>14</v>
      </c>
      <c r="U25" s="706">
        <f>H25</f>
        <v>100</v>
      </c>
      <c r="V25" s="705" t="s">
        <v>14</v>
      </c>
      <c r="W25" s="706">
        <f>J25</f>
        <v>100</v>
      </c>
      <c r="X25" s="1355"/>
      <c r="Y25" s="3783"/>
      <c r="Z25" s="1356" t="str">
        <f>Q25</f>
        <v>临街状况</v>
      </c>
      <c r="AA25" s="1353">
        <f t="shared" si="3"/>
        <v>1</v>
      </c>
      <c r="AB25" s="1353">
        <f t="shared" si="4"/>
        <v>1</v>
      </c>
      <c r="AC25" s="1353">
        <f t="shared" si="5"/>
        <v>1</v>
      </c>
    </row>
    <row r="26" spans="1:29" ht="15">
      <c r="A26" s="379"/>
      <c r="B26" s="1133" t="s">
        <v>1779</v>
      </c>
      <c r="C26" s="3462" t="s">
        <v>3435</v>
      </c>
      <c r="D26" s="386">
        <v>100</v>
      </c>
      <c r="E26" s="385" t="s">
        <v>3386</v>
      </c>
      <c r="F26" s="412">
        <f>SUMIF(88:88,E26,89:89)-SUMIF(88:88,C26,89:89)+100</f>
        <v>100</v>
      </c>
      <c r="G26" s="385" t="s">
        <v>3386</v>
      </c>
      <c r="H26" s="386">
        <f>SUMIF(88:88,G26,89:89)-SUMIF(88:88,C26,89:89)+100</f>
        <v>100</v>
      </c>
      <c r="I26" s="385" t="s">
        <v>3386</v>
      </c>
      <c r="J26" s="386">
        <f>SUMIF(88:88,I26,89:89)-SUMIF(88:88,C26,89:89)+100</f>
        <v>100</v>
      </c>
      <c r="K26" s="562"/>
      <c r="L26" s="2715"/>
      <c r="M26" s="2709"/>
      <c r="N26" s="2709"/>
      <c r="O26" s="2709"/>
      <c r="P26" s="3801"/>
      <c r="Q26" s="1352" t="str">
        <f t="shared" si="11"/>
        <v>平面位置/可视性</v>
      </c>
      <c r="R26" s="705" t="s">
        <v>14</v>
      </c>
      <c r="S26" s="706">
        <f>F26</f>
        <v>100</v>
      </c>
      <c r="T26" s="705" t="s">
        <v>14</v>
      </c>
      <c r="U26" s="706">
        <f>H26</f>
        <v>100</v>
      </c>
      <c r="V26" s="705" t="s">
        <v>14</v>
      </c>
      <c r="W26" s="706">
        <f>J26</f>
        <v>100</v>
      </c>
      <c r="X26" s="1355"/>
      <c r="Y26" s="3783"/>
      <c r="Z26" s="1356" t="str">
        <f>Q26</f>
        <v>平面位置/可视性</v>
      </c>
      <c r="AA26" s="1353">
        <f t="shared" si="3"/>
        <v>1</v>
      </c>
      <c r="AB26" s="1353">
        <f t="shared" si="4"/>
        <v>1</v>
      </c>
      <c r="AC26" s="1353">
        <f t="shared" si="5"/>
        <v>1</v>
      </c>
    </row>
    <row r="27" spans="1:29" s="108" customFormat="1" ht="15">
      <c r="A27" s="382"/>
      <c r="B27" s="402" t="s">
        <v>1780</v>
      </c>
      <c r="C27" s="1954" t="s">
        <v>3440</v>
      </c>
      <c r="D27" s="413">
        <v>100</v>
      </c>
      <c r="E27" s="1954" t="s">
        <v>3440</v>
      </c>
      <c r="F27" s="415">
        <f>SUMIF(90:90,E27,91:91)-SUMIF(90:90,C27,91:91)+100</f>
        <v>100</v>
      </c>
      <c r="G27" s="1954" t="s">
        <v>3440</v>
      </c>
      <c r="H27" s="413">
        <f>SUMIF(90:90,G27,91:91)-SUMIF(90:90,C27,91:91)+100</f>
        <v>100</v>
      </c>
      <c r="I27" s="1954" t="s">
        <v>3440</v>
      </c>
      <c r="J27" s="413">
        <f>SUMIF(90:90,I27,91:91)-SUMIF(90:90,C27,91:91)+100</f>
        <v>100</v>
      </c>
      <c r="K27" s="561">
        <v>5</v>
      </c>
      <c r="L27" s="2710"/>
      <c r="M27" s="2711"/>
      <c r="N27" s="2711"/>
      <c r="O27" s="2711"/>
      <c r="P27" s="3801"/>
      <c r="Q27" s="1343" t="str">
        <f t="shared" si="11"/>
        <v>人流量</v>
      </c>
      <c r="R27" s="701" t="s">
        <v>14</v>
      </c>
      <c r="S27" s="702">
        <f>F27</f>
        <v>100</v>
      </c>
      <c r="T27" s="701" t="s">
        <v>14</v>
      </c>
      <c r="U27" s="702">
        <f>H27</f>
        <v>100</v>
      </c>
      <c r="V27" s="701" t="s">
        <v>14</v>
      </c>
      <c r="W27" s="702">
        <f>J27</f>
        <v>100</v>
      </c>
      <c r="X27" s="703"/>
      <c r="Y27" s="3783"/>
      <c r="Z27" s="52" t="str">
        <f>Q27</f>
        <v>人流量</v>
      </c>
      <c r="AA27" s="1353">
        <f>D27/F27</f>
        <v>1</v>
      </c>
      <c r="AB27" s="1353">
        <f>D27/H27</f>
        <v>1</v>
      </c>
      <c r="AC27" s="1353">
        <f>D27/J27</f>
        <v>1</v>
      </c>
    </row>
    <row r="28" spans="1:29" ht="15.75" thickBot="1">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8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3"/>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01"/>
      <c r="Q29" s="1352">
        <f t="shared" si="11"/>
        <v>111</v>
      </c>
      <c r="R29" s="705" t="s">
        <v>14</v>
      </c>
      <c r="S29" s="706">
        <f t="shared" si="12"/>
        <v>100</v>
      </c>
      <c r="T29" s="705" t="s">
        <v>14</v>
      </c>
      <c r="U29" s="706">
        <f t="shared" si="13"/>
        <v>100</v>
      </c>
      <c r="V29" s="705" t="s">
        <v>14</v>
      </c>
      <c r="W29" s="706">
        <f t="shared" si="14"/>
        <v>100</v>
      </c>
      <c r="X29" s="1355"/>
      <c r="Y29" s="3783"/>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01"/>
      <c r="Q30" s="1352">
        <f t="shared" si="11"/>
        <v>111</v>
      </c>
      <c r="R30" s="705" t="s">
        <v>14</v>
      </c>
      <c r="S30" s="706">
        <f t="shared" si="12"/>
        <v>100</v>
      </c>
      <c r="T30" s="705" t="s">
        <v>14</v>
      </c>
      <c r="U30" s="706">
        <f t="shared" si="13"/>
        <v>100</v>
      </c>
      <c r="V30" s="705" t="s">
        <v>14</v>
      </c>
      <c r="W30" s="706">
        <f t="shared" si="14"/>
        <v>100</v>
      </c>
      <c r="X30" s="1355"/>
      <c r="Y30" s="3783"/>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01"/>
      <c r="Q31" s="1352">
        <f t="shared" si="11"/>
        <v>111</v>
      </c>
      <c r="R31" s="705" t="s">
        <v>14</v>
      </c>
      <c r="S31" s="706">
        <f t="shared" si="12"/>
        <v>100</v>
      </c>
      <c r="T31" s="705" t="s">
        <v>14</v>
      </c>
      <c r="U31" s="706">
        <f t="shared" si="13"/>
        <v>100</v>
      </c>
      <c r="V31" s="705" t="s">
        <v>14</v>
      </c>
      <c r="W31" s="706">
        <f t="shared" si="14"/>
        <v>100</v>
      </c>
      <c r="X31" s="1355"/>
      <c r="Y31" s="3783"/>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5"/>
      <c r="M32" s="2709"/>
      <c r="N32" s="2709"/>
      <c r="O32" s="2709"/>
      <c r="P32" s="3796" t="s">
        <v>1694</v>
      </c>
      <c r="Q32" s="1352" t="str">
        <f t="shared" si="11"/>
        <v>商业类型</v>
      </c>
      <c r="R32" s="705" t="s">
        <v>14</v>
      </c>
      <c r="S32" s="706">
        <f t="shared" si="12"/>
        <v>100</v>
      </c>
      <c r="T32" s="705" t="s">
        <v>14</v>
      </c>
      <c r="U32" s="706">
        <f t="shared" si="13"/>
        <v>100</v>
      </c>
      <c r="V32" s="705" t="s">
        <v>14</v>
      </c>
      <c r="W32" s="706">
        <f t="shared" si="14"/>
        <v>100</v>
      </c>
      <c r="X32" s="1355"/>
      <c r="Y32" s="3785" t="s">
        <v>1694</v>
      </c>
      <c r="Z32" s="1356" t="str">
        <f t="shared" si="15"/>
        <v>商业类型</v>
      </c>
      <c r="AA32" s="1353">
        <f t="shared" si="3"/>
        <v>1</v>
      </c>
      <c r="AB32" s="1353">
        <f t="shared" si="4"/>
        <v>1</v>
      </c>
      <c r="AC32" s="1353">
        <f t="shared" si="5"/>
        <v>1</v>
      </c>
    </row>
    <row r="33" spans="1:29" s="422" customFormat="1" ht="15">
      <c r="A33" s="419"/>
      <c r="B33" s="375" t="s">
        <v>1695</v>
      </c>
      <c r="C33" s="420">
        <f>'数据-汇总表'!E3</f>
        <v>103889.93</v>
      </c>
      <c r="D33" s="127">
        <v>100</v>
      </c>
      <c r="E33" s="381">
        <f>案例!C2</f>
        <v>100</v>
      </c>
      <c r="F33" s="376">
        <f>LOOKUP(E33,103:103,104:104)-LOOKUP(C33,103:103,104:104)+100</f>
        <v>194</v>
      </c>
      <c r="G33" s="380">
        <f>案例!C3</f>
        <v>100</v>
      </c>
      <c r="H33" s="127">
        <f>LOOKUP(G33,103:103,104:104)-LOOKUP(C33,103:103,104:104)+100</f>
        <v>194</v>
      </c>
      <c r="I33" s="380">
        <f>案例!C4</f>
        <v>100</v>
      </c>
      <c r="J33" s="127">
        <f>LOOKUP(I33,103:103,104:104)-LOOKUP(C33,103:103,104:104)+100</f>
        <v>194</v>
      </c>
      <c r="K33" s="562"/>
      <c r="L33" s="2714"/>
      <c r="M33" s="2716"/>
      <c r="N33" s="2716"/>
      <c r="O33" s="2716"/>
      <c r="P33" s="3797"/>
      <c r="Q33" s="707" t="str">
        <f t="shared" si="11"/>
        <v>项目建筑规模</v>
      </c>
      <c r="R33" s="708" t="s">
        <v>14</v>
      </c>
      <c r="S33" s="709">
        <f t="shared" si="12"/>
        <v>194</v>
      </c>
      <c r="T33" s="708" t="s">
        <v>14</v>
      </c>
      <c r="U33" s="709">
        <f t="shared" si="13"/>
        <v>194</v>
      </c>
      <c r="V33" s="708" t="s">
        <v>14</v>
      </c>
      <c r="W33" s="709">
        <f t="shared" si="14"/>
        <v>194</v>
      </c>
      <c r="X33" s="710"/>
      <c r="Y33" s="3785"/>
      <c r="Z33" s="711" t="str">
        <f t="shared" si="15"/>
        <v>项目建筑规模</v>
      </c>
      <c r="AA33" s="1353">
        <f t="shared" si="3"/>
        <v>0.51546391752577314</v>
      </c>
      <c r="AB33" s="1353">
        <f t="shared" si="4"/>
        <v>0.51546391752577314</v>
      </c>
      <c r="AC33" s="1353">
        <f t="shared" si="5"/>
        <v>0.51546391752577314</v>
      </c>
    </row>
    <row r="34" spans="1:29" ht="15">
      <c r="A34" s="423"/>
      <c r="B34" s="375" t="s">
        <v>1696</v>
      </c>
      <c r="C34" s="1911" t="s">
        <v>3402</v>
      </c>
      <c r="D34" s="386">
        <v>100</v>
      </c>
      <c r="E34" s="1911" t="s">
        <v>3402</v>
      </c>
      <c r="F34" s="412">
        <f>SUMIF(105:105,E34,106:106)-SUMIF(105:105,C34,106:106)+100</f>
        <v>100</v>
      </c>
      <c r="G34" s="1911" t="s">
        <v>3402</v>
      </c>
      <c r="H34" s="386">
        <f>SUMIF(105:105,G34,106:106)-SUMIF(105:105,C34,106:106)+100</f>
        <v>100</v>
      </c>
      <c r="I34" s="1911" t="s">
        <v>3402</v>
      </c>
      <c r="J34" s="386">
        <f>SUMIF(105:105,I34,106:106)-SUMIF(105:105,C34,106:106)+100</f>
        <v>100</v>
      </c>
      <c r="K34" s="561">
        <v>2</v>
      </c>
      <c r="L34" s="2715"/>
      <c r="M34" s="2709"/>
      <c r="N34" s="2709"/>
      <c r="O34" s="2709"/>
      <c r="P34" s="3797"/>
      <c r="Q34" s="1352" t="str">
        <f t="shared" si="11"/>
        <v>建筑结构</v>
      </c>
      <c r="R34" s="705" t="s">
        <v>14</v>
      </c>
      <c r="S34" s="706">
        <f t="shared" si="12"/>
        <v>100</v>
      </c>
      <c r="T34" s="705" t="s">
        <v>14</v>
      </c>
      <c r="U34" s="706">
        <f t="shared" si="13"/>
        <v>100</v>
      </c>
      <c r="V34" s="705" t="s">
        <v>14</v>
      </c>
      <c r="W34" s="706">
        <f t="shared" si="14"/>
        <v>100</v>
      </c>
      <c r="X34" s="1355"/>
      <c r="Y34" s="3785"/>
      <c r="Z34" s="1356" t="str">
        <f t="shared" si="15"/>
        <v>建筑结构</v>
      </c>
      <c r="AA34" s="1353">
        <f t="shared" si="3"/>
        <v>1</v>
      </c>
      <c r="AB34" s="1353">
        <f t="shared" si="4"/>
        <v>1</v>
      </c>
      <c r="AC34" s="1353">
        <f t="shared" si="5"/>
        <v>1</v>
      </c>
    </row>
    <row r="35" spans="1:29" ht="15">
      <c r="A35" s="423"/>
      <c r="B35" s="375" t="s">
        <v>1783</v>
      </c>
      <c r="C35" s="1906" t="s">
        <v>3450</v>
      </c>
      <c r="D35" s="386">
        <v>100</v>
      </c>
      <c r="E35" s="1906" t="s">
        <v>3450</v>
      </c>
      <c r="F35" s="412">
        <f>SUMIF(107:107,E35,108:108)-SUMIF(107:107,C35,108:108)+100</f>
        <v>100</v>
      </c>
      <c r="G35" s="1906" t="s">
        <v>3450</v>
      </c>
      <c r="H35" s="386">
        <f>SUMIF(107:107,G35,108:108)-SUMIF(107:107,C35,108:108)+100</f>
        <v>100</v>
      </c>
      <c r="I35" s="1906" t="s">
        <v>3450</v>
      </c>
      <c r="J35" s="386">
        <f>SUMIF(107:107,I35,108:108)-SUMIF(107:107,C35,108:108)+100</f>
        <v>100</v>
      </c>
      <c r="K35" s="561">
        <v>2</v>
      </c>
      <c r="L35" s="2715"/>
      <c r="M35" s="2709"/>
      <c r="N35" s="2709"/>
      <c r="O35" s="2709"/>
      <c r="P35" s="3797"/>
      <c r="Q35" s="1352" t="str">
        <f t="shared" si="11"/>
        <v>公共部分装修</v>
      </c>
      <c r="R35" s="705" t="s">
        <v>14</v>
      </c>
      <c r="S35" s="706">
        <f t="shared" si="12"/>
        <v>100</v>
      </c>
      <c r="T35" s="705" t="s">
        <v>14</v>
      </c>
      <c r="U35" s="706">
        <f t="shared" si="13"/>
        <v>100</v>
      </c>
      <c r="V35" s="705" t="s">
        <v>14</v>
      </c>
      <c r="W35" s="706">
        <f t="shared" si="14"/>
        <v>100</v>
      </c>
      <c r="X35" s="1355"/>
      <c r="Y35" s="3785"/>
      <c r="Z35" s="1356" t="str">
        <f t="shared" si="15"/>
        <v>公共部分装修</v>
      </c>
      <c r="AA35" s="1353">
        <f t="shared" si="3"/>
        <v>1</v>
      </c>
      <c r="AB35" s="1353">
        <f t="shared" si="4"/>
        <v>1</v>
      </c>
      <c r="AC35" s="1353">
        <f t="shared" si="5"/>
        <v>1</v>
      </c>
    </row>
    <row r="36" spans="1:29" ht="15">
      <c r="A36" s="423"/>
      <c r="B36" s="375" t="s">
        <v>1784</v>
      </c>
      <c r="C36" s="425">
        <f>'数据-取费表'!N16</f>
        <v>0.9</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5"/>
      <c r="M36" s="2709"/>
      <c r="N36" s="2709"/>
      <c r="O36" s="2709"/>
      <c r="P36" s="3797"/>
      <c r="Q36" s="1352" t="str">
        <f t="shared" si="11"/>
        <v>成新度</v>
      </c>
      <c r="R36" s="705" t="s">
        <v>14</v>
      </c>
      <c r="S36" s="706">
        <f t="shared" si="12"/>
        <v>100</v>
      </c>
      <c r="T36" s="705" t="s">
        <v>14</v>
      </c>
      <c r="U36" s="706">
        <f t="shared" si="13"/>
        <v>100</v>
      </c>
      <c r="V36" s="705" t="s">
        <v>14</v>
      </c>
      <c r="W36" s="706">
        <f t="shared" si="14"/>
        <v>100</v>
      </c>
      <c r="X36" s="1355"/>
      <c r="Y36" s="3785"/>
      <c r="Z36" s="1356" t="str">
        <f t="shared" si="15"/>
        <v>成新度</v>
      </c>
      <c r="AA36" s="1353">
        <f t="shared" si="3"/>
        <v>1</v>
      </c>
      <c r="AB36" s="1353">
        <f t="shared" si="4"/>
        <v>1</v>
      </c>
      <c r="AC36" s="1353">
        <f t="shared" si="5"/>
        <v>1</v>
      </c>
    </row>
    <row r="37" spans="1:29" s="108" customFormat="1" ht="15">
      <c r="A37" s="424"/>
      <c r="B37" s="375" t="s">
        <v>1785</v>
      </c>
      <c r="C37" s="1906" t="s">
        <v>3465</v>
      </c>
      <c r="D37" s="127">
        <v>100</v>
      </c>
      <c r="E37" s="1906" t="s">
        <v>3465</v>
      </c>
      <c r="F37" s="412">
        <f>SUMIF(112:112,E37,113:113)-SUMIF(112:112,C37,113:113)+100</f>
        <v>100</v>
      </c>
      <c r="G37" s="1906" t="s">
        <v>3465</v>
      </c>
      <c r="H37" s="386">
        <f>SUMIF(112:112,G37,113:113)-SUMIF(112:112,C37,113:113)+100</f>
        <v>100</v>
      </c>
      <c r="I37" s="1906" t="s">
        <v>3465</v>
      </c>
      <c r="J37" s="386">
        <f>SUMIF(112:112,I37,113:113)-SUMIF(112:112,C37,113:113)+100</f>
        <v>100</v>
      </c>
      <c r="K37" s="561">
        <v>1</v>
      </c>
      <c r="L37" s="2710"/>
      <c r="M37" s="2711"/>
      <c r="N37" s="2711"/>
      <c r="O37" s="2711"/>
      <c r="P37" s="3797"/>
      <c r="Q37" s="1343" t="str">
        <f t="shared" si="11"/>
        <v>市政基础设施</v>
      </c>
      <c r="R37" s="701" t="s">
        <v>14</v>
      </c>
      <c r="S37" s="702">
        <f t="shared" si="12"/>
        <v>100</v>
      </c>
      <c r="T37" s="701" t="s">
        <v>14</v>
      </c>
      <c r="U37" s="702">
        <f t="shared" si="13"/>
        <v>100</v>
      </c>
      <c r="V37" s="701" t="s">
        <v>14</v>
      </c>
      <c r="W37" s="702">
        <f t="shared" si="14"/>
        <v>100</v>
      </c>
      <c r="X37" s="703"/>
      <c r="Y37" s="3785"/>
      <c r="Z37" s="52" t="str">
        <f t="shared" si="15"/>
        <v>市政基础设施</v>
      </c>
      <c r="AA37" s="704">
        <f t="shared" si="3"/>
        <v>1</v>
      </c>
      <c r="AB37" s="704">
        <f t="shared" si="4"/>
        <v>1</v>
      </c>
      <c r="AC37" s="704">
        <f t="shared" si="5"/>
        <v>1</v>
      </c>
    </row>
    <row r="38" spans="1:29" ht="15">
      <c r="A38" s="423"/>
      <c r="B38" s="375" t="s">
        <v>1786</v>
      </c>
      <c r="C38" s="1906" t="s">
        <v>3456</v>
      </c>
      <c r="D38" s="386">
        <v>100</v>
      </c>
      <c r="E38" s="1906" t="s">
        <v>3456</v>
      </c>
      <c r="F38" s="412">
        <f>SUMIF(114:114,E38,115:115)-SUMIF(114:114,C38,115:115)+100</f>
        <v>100</v>
      </c>
      <c r="G38" s="1906" t="s">
        <v>3456</v>
      </c>
      <c r="H38" s="386">
        <f>SUMIF(114:114,G38,115:115)-SUMIF(114:114,C38,115:115)+100</f>
        <v>100</v>
      </c>
      <c r="I38" s="1906" t="s">
        <v>3456</v>
      </c>
      <c r="J38" s="386">
        <f>SUMIF(114:114,I38,115:115)-SUMIF(114:114,C38,115:115)+100</f>
        <v>100</v>
      </c>
      <c r="K38" s="561">
        <v>5</v>
      </c>
      <c r="L38" s="2715"/>
      <c r="M38" s="2709"/>
      <c r="N38" s="2709"/>
      <c r="O38" s="2709"/>
      <c r="P38" s="3797" t="s">
        <v>1694</v>
      </c>
      <c r="Q38" s="1352" t="str">
        <f t="shared" si="11"/>
        <v>业态</v>
      </c>
      <c r="R38" s="705" t="s">
        <v>14</v>
      </c>
      <c r="S38" s="706">
        <f t="shared" si="12"/>
        <v>100</v>
      </c>
      <c r="T38" s="705" t="s">
        <v>14</v>
      </c>
      <c r="U38" s="706">
        <f t="shared" si="13"/>
        <v>100</v>
      </c>
      <c r="V38" s="705" t="s">
        <v>14</v>
      </c>
      <c r="W38" s="706">
        <f t="shared" si="14"/>
        <v>100</v>
      </c>
      <c r="X38" s="1355"/>
      <c r="Y38" s="3785"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5"/>
      <c r="M39" s="2709"/>
      <c r="N39" s="2709"/>
      <c r="O39" s="2709"/>
      <c r="P39" s="3797"/>
      <c r="Q39" s="1352" t="str">
        <f t="shared" si="11"/>
        <v>层高</v>
      </c>
      <c r="R39" s="705" t="s">
        <v>14</v>
      </c>
      <c r="S39" s="706">
        <f t="shared" si="12"/>
        <v>100</v>
      </c>
      <c r="T39" s="705" t="s">
        <v>14</v>
      </c>
      <c r="U39" s="706">
        <f t="shared" si="13"/>
        <v>100</v>
      </c>
      <c r="V39" s="705" t="s">
        <v>14</v>
      </c>
      <c r="W39" s="706">
        <f t="shared" si="14"/>
        <v>100</v>
      </c>
      <c r="X39" s="1355"/>
      <c r="Y39" s="3785"/>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97"/>
      <c r="Q40" s="1352" t="str">
        <f t="shared" si="11"/>
        <v>单套建筑面积</v>
      </c>
      <c r="R40" s="705" t="s">
        <v>14</v>
      </c>
      <c r="S40" s="706">
        <f t="shared" si="12"/>
        <v>100</v>
      </c>
      <c r="T40" s="705" t="s">
        <v>14</v>
      </c>
      <c r="U40" s="706">
        <f t="shared" si="13"/>
        <v>100</v>
      </c>
      <c r="V40" s="705" t="s">
        <v>14</v>
      </c>
      <c r="W40" s="706">
        <f t="shared" si="14"/>
        <v>100</v>
      </c>
      <c r="X40" s="1355"/>
      <c r="Y40" s="3785"/>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97"/>
      <c r="Q41" s="707" t="str">
        <f t="shared" si="11"/>
        <v>进深比</v>
      </c>
      <c r="R41" s="708" t="s">
        <v>14</v>
      </c>
      <c r="S41" s="709">
        <f t="shared" si="12"/>
        <v>100</v>
      </c>
      <c r="T41" s="708" t="s">
        <v>14</v>
      </c>
      <c r="U41" s="709">
        <f t="shared" si="13"/>
        <v>100</v>
      </c>
      <c r="V41" s="708" t="s">
        <v>14</v>
      </c>
      <c r="W41" s="709">
        <f t="shared" si="14"/>
        <v>100</v>
      </c>
      <c r="X41" s="710"/>
      <c r="Y41" s="3785"/>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5"/>
      <c r="M42" s="2709"/>
      <c r="N42" s="2709"/>
      <c r="O42" s="2709"/>
      <c r="P42" s="3797"/>
      <c r="Q42" s="1352" t="str">
        <f t="shared" si="11"/>
        <v>内部装修</v>
      </c>
      <c r="R42" s="705" t="s">
        <v>14</v>
      </c>
      <c r="S42" s="706">
        <f t="shared" si="12"/>
        <v>100</v>
      </c>
      <c r="T42" s="705" t="s">
        <v>14</v>
      </c>
      <c r="U42" s="706">
        <f t="shared" si="13"/>
        <v>100</v>
      </c>
      <c r="V42" s="705" t="s">
        <v>14</v>
      </c>
      <c r="W42" s="706">
        <f t="shared" si="14"/>
        <v>100</v>
      </c>
      <c r="X42" s="1355"/>
      <c r="Y42" s="3785"/>
      <c r="Z42" s="1356" t="str">
        <f t="shared" si="15"/>
        <v>内部装修</v>
      </c>
      <c r="AA42" s="1353">
        <f t="shared" si="3"/>
        <v>1</v>
      </c>
      <c r="AB42" s="1353">
        <f t="shared" si="4"/>
        <v>1</v>
      </c>
      <c r="AC42" s="1353">
        <f t="shared" si="5"/>
        <v>1</v>
      </c>
    </row>
    <row r="43" spans="1:29" ht="15.75" thickBot="1">
      <c r="A43" s="423"/>
      <c r="B43" s="375" t="s">
        <v>1705</v>
      </c>
      <c r="C43" s="1906" t="s">
        <v>3386</v>
      </c>
      <c r="D43" s="386">
        <v>100</v>
      </c>
      <c r="E43" s="1906" t="s">
        <v>3386</v>
      </c>
      <c r="F43" s="412">
        <f>SUMIF(124:124,E43,125:125)-SUMIF(124:124,C43,125:125)+100</f>
        <v>100</v>
      </c>
      <c r="G43" s="1906" t="s">
        <v>3386</v>
      </c>
      <c r="H43" s="386">
        <f>SUMIF(124:124,G43,125:125)-SUMIF(124:124,C43,125:125)+100</f>
        <v>100</v>
      </c>
      <c r="I43" s="1906" t="s">
        <v>3386</v>
      </c>
      <c r="J43" s="386">
        <f>SUMIF(124:124,I43,125:125)-SUMIF(124:124,C43,125:125)+100</f>
        <v>100</v>
      </c>
      <c r="K43" s="561">
        <v>2</v>
      </c>
      <c r="L43" s="2715"/>
      <c r="M43" s="2709"/>
      <c r="N43" s="2709"/>
      <c r="O43" s="2709"/>
      <c r="P43" s="3797"/>
      <c r="Q43" s="1352" t="str">
        <f t="shared" si="11"/>
        <v>内部装修维护情况</v>
      </c>
      <c r="R43" s="705" t="s">
        <v>14</v>
      </c>
      <c r="S43" s="706">
        <f t="shared" si="12"/>
        <v>100</v>
      </c>
      <c r="T43" s="705" t="s">
        <v>14</v>
      </c>
      <c r="U43" s="706">
        <f t="shared" si="13"/>
        <v>100</v>
      </c>
      <c r="V43" s="705" t="s">
        <v>14</v>
      </c>
      <c r="W43" s="706">
        <f t="shared" si="14"/>
        <v>100</v>
      </c>
      <c r="X43" s="1355"/>
      <c r="Y43" s="3785"/>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97"/>
      <c r="Q44" s="1343">
        <f t="shared" si="11"/>
        <v>111</v>
      </c>
      <c r="R44" s="701" t="s">
        <v>14</v>
      </c>
      <c r="S44" s="702">
        <f t="shared" si="12"/>
        <v>100</v>
      </c>
      <c r="T44" s="701" t="s">
        <v>14</v>
      </c>
      <c r="U44" s="702">
        <f t="shared" si="13"/>
        <v>100</v>
      </c>
      <c r="V44" s="701" t="s">
        <v>14</v>
      </c>
      <c r="W44" s="702">
        <f t="shared" si="14"/>
        <v>100</v>
      </c>
      <c r="X44" s="703"/>
      <c r="Y44" s="3785"/>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97"/>
      <c r="Q45" s="1352">
        <f t="shared" si="11"/>
        <v>111</v>
      </c>
      <c r="R45" s="705" t="s">
        <v>14</v>
      </c>
      <c r="S45" s="706">
        <f t="shared" si="12"/>
        <v>100</v>
      </c>
      <c r="T45" s="705" t="s">
        <v>14</v>
      </c>
      <c r="U45" s="706">
        <f t="shared" si="13"/>
        <v>100</v>
      </c>
      <c r="V45" s="705" t="s">
        <v>14</v>
      </c>
      <c r="W45" s="706">
        <f t="shared" si="14"/>
        <v>100</v>
      </c>
      <c r="X45" s="1355"/>
      <c r="Y45" s="3785"/>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98"/>
      <c r="Q46" s="1352">
        <f t="shared" si="11"/>
        <v>111</v>
      </c>
      <c r="R46" s="705" t="s">
        <v>14</v>
      </c>
      <c r="S46" s="706">
        <f t="shared" si="12"/>
        <v>100</v>
      </c>
      <c r="T46" s="705" t="s">
        <v>14</v>
      </c>
      <c r="U46" s="706">
        <f t="shared" si="13"/>
        <v>100</v>
      </c>
      <c r="V46" s="705" t="s">
        <v>14</v>
      </c>
      <c r="W46" s="706">
        <f t="shared" si="14"/>
        <v>100</v>
      </c>
      <c r="X46" s="1355"/>
      <c r="Y46" s="3799"/>
      <c r="Z46" s="1356">
        <f t="shared" si="15"/>
        <v>111</v>
      </c>
      <c r="AA46" s="1353">
        <f t="shared" si="3"/>
        <v>1</v>
      </c>
      <c r="AB46" s="1353">
        <f t="shared" si="4"/>
        <v>1</v>
      </c>
      <c r="AC46" s="1353">
        <f t="shared" si="5"/>
        <v>1</v>
      </c>
    </row>
    <row r="47" spans="1:29" ht="15">
      <c r="A47" s="430" t="s">
        <v>1706</v>
      </c>
      <c r="B47" s="431"/>
      <c r="C47" s="1154" t="s">
        <v>0</v>
      </c>
      <c r="D47" s="1155"/>
      <c r="E47" s="1156">
        <f>案例!E2</f>
        <v>20000</v>
      </c>
      <c r="F47" s="1157"/>
      <c r="G47" s="1158">
        <f>案例!E3</f>
        <v>20000</v>
      </c>
      <c r="H47" s="1159"/>
      <c r="I47" s="1156">
        <f>案例!F4</f>
        <v>2020</v>
      </c>
      <c r="J47" s="1159"/>
      <c r="K47" s="714"/>
      <c r="L47" s="2717"/>
      <c r="M47" s="2718"/>
      <c r="N47" s="2709"/>
      <c r="O47" s="2718"/>
      <c r="P47" s="3767" t="str">
        <f>A47</f>
        <v>成交单价（元/平方米）</v>
      </c>
      <c r="Q47" s="3767"/>
      <c r="R47" s="3780">
        <f>E47</f>
        <v>20000</v>
      </c>
      <c r="S47" s="3780"/>
      <c r="T47" s="3780">
        <f>G47</f>
        <v>20000</v>
      </c>
      <c r="U47" s="3780"/>
      <c r="V47" s="3780">
        <f>I47</f>
        <v>2020</v>
      </c>
      <c r="W47" s="3780"/>
      <c r="X47" s="690"/>
      <c r="Y47" s="712"/>
      <c r="Z47" s="690"/>
      <c r="AA47" s="690"/>
      <c r="AB47" s="690"/>
      <c r="AC47" s="690"/>
    </row>
    <row r="48" spans="1:29" ht="15.75" thickBot="1">
      <c r="A48" s="437" t="s">
        <v>1791</v>
      </c>
      <c r="B48" s="438"/>
      <c r="C48" s="1160">
        <f>R49</f>
        <v>7078</v>
      </c>
      <c r="D48" s="2315" t="s">
        <v>2136</v>
      </c>
      <c r="E48" s="1161">
        <f>R48</f>
        <v>10107</v>
      </c>
      <c r="F48" s="2316"/>
      <c r="G48" s="1160">
        <f>T48</f>
        <v>10107</v>
      </c>
      <c r="H48" s="2316"/>
      <c r="I48" s="1161">
        <f>V48</f>
        <v>1021</v>
      </c>
      <c r="J48" s="2316"/>
      <c r="K48" s="2318">
        <f>F48+H48+J48</f>
        <v>0</v>
      </c>
      <c r="L48" s="2717"/>
      <c r="M48" s="2718"/>
      <c r="N48" s="2709"/>
      <c r="O48" s="2718"/>
      <c r="P48" s="3767" t="str">
        <f>A48</f>
        <v>比较价值（元/平方米）</v>
      </c>
      <c r="Q48" s="3767"/>
      <c r="R48" s="3795">
        <f>IF(F1="售价",ROUND(PRODUCT(R47,AA7:AA46),0),ROUND(PRODUCT(R47,AA7:AA46),1))</f>
        <v>10107</v>
      </c>
      <c r="S48" s="3795"/>
      <c r="T48" s="3795">
        <f>IF(F1="售价",ROUND(PRODUCT(T47,AB7:AB46),0),ROUND(PRODUCT(T47,AB7:AB46),1))</f>
        <v>10107</v>
      </c>
      <c r="U48" s="3795"/>
      <c r="V48" s="3795">
        <f>IF(F1="售价",ROUND(PRODUCT(V47,AC7:AC46),0),ROUND(PRODUCT(V47,AC7:AC46),1))</f>
        <v>1021</v>
      </c>
      <c r="W48" s="3795"/>
      <c r="X48" s="690"/>
      <c r="Y48" s="690"/>
      <c r="Z48" s="690"/>
      <c r="AA48" s="690"/>
      <c r="AB48" s="690"/>
      <c r="AC48" s="690"/>
    </row>
    <row r="49" spans="1:29" ht="15.75" thickBot="1">
      <c r="A49" s="441" t="s">
        <v>1792</v>
      </c>
      <c r="B49" s="442"/>
      <c r="C49" s="1163">
        <f>R49</f>
        <v>7078</v>
      </c>
      <c r="D49" s="1163"/>
      <c r="E49" s="1163"/>
      <c r="F49" s="1163"/>
      <c r="G49" s="1163"/>
      <c r="H49" s="1163"/>
      <c r="I49" s="1163"/>
      <c r="J49" s="1163"/>
      <c r="K49" s="715"/>
      <c r="L49" s="2717"/>
      <c r="M49" s="2718"/>
      <c r="N49" s="2709"/>
      <c r="O49" s="2718"/>
      <c r="P49" s="3787" t="str">
        <f>A49</f>
        <v>估价对象XX用房的比较价值（楼面单价，元/平方米）</v>
      </c>
      <c r="Q49" s="3788"/>
      <c r="R49" s="3794">
        <f>IF(F1="售价",ROUND(IF(D48="简单平均",AVERAGE(R48:V48),R48*F48+T48*H48+V48*J48),0),ROUND(IF(D48="简单平均",AVERAGE(R48:V48),R48*F48+T48*H48+V48*J48),1))</f>
        <v>7078</v>
      </c>
      <c r="S49" s="3794"/>
      <c r="T49" s="3794"/>
      <c r="U49" s="3794"/>
      <c r="V49" s="3794"/>
      <c r="W49" s="379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f>IF(E47&lt;E48,E48/E47-1,E47/E48-1)</f>
        <v>0.97882655585237943</v>
      </c>
      <c r="F52" s="449" t="str">
        <f>IF(OR(E52&gt;=0.3,E52&lt;=-0.3),"超过30%","")</f>
        <v>超过30%</v>
      </c>
      <c r="G52" s="448">
        <f>IF(G47&lt;G48,G48/G47-1,G47/G48-1)</f>
        <v>0.97882655585237943</v>
      </c>
      <c r="H52" s="449" t="str">
        <f>IF(OR(G52&gt;=0.3,G52&lt;=-0.3),"超过30%","")</f>
        <v>超过30%</v>
      </c>
      <c r="I52" s="448">
        <f>IF(I47&lt;I48,I48/I47-1,I47/I48-1)</f>
        <v>0.97845249755142016</v>
      </c>
      <c r="J52" s="449"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f>IF(E48&lt;G48,G48/E48-1,E48/G48-1)</f>
        <v>0</v>
      </c>
      <c r="F53" s="449" t="str">
        <f>IF(OR(E53&gt;=0.2,E53&lt;=-0.2),"超过20%","")</f>
        <v/>
      </c>
      <c r="G53" s="448">
        <f>IF(G48&lt;I48,I48/G48-1,G48/I48-1)</f>
        <v>8.8991185112634668</v>
      </c>
      <c r="H53" s="449" t="str">
        <f>IF(OR(G53&gt;=0.2,G53&lt;=-0.2),"超过20%","")</f>
        <v>超过20%</v>
      </c>
      <c r="I53" s="448">
        <f>IF(I48&lt;E48,E48/I48-1,I48/E48-1)</f>
        <v>8.8991185112634668</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1677</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3453" t="s">
        <v>3424</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t="s">
        <v>3425</v>
      </c>
      <c r="D65" s="532" t="s">
        <v>3426</v>
      </c>
      <c r="E65" s="3454" t="s">
        <v>3428</v>
      </c>
      <c r="F65" s="532" t="s">
        <v>3427</v>
      </c>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f>E66-2</f>
        <v>94</v>
      </c>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v>6</v>
      </c>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55" t="s">
        <v>3429</v>
      </c>
      <c r="D86" s="3455" t="s">
        <v>3430</v>
      </c>
      <c r="E86" s="3455" t="s">
        <v>3432</v>
      </c>
      <c r="F86" s="3455" t="s">
        <v>3433</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5" t="s">
        <v>3434</v>
      </c>
      <c r="D88" s="3455" t="s">
        <v>3435</v>
      </c>
      <c r="E88" s="3455" t="s">
        <v>3436</v>
      </c>
      <c r="F88" s="3456" t="s">
        <v>3437</v>
      </c>
      <c r="G88" s="3455" t="s">
        <v>3438</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5" t="s">
        <v>3439</v>
      </c>
      <c r="D90" s="3455" t="s">
        <v>3441</v>
      </c>
      <c r="E90" s="3455" t="s">
        <v>3436</v>
      </c>
      <c r="F90" s="3455" t="s">
        <v>3442</v>
      </c>
      <c r="G90" s="3455" t="s">
        <v>3443</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v>2</v>
      </c>
      <c r="E92" s="3457" t="s">
        <v>3444</v>
      </c>
      <c r="F92" s="503">
        <v>3</v>
      </c>
      <c r="G92" s="503">
        <v>-1</v>
      </c>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85</v>
      </c>
      <c r="F93" s="485">
        <v>60</v>
      </c>
      <c r="G93" s="485">
        <v>30</v>
      </c>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458" t="s">
        <v>3445</v>
      </c>
      <c r="D100" s="3458" t="s">
        <v>3446</v>
      </c>
      <c r="E100" s="3458" t="s">
        <v>3447</v>
      </c>
      <c r="F100" s="3458" t="s">
        <v>3448</v>
      </c>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1735</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55" t="s">
        <v>3449</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55" t="s">
        <v>3451</v>
      </c>
      <c r="D107" s="3455" t="s">
        <v>3452</v>
      </c>
      <c r="E107" s="3455" t="s">
        <v>3453</v>
      </c>
      <c r="F107" s="3459" t="s">
        <v>3454</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55" t="s">
        <v>3455</v>
      </c>
      <c r="D114" s="3455" t="s">
        <v>3457</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55" t="s">
        <v>3458</v>
      </c>
      <c r="D116" s="3455" t="s">
        <v>3459</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3459" t="s">
        <v>3460</v>
      </c>
      <c r="D120" s="3459" t="s">
        <v>3461</v>
      </c>
      <c r="E120" s="3459" t="s">
        <v>3436</v>
      </c>
      <c r="F120" s="3459" t="s">
        <v>3462</v>
      </c>
      <c r="G120" s="3460" t="s">
        <v>3463</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3410</v>
      </c>
      <c r="B1" s="3450" t="s">
        <v>3414</v>
      </c>
      <c r="C1" s="3450" t="s">
        <v>3415</v>
      </c>
      <c r="D1" s="3450" t="s">
        <v>3416</v>
      </c>
      <c r="E1" s="3450" t="s">
        <v>3417</v>
      </c>
      <c r="F1" s="3450" t="s">
        <v>3418</v>
      </c>
      <c r="G1" s="3450" t="s">
        <v>3419</v>
      </c>
      <c r="H1" s="3450" t="s">
        <v>3420</v>
      </c>
    </row>
    <row r="2" spans="1:8">
      <c r="A2" s="3450" t="s">
        <v>3411</v>
      </c>
      <c r="B2" s="3451">
        <f>项目基本情况!D3</f>
        <v>45210</v>
      </c>
      <c r="C2">
        <v>100</v>
      </c>
      <c r="D2">
        <v>200</v>
      </c>
      <c r="E2">
        <f>ROUND(D2*10000/C2,0)</f>
        <v>20000</v>
      </c>
      <c r="F2">
        <v>2020</v>
      </c>
      <c r="G2" s="3452">
        <v>0.9</v>
      </c>
      <c r="H2">
        <v>3</v>
      </c>
    </row>
    <row r="3" spans="1:8">
      <c r="A3" s="3450" t="s">
        <v>3412</v>
      </c>
      <c r="B3" s="3451">
        <f>B2</f>
        <v>45210</v>
      </c>
      <c r="C3">
        <v>100</v>
      </c>
      <c r="D3">
        <v>200</v>
      </c>
      <c r="E3">
        <f>ROUND(D3*10000/C3,0)</f>
        <v>20000</v>
      </c>
      <c r="F3">
        <v>2020</v>
      </c>
      <c r="G3" s="3452">
        <v>0.9</v>
      </c>
      <c r="H3">
        <v>3</v>
      </c>
    </row>
    <row r="4" spans="1:8">
      <c r="A4" s="3450" t="s">
        <v>3413</v>
      </c>
      <c r="B4" s="3451">
        <f>B2</f>
        <v>45210</v>
      </c>
      <c r="C4">
        <v>100</v>
      </c>
      <c r="D4">
        <v>200</v>
      </c>
      <c r="E4">
        <f>ROUND(D4*10000/C4,0)</f>
        <v>20000</v>
      </c>
      <c r="F4">
        <v>2020</v>
      </c>
      <c r="G4" s="3452">
        <v>0.9</v>
      </c>
      <c r="H4">
        <v>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受贵公司委托，我公司对北京市丰台区丽泽路16号院1号楼房地产市场价值进行了预评估。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估价对象为北京市丰台区丽泽路16号院1号楼房地产，为北京开元和安投资管理有限公司所有。根据《国有土地使用证》[]，估价对象（分摊）出让国有建设用地使用权面积为0平方米，建筑面积为103889.93平方米。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丽泽路16号院1号楼房地产,属北京开元和安投资管理有限公司开发建设的商业项目，该项目尚在开发建设中。根据《国有土地使用证》[]，估价对象（分摊）出让国有建设用地使用权面积为0平方米，规划建筑面积为103889.93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丽泽路16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4" zoomScale="90" zoomScaleNormal="70" zoomScaleSheetLayoutView="90" workbookViewId="0">
      <selection activeCell="G5" sqref="G5:H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1808</v>
      </c>
      <c r="C1" s="1224" t="s">
        <v>1660</v>
      </c>
      <c r="D1" s="1225"/>
      <c r="E1" s="3425" t="s">
        <v>3421</v>
      </c>
      <c r="F1" s="1879" t="s">
        <v>3422</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102882.1977</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9903</v>
      </c>
      <c r="C3" s="354" t="s">
        <v>1766</v>
      </c>
      <c r="D3" s="353">
        <f>IF(D1="",'数据-汇总表'!E3,SUMIF('数据-汇总表'!$C19:$C33,D1,'数据-汇总表'!$E19:$E33))</f>
        <v>103889.93</v>
      </c>
      <c r="E3" s="1952"/>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1767</v>
      </c>
      <c r="B4" s="356"/>
      <c r="C4" s="3768" t="s">
        <v>1768</v>
      </c>
      <c r="D4" s="3769"/>
      <c r="E4" s="3770" t="s">
        <v>1769</v>
      </c>
      <c r="F4" s="3771"/>
      <c r="G4" s="3768" t="s">
        <v>1770</v>
      </c>
      <c r="H4" s="3769"/>
      <c r="I4" s="3768" t="s">
        <v>1771</v>
      </c>
      <c r="J4" s="3769"/>
      <c r="K4" s="559" t="s">
        <v>1772</v>
      </c>
      <c r="L4" s="2708"/>
      <c r="M4" s="2709"/>
      <c r="N4" s="2709"/>
      <c r="O4" s="2709"/>
      <c r="P4" s="3808" t="s">
        <v>1773</v>
      </c>
      <c r="Q4" s="3809"/>
      <c r="R4" s="3803" t="s">
        <v>1769</v>
      </c>
      <c r="S4" s="3804"/>
      <c r="T4" s="3803" t="s">
        <v>1770</v>
      </c>
      <c r="U4" s="3804"/>
      <c r="V4" s="3812" t="s">
        <v>1771</v>
      </c>
      <c r="W4" s="3812"/>
      <c r="X4" s="1956"/>
      <c r="Y4" s="3803" t="s">
        <v>1773</v>
      </c>
      <c r="Z4" s="3804"/>
      <c r="AA4" s="3802" t="s">
        <v>1769</v>
      </c>
      <c r="AB4" s="3802" t="s">
        <v>1770</v>
      </c>
      <c r="AC4" s="3805" t="s">
        <v>1771</v>
      </c>
    </row>
    <row r="5" spans="1:29" ht="15">
      <c r="A5" s="358"/>
      <c r="B5" s="359"/>
      <c r="C5" s="3761" t="s">
        <v>1671</v>
      </c>
      <c r="D5" s="3762"/>
      <c r="E5" s="3759" t="str">
        <f>'案例 (2)'!A2</f>
        <v>AAA</v>
      </c>
      <c r="F5" s="3760"/>
      <c r="G5" s="3761" t="str">
        <f>'案例 (2)'!A3</f>
        <v>BBB</v>
      </c>
      <c r="H5" s="3762"/>
      <c r="I5" s="3761" t="str">
        <f>'案例 (2)'!A4</f>
        <v>CCC</v>
      </c>
      <c r="J5" s="3762"/>
      <c r="K5" s="559"/>
      <c r="L5" s="2708"/>
      <c r="M5" s="2709"/>
      <c r="N5" s="2709"/>
      <c r="O5" s="2709"/>
      <c r="P5" s="3810"/>
      <c r="Q5" s="3775"/>
      <c r="R5" s="3757"/>
      <c r="S5" s="3758"/>
      <c r="T5" s="3757"/>
      <c r="U5" s="3758"/>
      <c r="V5" s="3780"/>
      <c r="W5" s="3780"/>
      <c r="X5" s="1355"/>
      <c r="Y5" s="3757"/>
      <c r="Z5" s="3758"/>
      <c r="AA5" s="3751"/>
      <c r="AB5" s="3751"/>
      <c r="AC5" s="3806"/>
    </row>
    <row r="6" spans="1:29" ht="15.75" thickBot="1">
      <c r="A6" s="360"/>
      <c r="B6" s="361"/>
      <c r="C6" s="3763" t="s">
        <v>1675</v>
      </c>
      <c r="D6" s="3764"/>
      <c r="E6" s="3765" t="s">
        <v>1675</v>
      </c>
      <c r="F6" s="3766"/>
      <c r="G6" s="3763" t="s">
        <v>1675</v>
      </c>
      <c r="H6" s="3764"/>
      <c r="I6" s="3763" t="s">
        <v>1675</v>
      </c>
      <c r="J6" s="3764"/>
      <c r="K6" s="559" t="s">
        <v>1676</v>
      </c>
      <c r="L6" s="2708"/>
      <c r="M6" s="2709"/>
      <c r="N6" s="2709"/>
      <c r="O6" s="2709"/>
      <c r="P6" s="3811"/>
      <c r="Q6" s="3777"/>
      <c r="R6" s="3757"/>
      <c r="S6" s="3758"/>
      <c r="T6" s="3778"/>
      <c r="U6" s="3779"/>
      <c r="V6" s="3780"/>
      <c r="W6" s="3780"/>
      <c r="X6" s="1355"/>
      <c r="Y6" s="3778"/>
      <c r="Z6" s="3779"/>
      <c r="AA6" s="3752"/>
      <c r="AB6" s="3752"/>
      <c r="AC6" s="3807"/>
    </row>
    <row r="7" spans="1:29" s="108" customFormat="1" ht="15.75" thickBot="1">
      <c r="A7" s="362" t="s">
        <v>1677</v>
      </c>
      <c r="B7" s="363"/>
      <c r="C7" s="364">
        <f>'数据-取费表'!B2</f>
        <v>45210</v>
      </c>
      <c r="D7" s="365">
        <v>100</v>
      </c>
      <c r="E7" s="366">
        <f>'案例 (2)'!B2</f>
        <v>45210</v>
      </c>
      <c r="F7" s="367">
        <f>SUMIF(59:59,YEAR(E7)&amp;"-"&amp;MONTH(E7),60:60)</f>
        <v>100</v>
      </c>
      <c r="G7" s="366">
        <f>'案例 (2)'!B3</f>
        <v>45210</v>
      </c>
      <c r="H7" s="365">
        <f>SUMIF(59:59,YEAR(G7)&amp;"-"&amp;MONTH(G7),60:60)</f>
        <v>100</v>
      </c>
      <c r="I7" s="366">
        <f>'案例 (2)'!B4</f>
        <v>45210</v>
      </c>
      <c r="J7" s="365">
        <f>SUMIF(59:59,YEAR(I7)&amp;"-"&amp;MONTH(I7),60:60)</f>
        <v>100</v>
      </c>
      <c r="K7" s="560"/>
      <c r="L7" s="2710"/>
      <c r="M7" s="2711"/>
      <c r="N7" s="2711"/>
      <c r="O7" s="2711"/>
      <c r="P7" s="3813" t="s">
        <v>1678</v>
      </c>
      <c r="Q7" s="3781"/>
      <c r="R7" s="701" t="s">
        <v>14</v>
      </c>
      <c r="S7" s="702">
        <f t="shared" ref="S7:S15" si="0">F7</f>
        <v>100</v>
      </c>
      <c r="T7" s="701" t="s">
        <v>14</v>
      </c>
      <c r="U7" s="702">
        <f t="shared" ref="U7:U15" si="1">H7</f>
        <v>100</v>
      </c>
      <c r="V7" s="701" t="s">
        <v>14</v>
      </c>
      <c r="W7" s="702">
        <f t="shared" ref="W7:W15" si="2">J7</f>
        <v>100</v>
      </c>
      <c r="X7" s="703"/>
      <c r="Y7" s="3753" t="s">
        <v>1678</v>
      </c>
      <c r="Z7" s="3754"/>
      <c r="AA7" s="704">
        <f>D7/F7</f>
        <v>1</v>
      </c>
      <c r="AB7" s="704">
        <f>D7/H7</f>
        <v>1</v>
      </c>
      <c r="AC7" s="1957">
        <f>D7/J7</f>
        <v>1</v>
      </c>
    </row>
    <row r="8" spans="1:29" s="108" customFormat="1" ht="15.75" thickBot="1">
      <c r="A8" s="362" t="s">
        <v>1679</v>
      </c>
      <c r="B8" s="363"/>
      <c r="C8" s="368" t="s">
        <v>3395</v>
      </c>
      <c r="D8" s="365">
        <v>100</v>
      </c>
      <c r="E8" s="368" t="s">
        <v>3423</v>
      </c>
      <c r="F8" s="367">
        <f>SUMIF(62:62,E8,63:63)-SUMIF(62:62,C8,63:63)+100</f>
        <v>102</v>
      </c>
      <c r="G8" s="368" t="s">
        <v>3423</v>
      </c>
      <c r="H8" s="365">
        <f>SUMIF(62:62,G8,63:63)-SUMIF(62:62,C8,63:63)+100</f>
        <v>102</v>
      </c>
      <c r="I8" s="368" t="s">
        <v>3423</v>
      </c>
      <c r="J8" s="365">
        <f>SUMIF(62:62,I8,63:63)-SUMIF(62:62,C8,63:63)+100</f>
        <v>102</v>
      </c>
      <c r="K8" s="560"/>
      <c r="L8" s="2710"/>
      <c r="M8" s="2711"/>
      <c r="N8" s="2711"/>
      <c r="O8" s="2711"/>
      <c r="P8" s="3813" t="s">
        <v>1681</v>
      </c>
      <c r="Q8" s="3754"/>
      <c r="R8" s="701" t="s">
        <v>14</v>
      </c>
      <c r="S8" s="702">
        <f t="shared" si="0"/>
        <v>102</v>
      </c>
      <c r="T8" s="701" t="s">
        <v>14</v>
      </c>
      <c r="U8" s="702">
        <f t="shared" si="1"/>
        <v>102</v>
      </c>
      <c r="V8" s="701" t="s">
        <v>14</v>
      </c>
      <c r="W8" s="702">
        <f t="shared" si="2"/>
        <v>102</v>
      </c>
      <c r="X8" s="703"/>
      <c r="Y8" s="3753" t="s">
        <v>1681</v>
      </c>
      <c r="Z8" s="3754"/>
      <c r="AA8" s="704">
        <f t="shared" ref="AA8:AA47" si="3">D8/F8</f>
        <v>0.98039215686274506</v>
      </c>
      <c r="AB8" s="704">
        <f t="shared" ref="AB8:AB47" si="4">D8/H8</f>
        <v>0.98039215686274506</v>
      </c>
      <c r="AC8" s="1957">
        <f t="shared" ref="AC8:AC47" si="5">D8/J8</f>
        <v>0.98039215686274506</v>
      </c>
    </row>
    <row r="9" spans="1:29" s="108" customFormat="1">
      <c r="A9" s="369" t="s">
        <v>1682</v>
      </c>
      <c r="B9" s="63" t="s">
        <v>1683</v>
      </c>
      <c r="C9" s="3461" t="s">
        <v>3489</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91" t="s">
        <v>1684</v>
      </c>
      <c r="Q9" s="1343" t="str">
        <f t="shared" ref="Q9:Q15" si="6">B9</f>
        <v>用途</v>
      </c>
      <c r="R9" s="701" t="s">
        <v>14</v>
      </c>
      <c r="S9" s="702">
        <f t="shared" si="0"/>
        <v>100</v>
      </c>
      <c r="T9" s="701" t="s">
        <v>14</v>
      </c>
      <c r="U9" s="702">
        <f t="shared" si="1"/>
        <v>100</v>
      </c>
      <c r="V9" s="701" t="s">
        <v>14</v>
      </c>
      <c r="W9" s="702">
        <f t="shared" si="2"/>
        <v>100</v>
      </c>
      <c r="X9" s="703"/>
      <c r="Y9" s="3699" t="s">
        <v>1685</v>
      </c>
      <c r="Z9" s="52" t="str">
        <f t="shared" ref="Z9:Z15" si="7">Q9</f>
        <v>用途</v>
      </c>
      <c r="AA9" s="704">
        <f t="shared" si="3"/>
        <v>1</v>
      </c>
      <c r="AB9" s="704">
        <f t="shared" si="4"/>
        <v>1</v>
      </c>
      <c r="AC9" s="1957">
        <f t="shared" si="5"/>
        <v>1</v>
      </c>
    </row>
    <row r="10" spans="1:29" s="378" customFormat="1" ht="27">
      <c r="A10" s="374"/>
      <c r="B10" s="375" t="s">
        <v>1686</v>
      </c>
      <c r="C10" s="3426"/>
      <c r="D10" s="127">
        <v>100</v>
      </c>
      <c r="E10" s="3426"/>
      <c r="F10" s="127">
        <f>SUMIF(66:66,E10,67:67)-SUMIF(66:66,C10,67:67)+100</f>
        <v>100</v>
      </c>
      <c r="G10" s="3427"/>
      <c r="H10" s="127">
        <f>SUMIF(66:66,G10,67:67)-SUMIF(66:66,C10,67:67)+100</f>
        <v>100</v>
      </c>
      <c r="I10" s="3426"/>
      <c r="J10" s="127">
        <f>SUMIF(66:66,I10,67:67)-SUMIF(66:66,C10,67:67)+100</f>
        <v>100</v>
      </c>
      <c r="K10" s="560"/>
      <c r="L10" s="2712"/>
      <c r="M10" s="2713"/>
      <c r="N10" s="2713"/>
      <c r="O10" s="2713"/>
      <c r="P10" s="3791"/>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1957">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91"/>
      <c r="Q11" s="1343" t="str">
        <f t="shared" si="6"/>
        <v>容积率</v>
      </c>
      <c r="R11" s="701" t="s">
        <v>14</v>
      </c>
      <c r="S11" s="702">
        <f t="shared" si="0"/>
        <v>100</v>
      </c>
      <c r="T11" s="701" t="s">
        <v>14</v>
      </c>
      <c r="U11" s="702">
        <f t="shared" si="1"/>
        <v>100</v>
      </c>
      <c r="V11" s="701" t="s">
        <v>14</v>
      </c>
      <c r="W11" s="702">
        <f t="shared" si="2"/>
        <v>100</v>
      </c>
      <c r="X11" s="703"/>
      <c r="Y11" s="3699"/>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791"/>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791"/>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791"/>
      <c r="Q14" s="1343">
        <f t="shared" si="6"/>
        <v>111</v>
      </c>
      <c r="R14" s="701" t="s">
        <v>14</v>
      </c>
      <c r="S14" s="702">
        <f t="shared" si="0"/>
        <v>100</v>
      </c>
      <c r="T14" s="701" t="s">
        <v>14</v>
      </c>
      <c r="U14" s="702">
        <f t="shared" si="1"/>
        <v>100</v>
      </c>
      <c r="V14" s="701" t="s">
        <v>14</v>
      </c>
      <c r="W14" s="702">
        <f t="shared" si="2"/>
        <v>100</v>
      </c>
      <c r="X14" s="703"/>
      <c r="Y14" s="3699"/>
      <c r="Z14" s="52">
        <f t="shared" si="7"/>
        <v>111</v>
      </c>
      <c r="AA14" s="704">
        <f t="shared" si="3"/>
        <v>1</v>
      </c>
      <c r="AB14" s="704">
        <f t="shared" si="4"/>
        <v>1</v>
      </c>
      <c r="AC14" s="1957">
        <f t="shared" si="5"/>
        <v>1</v>
      </c>
    </row>
    <row r="15" spans="1:29" ht="15">
      <c r="A15" s="391" t="s">
        <v>1688</v>
      </c>
      <c r="B15" s="577" t="s">
        <v>1809</v>
      </c>
      <c r="C15" s="1959" t="str">
        <f>估价对象房地状况!C5</f>
        <v>较好</v>
      </c>
      <c r="D15" s="392">
        <v>100</v>
      </c>
      <c r="E15" s="395" t="s">
        <v>3386</v>
      </c>
      <c r="F15" s="392">
        <f>SUMIF(77:77,E16,78:78)-SUMIF(77:77,C16,78:78)+100</f>
        <v>100</v>
      </c>
      <c r="G15" s="395" t="s">
        <v>3386</v>
      </c>
      <c r="H15" s="392">
        <f>SUMIF(77:77,G16,78:78)-SUMIF(77:77,C16,78:78)+100</f>
        <v>100</v>
      </c>
      <c r="I15" s="395" t="s">
        <v>3386</v>
      </c>
      <c r="J15" s="392">
        <f>SUMIF(77:77,I16,78:78)-SUMIF(77:77,C16,78:78)+100</f>
        <v>100</v>
      </c>
      <c r="K15" s="563">
        <v>2</v>
      </c>
      <c r="L15" s="2715"/>
      <c r="M15" s="2709"/>
      <c r="N15" s="2709"/>
      <c r="O15" s="2709"/>
      <c r="P15" s="3800" t="s">
        <v>1689</v>
      </c>
      <c r="Q15" s="1352" t="str">
        <f t="shared" si="6"/>
        <v>办公集聚程度</v>
      </c>
      <c r="R15" s="705" t="s">
        <v>14</v>
      </c>
      <c r="S15" s="706">
        <f t="shared" si="0"/>
        <v>100</v>
      </c>
      <c r="T15" s="705" t="s">
        <v>14</v>
      </c>
      <c r="U15" s="706">
        <f t="shared" si="1"/>
        <v>100</v>
      </c>
      <c r="V15" s="705" t="s">
        <v>14</v>
      </c>
      <c r="W15" s="706">
        <f t="shared" si="2"/>
        <v>100</v>
      </c>
      <c r="X15" s="1355"/>
      <c r="Y15" s="3782" t="s">
        <v>1689</v>
      </c>
      <c r="Z15" s="1356" t="str">
        <f t="shared" si="7"/>
        <v>办公集聚程度</v>
      </c>
      <c r="AA15" s="1353">
        <f t="shared" si="3"/>
        <v>1</v>
      </c>
      <c r="AB15" s="1353">
        <f t="shared" si="4"/>
        <v>1</v>
      </c>
      <c r="AC15" s="1960">
        <f t="shared" si="5"/>
        <v>1</v>
      </c>
    </row>
    <row r="16" spans="1:29" ht="15">
      <c r="A16" s="379"/>
      <c r="B16" s="578"/>
      <c r="C16" s="1904" t="s">
        <v>3386</v>
      </c>
      <c r="D16" s="399"/>
      <c r="E16" s="398" t="s">
        <v>3386</v>
      </c>
      <c r="F16" s="399"/>
      <c r="G16" s="398" t="s">
        <v>3386</v>
      </c>
      <c r="H16" s="401"/>
      <c r="I16" s="398" t="s">
        <v>3386</v>
      </c>
      <c r="J16" s="399"/>
      <c r="K16" s="564"/>
      <c r="L16" s="2715"/>
      <c r="M16" s="2709"/>
      <c r="N16" s="2709"/>
      <c r="O16" s="2709"/>
      <c r="P16" s="3801"/>
      <c r="Q16" s="1352"/>
      <c r="R16" s="705"/>
      <c r="S16" s="706"/>
      <c r="T16" s="705"/>
      <c r="U16" s="706"/>
      <c r="V16" s="705"/>
      <c r="W16" s="706"/>
      <c r="X16" s="1355"/>
      <c r="Y16" s="3783"/>
      <c r="Z16" s="1356"/>
      <c r="AA16" s="1353">
        <v>1</v>
      </c>
      <c r="AB16" s="1353">
        <v>1</v>
      </c>
      <c r="AC16" s="1960">
        <v>1</v>
      </c>
    </row>
    <row r="17" spans="1:29" ht="15">
      <c r="A17" s="379"/>
      <c r="B17" s="579" t="s">
        <v>1257</v>
      </c>
      <c r="C17" s="1961" t="str">
        <f>估价对象房地状况!C6</f>
        <v>较好</v>
      </c>
      <c r="D17" s="401">
        <v>100</v>
      </c>
      <c r="E17" s="405" t="s">
        <v>3386</v>
      </c>
      <c r="F17" s="401">
        <f>SUMIF(79:79,E18,80:80)-SUMIF(79:79,C18,80:80)+100</f>
        <v>100</v>
      </c>
      <c r="G17" s="405" t="s">
        <v>3386</v>
      </c>
      <c r="H17" s="406">
        <f>SUMIF(79:79,G18,80:80)-SUMIF(79:79,C18,80:80)+100</f>
        <v>100</v>
      </c>
      <c r="I17" s="405" t="s">
        <v>3386</v>
      </c>
      <c r="J17" s="406">
        <f>SUMIF(79:79,I18,80:80)-SUMIF(79:79,C18,80:80)+100</f>
        <v>100</v>
      </c>
      <c r="K17" s="563">
        <v>2</v>
      </c>
      <c r="L17" s="2715"/>
      <c r="M17" s="2709"/>
      <c r="N17" s="2709"/>
      <c r="O17" s="2709"/>
      <c r="P17" s="3801"/>
      <c r="Q17" s="1352" t="str">
        <f>B17</f>
        <v>交通便捷度</v>
      </c>
      <c r="R17" s="705" t="s">
        <v>14</v>
      </c>
      <c r="S17" s="706">
        <f>F17</f>
        <v>100</v>
      </c>
      <c r="T17" s="705" t="s">
        <v>14</v>
      </c>
      <c r="U17" s="706">
        <f>H17</f>
        <v>100</v>
      </c>
      <c r="V17" s="705" t="s">
        <v>14</v>
      </c>
      <c r="W17" s="706">
        <f>J17</f>
        <v>100</v>
      </c>
      <c r="X17" s="1355"/>
      <c r="Y17" s="3783"/>
      <c r="Z17" s="1356" t="str">
        <f>Q17</f>
        <v>交通便捷度</v>
      </c>
      <c r="AA17" s="1353">
        <f t="shared" si="3"/>
        <v>1</v>
      </c>
      <c r="AB17" s="1353">
        <f t="shared" si="4"/>
        <v>1</v>
      </c>
      <c r="AC17" s="1960">
        <f t="shared" si="5"/>
        <v>1</v>
      </c>
    </row>
    <row r="18" spans="1:29" ht="15">
      <c r="A18" s="379"/>
      <c r="B18" s="580"/>
      <c r="C18" s="1962" t="s">
        <v>3386</v>
      </c>
      <c r="D18" s="401"/>
      <c r="E18" s="1902" t="s">
        <v>3386</v>
      </c>
      <c r="F18" s="401"/>
      <c r="G18" s="1902" t="s">
        <v>3386</v>
      </c>
      <c r="H18" s="399"/>
      <c r="I18" s="1902" t="s">
        <v>3386</v>
      </c>
      <c r="J18" s="399"/>
      <c r="K18" s="564"/>
      <c r="L18" s="2715"/>
      <c r="M18" s="2709"/>
      <c r="N18" s="2709"/>
      <c r="O18" s="2709"/>
      <c r="P18" s="3801"/>
      <c r="Q18" s="1352"/>
      <c r="R18" s="705"/>
      <c r="S18" s="706"/>
      <c r="T18" s="705"/>
      <c r="U18" s="706"/>
      <c r="V18" s="705"/>
      <c r="W18" s="706"/>
      <c r="X18" s="1355"/>
      <c r="Y18" s="3783"/>
      <c r="Z18" s="1356"/>
      <c r="AA18" s="1353">
        <v>1</v>
      </c>
      <c r="AB18" s="1353">
        <v>1</v>
      </c>
      <c r="AC18" s="1960">
        <v>1</v>
      </c>
    </row>
    <row r="19" spans="1:29" ht="15">
      <c r="A19" s="379"/>
      <c r="B19" s="579" t="s">
        <v>1810</v>
      </c>
      <c r="C19" s="1961" t="str">
        <f>估价对象房地状况!C7</f>
        <v>较好</v>
      </c>
      <c r="D19" s="406">
        <v>100</v>
      </c>
      <c r="E19" s="410" t="s">
        <v>3386</v>
      </c>
      <c r="F19" s="406">
        <f>SUMIF(81:81,E20,82:82)-SUMIF(81:81,C20,82:82)+100</f>
        <v>100</v>
      </c>
      <c r="G19" s="410" t="s">
        <v>3386</v>
      </c>
      <c r="H19" s="401">
        <f>SUMIF(81:81,G20,82:82)-SUMIF(81:81,C20,82:82)+100</f>
        <v>100</v>
      </c>
      <c r="I19" s="410" t="s">
        <v>3386</v>
      </c>
      <c r="J19" s="401">
        <f>SUMIF(81:81,I20,82:82)-SUMIF(81:81,C20,82:82)+100</f>
        <v>100</v>
      </c>
      <c r="K19" s="563">
        <v>2</v>
      </c>
      <c r="L19" s="2715"/>
      <c r="M19" s="2709"/>
      <c r="N19" s="2709"/>
      <c r="O19" s="2709"/>
      <c r="P19" s="3801"/>
      <c r="Q19" s="1352" t="str">
        <f>B19</f>
        <v>公共配套设施</v>
      </c>
      <c r="R19" s="705" t="s">
        <v>14</v>
      </c>
      <c r="S19" s="706">
        <f>F19</f>
        <v>100</v>
      </c>
      <c r="T19" s="705" t="s">
        <v>14</v>
      </c>
      <c r="U19" s="706">
        <f>H19</f>
        <v>100</v>
      </c>
      <c r="V19" s="705" t="s">
        <v>14</v>
      </c>
      <c r="W19" s="706">
        <f>J19</f>
        <v>100</v>
      </c>
      <c r="X19" s="1355"/>
      <c r="Y19" s="3783"/>
      <c r="Z19" s="1356" t="str">
        <f>Q19</f>
        <v>公共配套设施</v>
      </c>
      <c r="AA19" s="1353">
        <f t="shared" si="3"/>
        <v>1</v>
      </c>
      <c r="AB19" s="1353">
        <f t="shared" si="4"/>
        <v>1</v>
      </c>
      <c r="AC19" s="1960">
        <f t="shared" si="5"/>
        <v>1</v>
      </c>
    </row>
    <row r="20" spans="1:29" ht="15">
      <c r="A20" s="379"/>
      <c r="B20" s="580"/>
      <c r="C20" s="1904" t="s">
        <v>3386</v>
      </c>
      <c r="D20" s="399"/>
      <c r="E20" s="1897" t="s">
        <v>3386</v>
      </c>
      <c r="F20" s="399"/>
      <c r="G20" s="1897" t="s">
        <v>3386</v>
      </c>
      <c r="H20" s="399"/>
      <c r="I20" s="1897" t="s">
        <v>3386</v>
      </c>
      <c r="J20" s="399"/>
      <c r="K20" s="564"/>
      <c r="L20" s="2715"/>
      <c r="M20" s="2709"/>
      <c r="N20" s="2709"/>
      <c r="O20" s="2709"/>
      <c r="P20" s="3801"/>
      <c r="Q20" s="1352"/>
      <c r="R20" s="705"/>
      <c r="S20" s="706"/>
      <c r="T20" s="705"/>
      <c r="U20" s="706"/>
      <c r="V20" s="705"/>
      <c r="W20" s="706"/>
      <c r="X20" s="1355"/>
      <c r="Y20" s="3783"/>
      <c r="Z20" s="1356"/>
      <c r="AA20" s="1353">
        <v>1</v>
      </c>
      <c r="AB20" s="1353">
        <v>1</v>
      </c>
      <c r="AC20" s="1960">
        <v>1</v>
      </c>
    </row>
    <row r="21" spans="1:29" ht="15">
      <c r="A21" s="379"/>
      <c r="B21" s="581" t="s">
        <v>1811</v>
      </c>
      <c r="C21" s="1961"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1</v>
      </c>
      <c r="L21" s="2715"/>
      <c r="M21" s="2709"/>
      <c r="N21" s="2709"/>
      <c r="O21" s="2709"/>
      <c r="P21" s="3801"/>
      <c r="Q21" s="1352" t="str">
        <f>B21</f>
        <v>基础设施水平</v>
      </c>
      <c r="R21" s="705" t="s">
        <v>14</v>
      </c>
      <c r="S21" s="706">
        <f>F21</f>
        <v>100</v>
      </c>
      <c r="T21" s="705" t="s">
        <v>14</v>
      </c>
      <c r="U21" s="706">
        <f>H21</f>
        <v>100</v>
      </c>
      <c r="V21" s="705" t="s">
        <v>14</v>
      </c>
      <c r="W21" s="706">
        <f>J21</f>
        <v>100</v>
      </c>
      <c r="X21" s="1355"/>
      <c r="Y21" s="3783"/>
      <c r="Z21" s="1356" t="str">
        <f>Q21</f>
        <v>基础设施水平</v>
      </c>
      <c r="AA21" s="1353">
        <f t="shared" ref="AA21" si="8">D21/F21</f>
        <v>1</v>
      </c>
      <c r="AB21" s="1353">
        <f t="shared" ref="AB21" si="9">D21/H21</f>
        <v>1</v>
      </c>
      <c r="AC21" s="1960">
        <f t="shared" ref="AC21" si="10">D21/J21</f>
        <v>1</v>
      </c>
    </row>
    <row r="22" spans="1:29" ht="15">
      <c r="A22" s="379"/>
      <c r="B22" s="581"/>
      <c r="C22" s="1962" t="s">
        <v>3390</v>
      </c>
      <c r="D22" s="399"/>
      <c r="E22" s="398" t="s">
        <v>3390</v>
      </c>
      <c r="F22" s="399"/>
      <c r="G22" s="398" t="s">
        <v>3390</v>
      </c>
      <c r="H22" s="399"/>
      <c r="I22" s="398" t="s">
        <v>3390</v>
      </c>
      <c r="J22" s="399"/>
      <c r="K22" s="1130"/>
      <c r="L22" s="2715"/>
      <c r="M22" s="2709"/>
      <c r="N22" s="2709"/>
      <c r="O22" s="2709"/>
      <c r="P22" s="3801"/>
      <c r="Q22" s="1352"/>
      <c r="R22" s="705"/>
      <c r="S22" s="706"/>
      <c r="T22" s="705"/>
      <c r="U22" s="706"/>
      <c r="V22" s="705"/>
      <c r="W22" s="706"/>
      <c r="X22" s="1355"/>
      <c r="Y22" s="3783"/>
      <c r="Z22" s="1356"/>
      <c r="AA22" s="1353">
        <v>1</v>
      </c>
      <c r="AB22" s="1353">
        <v>1</v>
      </c>
      <c r="AC22" s="1960">
        <v>1</v>
      </c>
    </row>
    <row r="23" spans="1:29" ht="15">
      <c r="A23" s="379"/>
      <c r="B23" s="579" t="s">
        <v>1812</v>
      </c>
      <c r="C23" s="1961" t="str">
        <f>估价对象房地状况!C9</f>
        <v>较好</v>
      </c>
      <c r="D23" s="401">
        <v>100</v>
      </c>
      <c r="E23" s="405" t="s">
        <v>3386</v>
      </c>
      <c r="F23" s="401">
        <f>SUMIF(85:85,E24,86:86)-SUMIF(85:85,C24,86:86)+100</f>
        <v>100</v>
      </c>
      <c r="G23" s="405" t="s">
        <v>3386</v>
      </c>
      <c r="H23" s="401">
        <f>SUMIF(85:85,G24,86:86)-SUMIF(85:85,C24,86:86)+100</f>
        <v>100</v>
      </c>
      <c r="I23" s="405" t="s">
        <v>3386</v>
      </c>
      <c r="J23" s="401">
        <f>SUMIF(85:85,I24,86:86)-SUMIF(85:85,C24,86:86)+100</f>
        <v>100</v>
      </c>
      <c r="K23" s="563">
        <v>2</v>
      </c>
      <c r="L23" s="2715"/>
      <c r="M23" s="2709"/>
      <c r="N23" s="2709"/>
      <c r="O23" s="2709"/>
      <c r="P23" s="3801"/>
      <c r="Q23" s="1352" t="str">
        <f>B23</f>
        <v>环境质量</v>
      </c>
      <c r="R23" s="705" t="s">
        <v>14</v>
      </c>
      <c r="S23" s="706">
        <f>F23</f>
        <v>100</v>
      </c>
      <c r="T23" s="705" t="s">
        <v>14</v>
      </c>
      <c r="U23" s="706">
        <f>H23</f>
        <v>100</v>
      </c>
      <c r="V23" s="705" t="s">
        <v>14</v>
      </c>
      <c r="W23" s="706">
        <f>J23</f>
        <v>100</v>
      </c>
      <c r="X23" s="1355"/>
      <c r="Y23" s="3783"/>
      <c r="Z23" s="1356" t="str">
        <f>Q23</f>
        <v>环境质量</v>
      </c>
      <c r="AA23" s="1353">
        <f t="shared" si="3"/>
        <v>1</v>
      </c>
      <c r="AB23" s="1353">
        <f t="shared" si="4"/>
        <v>1</v>
      </c>
      <c r="AC23" s="1960">
        <f t="shared" si="5"/>
        <v>1</v>
      </c>
    </row>
    <row r="24" spans="1:29" ht="15">
      <c r="A24" s="379"/>
      <c r="B24" s="581"/>
      <c r="C24" s="1904" t="s">
        <v>3386</v>
      </c>
      <c r="D24" s="399"/>
      <c r="E24" s="1897" t="s">
        <v>3386</v>
      </c>
      <c r="F24" s="399"/>
      <c r="G24" s="1897" t="s">
        <v>3386</v>
      </c>
      <c r="H24" s="399"/>
      <c r="I24" s="1897" t="s">
        <v>3386</v>
      </c>
      <c r="J24" s="399"/>
      <c r="K24" s="564"/>
      <c r="L24" s="2715"/>
      <c r="M24" s="2709"/>
      <c r="N24" s="2709"/>
      <c r="O24" s="2709"/>
      <c r="P24" s="3801"/>
      <c r="Q24" s="1352"/>
      <c r="R24" s="705"/>
      <c r="S24" s="706"/>
      <c r="T24" s="705"/>
      <c r="U24" s="706"/>
      <c r="V24" s="705"/>
      <c r="W24" s="706"/>
      <c r="X24" s="1355"/>
      <c r="Y24" s="3783"/>
      <c r="Z24" s="1356"/>
      <c r="AA24" s="1353">
        <v>1</v>
      </c>
      <c r="AB24" s="1353">
        <v>1</v>
      </c>
      <c r="AC24" s="1960">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5"/>
      <c r="M25" s="2709"/>
      <c r="N25" s="2709"/>
      <c r="O25" s="2709"/>
      <c r="P25" s="3801"/>
      <c r="Q25" s="1352" t="str">
        <f>B25</f>
        <v>毗邻道路的类型与等级</v>
      </c>
      <c r="R25" s="705" t="s">
        <v>14</v>
      </c>
      <c r="S25" s="706">
        <f>F25</f>
        <v>100</v>
      </c>
      <c r="T25" s="705" t="s">
        <v>14</v>
      </c>
      <c r="U25" s="706">
        <f>H25</f>
        <v>100</v>
      </c>
      <c r="V25" s="705" t="s">
        <v>14</v>
      </c>
      <c r="W25" s="706">
        <f>J25</f>
        <v>100</v>
      </c>
      <c r="X25" s="1355"/>
      <c r="Y25" s="3783"/>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5"/>
      <c r="M26" s="2709"/>
      <c r="N26" s="2709"/>
      <c r="O26" s="2709"/>
      <c r="P26" s="3801"/>
      <c r="Q26" s="1352"/>
      <c r="R26" s="705"/>
      <c r="S26" s="706"/>
      <c r="T26" s="705"/>
      <c r="U26" s="706"/>
      <c r="V26" s="705"/>
      <c r="W26" s="706"/>
      <c r="X26" s="1355"/>
      <c r="Y26" s="3783"/>
      <c r="Z26" s="1356"/>
      <c r="AA26" s="1353">
        <v>1</v>
      </c>
      <c r="AB26" s="1353">
        <v>1</v>
      </c>
      <c r="AC26" s="1960">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801"/>
      <c r="Q27" s="1352" t="str">
        <f t="shared" ref="Q27:Q47" si="11">B27</f>
        <v>楼层</v>
      </c>
      <c r="R27" s="705" t="s">
        <v>14</v>
      </c>
      <c r="S27" s="706">
        <f>F27</f>
        <v>100</v>
      </c>
      <c r="T27" s="705" t="s">
        <v>14</v>
      </c>
      <c r="U27" s="706">
        <f>H27</f>
        <v>100</v>
      </c>
      <c r="V27" s="705" t="s">
        <v>14</v>
      </c>
      <c r="W27" s="706">
        <f>J27</f>
        <v>100</v>
      </c>
      <c r="X27" s="1355"/>
      <c r="Y27" s="3783"/>
      <c r="Z27" s="1356" t="str">
        <f>Q27</f>
        <v>楼层</v>
      </c>
      <c r="AA27" s="1353">
        <f t="shared" si="3"/>
        <v>1</v>
      </c>
      <c r="AB27" s="1353">
        <f t="shared" si="4"/>
        <v>1</v>
      </c>
      <c r="AC27" s="1960">
        <f t="shared" si="5"/>
        <v>1</v>
      </c>
    </row>
    <row r="28" spans="1:29" s="108" customFormat="1" ht="15.75" thickBot="1">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801"/>
      <c r="Q28" s="1343" t="str">
        <f t="shared" si="11"/>
        <v>朝向</v>
      </c>
      <c r="R28" s="701" t="s">
        <v>14</v>
      </c>
      <c r="S28" s="702">
        <f>F28</f>
        <v>100</v>
      </c>
      <c r="T28" s="701" t="s">
        <v>14</v>
      </c>
      <c r="U28" s="702">
        <f>H28</f>
        <v>100</v>
      </c>
      <c r="V28" s="701" t="s">
        <v>14</v>
      </c>
      <c r="W28" s="702">
        <f>J28</f>
        <v>100</v>
      </c>
      <c r="X28" s="703"/>
      <c r="Y28" s="3783"/>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801"/>
      <c r="Q29" s="1352">
        <f t="shared" si="11"/>
        <v>111</v>
      </c>
      <c r="R29" s="705" t="s">
        <v>14</v>
      </c>
      <c r="S29" s="706">
        <f t="shared" ref="S29:S47" si="12">F29</f>
        <v>100</v>
      </c>
      <c r="T29" s="705" t="s">
        <v>14</v>
      </c>
      <c r="U29" s="706">
        <f t="shared" ref="U29:U47" si="13">H29</f>
        <v>100</v>
      </c>
      <c r="V29" s="705" t="s">
        <v>14</v>
      </c>
      <c r="W29" s="706">
        <f t="shared" ref="W29:W47" si="14">J29</f>
        <v>100</v>
      </c>
      <c r="X29" s="1355"/>
      <c r="Y29" s="3783"/>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801"/>
      <c r="Q30" s="1352">
        <f t="shared" si="11"/>
        <v>111</v>
      </c>
      <c r="R30" s="705" t="s">
        <v>14</v>
      </c>
      <c r="S30" s="706">
        <f t="shared" si="12"/>
        <v>100</v>
      </c>
      <c r="T30" s="705" t="s">
        <v>14</v>
      </c>
      <c r="U30" s="706">
        <f t="shared" si="13"/>
        <v>100</v>
      </c>
      <c r="V30" s="705" t="s">
        <v>14</v>
      </c>
      <c r="W30" s="706">
        <f t="shared" si="14"/>
        <v>100</v>
      </c>
      <c r="X30" s="1355"/>
      <c r="Y30" s="3783"/>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801"/>
      <c r="Q31" s="1352">
        <f t="shared" si="11"/>
        <v>111</v>
      </c>
      <c r="R31" s="705" t="s">
        <v>14</v>
      </c>
      <c r="S31" s="706">
        <f t="shared" si="12"/>
        <v>100</v>
      </c>
      <c r="T31" s="705" t="s">
        <v>14</v>
      </c>
      <c r="U31" s="706">
        <f t="shared" si="13"/>
        <v>100</v>
      </c>
      <c r="V31" s="705" t="s">
        <v>14</v>
      </c>
      <c r="W31" s="706">
        <f t="shared" si="14"/>
        <v>100</v>
      </c>
      <c r="X31" s="1355"/>
      <c r="Y31" s="3783"/>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801"/>
      <c r="Q32" s="1352">
        <f t="shared" si="11"/>
        <v>111</v>
      </c>
      <c r="R32" s="705" t="s">
        <v>14</v>
      </c>
      <c r="S32" s="706">
        <f t="shared" si="12"/>
        <v>100</v>
      </c>
      <c r="T32" s="705" t="s">
        <v>14</v>
      </c>
      <c r="U32" s="706">
        <f t="shared" si="13"/>
        <v>100</v>
      </c>
      <c r="V32" s="705" t="s">
        <v>14</v>
      </c>
      <c r="W32" s="706">
        <f t="shared" si="14"/>
        <v>100</v>
      </c>
      <c r="X32" s="1355"/>
      <c r="Y32" s="3783"/>
      <c r="Z32" s="1356">
        <f t="shared" si="15"/>
        <v>111</v>
      </c>
      <c r="AA32" s="1353">
        <f t="shared" si="3"/>
        <v>1</v>
      </c>
      <c r="AB32" s="1353">
        <f t="shared" si="4"/>
        <v>1</v>
      </c>
      <c r="AC32" s="1960">
        <f t="shared" si="5"/>
        <v>1</v>
      </c>
    </row>
    <row r="33" spans="1:29" ht="15">
      <c r="A33" s="391" t="s">
        <v>1692</v>
      </c>
      <c r="B33" s="63" t="s">
        <v>1815</v>
      </c>
      <c r="C33" s="1965" t="s">
        <v>3475</v>
      </c>
      <c r="D33" s="418">
        <v>100</v>
      </c>
      <c r="E33" s="1965" t="s">
        <v>3475</v>
      </c>
      <c r="F33" s="412">
        <f>SUMIF(101:101,E33,102:102)-SUMIF(101:101,C33,102:102)+100</f>
        <v>100</v>
      </c>
      <c r="G33" s="1965" t="s">
        <v>3475</v>
      </c>
      <c r="H33" s="386">
        <f>SUMIF(101:101,G33,102:102)-SUMIF(101:101,C33,102:102)+100</f>
        <v>100</v>
      </c>
      <c r="I33" s="1965" t="s">
        <v>3475</v>
      </c>
      <c r="J33" s="418">
        <f>SUMIF(101:101,I33,102:102)-SUMIF(101:101,C33,102:102)+100</f>
        <v>100</v>
      </c>
      <c r="K33" s="561">
        <v>5</v>
      </c>
      <c r="L33" s="2715"/>
      <c r="M33" s="2709"/>
      <c r="N33" s="2709"/>
      <c r="O33" s="2709"/>
      <c r="P33" s="3796" t="s">
        <v>1694</v>
      </c>
      <c r="Q33" s="1352" t="str">
        <f t="shared" si="11"/>
        <v>建筑类型</v>
      </c>
      <c r="R33" s="705" t="s">
        <v>14</v>
      </c>
      <c r="S33" s="706">
        <f t="shared" si="12"/>
        <v>100</v>
      </c>
      <c r="T33" s="705" t="s">
        <v>14</v>
      </c>
      <c r="U33" s="706">
        <f t="shared" si="13"/>
        <v>100</v>
      </c>
      <c r="V33" s="705" t="s">
        <v>14</v>
      </c>
      <c r="W33" s="706">
        <f t="shared" si="14"/>
        <v>100</v>
      </c>
      <c r="X33" s="1355"/>
      <c r="Y33" s="3785" t="s">
        <v>1694</v>
      </c>
      <c r="Z33" s="1356" t="str">
        <f t="shared" si="15"/>
        <v>建筑类型</v>
      </c>
      <c r="AA33" s="1353">
        <f t="shared" si="3"/>
        <v>1</v>
      </c>
      <c r="AB33" s="1353">
        <f t="shared" si="4"/>
        <v>1</v>
      </c>
      <c r="AC33" s="1960">
        <f t="shared" si="5"/>
        <v>1</v>
      </c>
    </row>
    <row r="34" spans="1:29" s="422" customFormat="1" ht="15">
      <c r="A34" s="419"/>
      <c r="B34" s="375" t="s">
        <v>1695</v>
      </c>
      <c r="C34" s="420">
        <f>'数据-汇总表'!E3</f>
        <v>103889.93</v>
      </c>
      <c r="D34" s="127">
        <v>100</v>
      </c>
      <c r="E34" s="381">
        <f>'案例 (2)'!C2</f>
        <v>100</v>
      </c>
      <c r="F34" s="376">
        <f>LOOKUP(E34,104:104,105:105)-LOOKUP(C34,104:104,105:105)+100</f>
        <v>198</v>
      </c>
      <c r="G34" s="380">
        <f>'案例 (2)'!C3</f>
        <v>100</v>
      </c>
      <c r="H34" s="127">
        <f>LOOKUP(G34,104:104,105:105)-LOOKUP(C34,104:104,105:105)+100</f>
        <v>198</v>
      </c>
      <c r="I34" s="380">
        <f>'案例 (2)'!C4</f>
        <v>100</v>
      </c>
      <c r="J34" s="127">
        <f>LOOKUP(I34,104:104,105:105)-LOOKUP(C34,104:104,105:105)+100</f>
        <v>198</v>
      </c>
      <c r="K34" s="562"/>
      <c r="L34" s="2714"/>
      <c r="M34" s="2716"/>
      <c r="N34" s="2716"/>
      <c r="O34" s="2716"/>
      <c r="P34" s="3797"/>
      <c r="Q34" s="707" t="str">
        <f t="shared" si="11"/>
        <v>项目建筑规模</v>
      </c>
      <c r="R34" s="708" t="s">
        <v>14</v>
      </c>
      <c r="S34" s="709">
        <f t="shared" si="12"/>
        <v>198</v>
      </c>
      <c r="T34" s="708" t="s">
        <v>14</v>
      </c>
      <c r="U34" s="709">
        <f t="shared" si="13"/>
        <v>198</v>
      </c>
      <c r="V34" s="708" t="s">
        <v>14</v>
      </c>
      <c r="W34" s="709">
        <f t="shared" si="14"/>
        <v>198</v>
      </c>
      <c r="X34" s="710"/>
      <c r="Y34" s="3785"/>
      <c r="Z34" s="711" t="str">
        <f t="shared" si="15"/>
        <v>项目建筑规模</v>
      </c>
      <c r="AA34" s="1353">
        <f t="shared" si="3"/>
        <v>0.50505050505050508</v>
      </c>
      <c r="AB34" s="1353">
        <f t="shared" si="4"/>
        <v>0.50505050505050508</v>
      </c>
      <c r="AC34" s="1960">
        <f t="shared" si="5"/>
        <v>0.50505050505050508</v>
      </c>
    </row>
    <row r="35" spans="1:29" ht="15">
      <c r="A35" s="423"/>
      <c r="B35" s="375" t="s">
        <v>1696</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v>2</v>
      </c>
      <c r="L35" s="2715"/>
      <c r="M35" s="2709"/>
      <c r="N35" s="2709"/>
      <c r="O35" s="2709"/>
      <c r="P35" s="3797"/>
      <c r="Q35" s="1352" t="str">
        <f t="shared" si="11"/>
        <v>建筑结构</v>
      </c>
      <c r="R35" s="705" t="s">
        <v>14</v>
      </c>
      <c r="S35" s="706">
        <f t="shared" si="12"/>
        <v>100</v>
      </c>
      <c r="T35" s="705" t="s">
        <v>14</v>
      </c>
      <c r="U35" s="706">
        <f t="shared" si="13"/>
        <v>100</v>
      </c>
      <c r="V35" s="705" t="s">
        <v>14</v>
      </c>
      <c r="W35" s="706">
        <f t="shared" si="14"/>
        <v>100</v>
      </c>
      <c r="X35" s="1355"/>
      <c r="Y35" s="3785"/>
      <c r="Z35" s="1356" t="str">
        <f t="shared" si="15"/>
        <v>建筑结构</v>
      </c>
      <c r="AA35" s="1353">
        <f t="shared" si="3"/>
        <v>1</v>
      </c>
      <c r="AB35" s="1353">
        <f t="shared" si="4"/>
        <v>1</v>
      </c>
      <c r="AC35" s="1960">
        <f t="shared" si="5"/>
        <v>1</v>
      </c>
    </row>
    <row r="36" spans="1:29" ht="15">
      <c r="A36" s="423"/>
      <c r="B36" s="375" t="s">
        <v>1783</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15"/>
      <c r="M36" s="2709"/>
      <c r="N36" s="2709"/>
      <c r="O36" s="2709"/>
      <c r="P36" s="3797"/>
      <c r="Q36" s="1352" t="str">
        <f t="shared" si="11"/>
        <v>公共部分装修</v>
      </c>
      <c r="R36" s="705" t="s">
        <v>14</v>
      </c>
      <c r="S36" s="706">
        <f t="shared" si="12"/>
        <v>100</v>
      </c>
      <c r="T36" s="705" t="s">
        <v>14</v>
      </c>
      <c r="U36" s="706">
        <f t="shared" si="13"/>
        <v>100</v>
      </c>
      <c r="V36" s="705" t="s">
        <v>14</v>
      </c>
      <c r="W36" s="706">
        <f t="shared" si="14"/>
        <v>100</v>
      </c>
      <c r="X36" s="1355"/>
      <c r="Y36" s="3785"/>
      <c r="Z36" s="1356" t="str">
        <f t="shared" si="15"/>
        <v>公共部分装修</v>
      </c>
      <c r="AA36" s="1353">
        <f t="shared" si="3"/>
        <v>1</v>
      </c>
      <c r="AB36" s="1353">
        <f t="shared" si="4"/>
        <v>1</v>
      </c>
      <c r="AC36" s="1960">
        <f t="shared" si="5"/>
        <v>1</v>
      </c>
    </row>
    <row r="37" spans="1:29" ht="15">
      <c r="A37" s="423"/>
      <c r="B37" s="375" t="s">
        <v>1784</v>
      </c>
      <c r="C37" s="425">
        <f>'数据-取费表'!N16</f>
        <v>0.9</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5"/>
      <c r="M37" s="2709"/>
      <c r="N37" s="2709"/>
      <c r="O37" s="2709"/>
      <c r="P37" s="3797"/>
      <c r="Q37" s="1352" t="str">
        <f t="shared" si="11"/>
        <v>成新度</v>
      </c>
      <c r="R37" s="705" t="s">
        <v>14</v>
      </c>
      <c r="S37" s="706">
        <f t="shared" si="12"/>
        <v>100</v>
      </c>
      <c r="T37" s="705" t="s">
        <v>14</v>
      </c>
      <c r="U37" s="706">
        <f t="shared" si="13"/>
        <v>100</v>
      </c>
      <c r="V37" s="705" t="s">
        <v>14</v>
      </c>
      <c r="W37" s="706">
        <f t="shared" si="14"/>
        <v>100</v>
      </c>
      <c r="X37" s="1355"/>
      <c r="Y37" s="3785"/>
      <c r="Z37" s="1356" t="str">
        <f t="shared" si="15"/>
        <v>成新度</v>
      </c>
      <c r="AA37" s="1353">
        <f t="shared" si="3"/>
        <v>1</v>
      </c>
      <c r="AB37" s="1353">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97"/>
      <c r="Q38" s="1343" t="str">
        <f t="shared" si="11"/>
        <v>写字楼等级</v>
      </c>
      <c r="R38" s="701" t="s">
        <v>14</v>
      </c>
      <c r="S38" s="702">
        <f t="shared" si="12"/>
        <v>100</v>
      </c>
      <c r="T38" s="701" t="s">
        <v>14</v>
      </c>
      <c r="U38" s="702">
        <f t="shared" si="13"/>
        <v>100</v>
      </c>
      <c r="V38" s="701" t="s">
        <v>14</v>
      </c>
      <c r="W38" s="702">
        <f t="shared" si="14"/>
        <v>100</v>
      </c>
      <c r="X38" s="703"/>
      <c r="Y38" s="3785"/>
      <c r="Z38" s="52" t="str">
        <f t="shared" si="15"/>
        <v>写字楼等级</v>
      </c>
      <c r="AA38" s="704">
        <f t="shared" si="3"/>
        <v>1</v>
      </c>
      <c r="AB38" s="704">
        <f t="shared" si="4"/>
        <v>1</v>
      </c>
      <c r="AC38" s="1957">
        <f t="shared" si="5"/>
        <v>1</v>
      </c>
    </row>
    <row r="39" spans="1:29" ht="15">
      <c r="A39" s="423"/>
      <c r="B39" s="375" t="s">
        <v>1817</v>
      </c>
      <c r="C39" s="411" t="s">
        <v>3483</v>
      </c>
      <c r="D39" s="386">
        <v>100</v>
      </c>
      <c r="E39" s="411" t="s">
        <v>3483</v>
      </c>
      <c r="F39" s="412">
        <f>SUMIF(115:115,E39,116:116)-SUMIF(115:115,C39,116:116)+100</f>
        <v>100</v>
      </c>
      <c r="G39" s="411" t="s">
        <v>3483</v>
      </c>
      <c r="H39" s="386">
        <f>SUMIF(115:115,G39,116:116)-SUMIF(115:115,C39,116:116)+100</f>
        <v>100</v>
      </c>
      <c r="I39" s="411" t="s">
        <v>3483</v>
      </c>
      <c r="J39" s="386">
        <f>SUMIF(115:115,I39,116:116)-SUMIF(115:115,C39,116:116)+100</f>
        <v>100</v>
      </c>
      <c r="K39" s="561">
        <v>2</v>
      </c>
      <c r="L39" s="2715"/>
      <c r="M39" s="2709"/>
      <c r="N39" s="2709"/>
      <c r="O39" s="2709"/>
      <c r="P39" s="3797" t="s">
        <v>1694</v>
      </c>
      <c r="Q39" s="1352" t="str">
        <f t="shared" si="11"/>
        <v>物业管理</v>
      </c>
      <c r="R39" s="705" t="s">
        <v>14</v>
      </c>
      <c r="S39" s="706">
        <f t="shared" si="12"/>
        <v>100</v>
      </c>
      <c r="T39" s="705" t="s">
        <v>14</v>
      </c>
      <c r="U39" s="706">
        <f t="shared" si="13"/>
        <v>100</v>
      </c>
      <c r="V39" s="705" t="s">
        <v>14</v>
      </c>
      <c r="W39" s="706">
        <f t="shared" si="14"/>
        <v>100</v>
      </c>
      <c r="X39" s="1355"/>
      <c r="Y39" s="3785" t="s">
        <v>1694</v>
      </c>
      <c r="Z39" s="1356" t="str">
        <f t="shared" si="15"/>
        <v>物业管理</v>
      </c>
      <c r="AA39" s="1353">
        <f t="shared" si="3"/>
        <v>1</v>
      </c>
      <c r="AB39" s="1353">
        <f t="shared" si="4"/>
        <v>1</v>
      </c>
      <c r="AC39" s="1960">
        <f t="shared" si="5"/>
        <v>1</v>
      </c>
    </row>
    <row r="40" spans="1:29" ht="15">
      <c r="A40" s="423"/>
      <c r="B40" s="375" t="s">
        <v>1785</v>
      </c>
      <c r="C40" s="411" t="s">
        <v>3465</v>
      </c>
      <c r="D40" s="386">
        <v>100</v>
      </c>
      <c r="E40" s="411" t="s">
        <v>3465</v>
      </c>
      <c r="F40" s="412">
        <f>SUMIF(117:117,E40,118:118)-SUMIF(117:117,C40,118:118)+100</f>
        <v>100</v>
      </c>
      <c r="G40" s="411" t="s">
        <v>3465</v>
      </c>
      <c r="H40" s="386">
        <f>SUMIF(117:117,G40,118:118)-SUMIF(117:117,C40,118:118)+100</f>
        <v>100</v>
      </c>
      <c r="I40" s="411" t="s">
        <v>3465</v>
      </c>
      <c r="J40" s="386">
        <f>SUMIF(117:117,I40,118:118)-SUMIF(117:117,C40,118:118)+100</f>
        <v>100</v>
      </c>
      <c r="K40" s="561">
        <v>1</v>
      </c>
      <c r="L40" s="2715"/>
      <c r="M40" s="2709"/>
      <c r="N40" s="2709"/>
      <c r="O40" s="2709"/>
      <c r="P40" s="3797"/>
      <c r="Q40" s="1352" t="str">
        <f t="shared" si="11"/>
        <v>市政基础设施</v>
      </c>
      <c r="R40" s="705" t="s">
        <v>14</v>
      </c>
      <c r="S40" s="706">
        <f t="shared" si="12"/>
        <v>100</v>
      </c>
      <c r="T40" s="705" t="s">
        <v>14</v>
      </c>
      <c r="U40" s="706">
        <f t="shared" si="13"/>
        <v>100</v>
      </c>
      <c r="V40" s="705" t="s">
        <v>14</v>
      </c>
      <c r="W40" s="706">
        <f t="shared" si="14"/>
        <v>100</v>
      </c>
      <c r="X40" s="1355"/>
      <c r="Y40" s="3785"/>
      <c r="Z40" s="1356" t="str">
        <f t="shared" si="15"/>
        <v>市政基础设施</v>
      </c>
      <c r="AA40" s="1353">
        <f t="shared" si="3"/>
        <v>1</v>
      </c>
      <c r="AB40" s="1353">
        <f t="shared" si="4"/>
        <v>1</v>
      </c>
      <c r="AC40" s="1960">
        <f t="shared" si="5"/>
        <v>1</v>
      </c>
    </row>
    <row r="41" spans="1:29" ht="15">
      <c r="A41" s="423"/>
      <c r="B41" s="375" t="s">
        <v>1787</v>
      </c>
      <c r="C41" s="565" t="s">
        <v>3487</v>
      </c>
      <c r="D41" s="386">
        <v>100</v>
      </c>
      <c r="E41" s="565" t="s">
        <v>3487</v>
      </c>
      <c r="F41" s="412">
        <f>SUMIF(119:119,E41,120:120)-SUMIF(119:119,C41,120:120)+100</f>
        <v>100</v>
      </c>
      <c r="G41" s="565" t="s">
        <v>3487</v>
      </c>
      <c r="H41" s="386">
        <f>SUMIF(119:119,G41,120:120)-SUMIF(119:119,C41,120:120)+100</f>
        <v>100</v>
      </c>
      <c r="I41" s="565" t="s">
        <v>3487</v>
      </c>
      <c r="J41" s="386">
        <f>SUMIF(119:119,I41,120:120)-SUMIF(119:119,C41,120:120)+100</f>
        <v>100</v>
      </c>
      <c r="K41" s="561">
        <v>5</v>
      </c>
      <c r="L41" s="2715"/>
      <c r="M41" s="2709"/>
      <c r="N41" s="2709"/>
      <c r="O41" s="2709"/>
      <c r="P41" s="3797"/>
      <c r="Q41" s="1352" t="str">
        <f t="shared" si="11"/>
        <v>层高</v>
      </c>
      <c r="R41" s="705" t="s">
        <v>14</v>
      </c>
      <c r="S41" s="706">
        <f t="shared" si="12"/>
        <v>100</v>
      </c>
      <c r="T41" s="705" t="s">
        <v>14</v>
      </c>
      <c r="U41" s="706">
        <f t="shared" si="13"/>
        <v>100</v>
      </c>
      <c r="V41" s="705" t="s">
        <v>14</v>
      </c>
      <c r="W41" s="706">
        <f t="shared" si="14"/>
        <v>100</v>
      </c>
      <c r="X41" s="1355"/>
      <c r="Y41" s="3785"/>
      <c r="Z41" s="1356" t="str">
        <f t="shared" si="15"/>
        <v>层高</v>
      </c>
      <c r="AA41" s="1353">
        <f t="shared" si="3"/>
        <v>1</v>
      </c>
      <c r="AB41" s="1353">
        <f t="shared" si="4"/>
        <v>1</v>
      </c>
      <c r="AC41" s="1960">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97"/>
      <c r="Q42" s="707" t="str">
        <f t="shared" si="11"/>
        <v>单套建筑面积</v>
      </c>
      <c r="R42" s="708" t="s">
        <v>14</v>
      </c>
      <c r="S42" s="709">
        <f t="shared" si="12"/>
        <v>100</v>
      </c>
      <c r="T42" s="708" t="s">
        <v>14</v>
      </c>
      <c r="U42" s="709">
        <f t="shared" si="13"/>
        <v>100</v>
      </c>
      <c r="V42" s="708" t="s">
        <v>14</v>
      </c>
      <c r="W42" s="709">
        <f t="shared" si="14"/>
        <v>100</v>
      </c>
      <c r="X42" s="710"/>
      <c r="Y42" s="3785"/>
      <c r="Z42" s="711" t="str">
        <f t="shared" si="15"/>
        <v>单套建筑面积</v>
      </c>
      <c r="AA42" s="1353">
        <f t="shared" si="3"/>
        <v>1</v>
      </c>
      <c r="AB42" s="1353">
        <f t="shared" si="4"/>
        <v>1</v>
      </c>
      <c r="AC42" s="1960">
        <f t="shared" si="5"/>
        <v>1</v>
      </c>
    </row>
    <row r="43" spans="1:29" ht="15">
      <c r="A43" s="423"/>
      <c r="B43" s="375" t="s">
        <v>1790</v>
      </c>
      <c r="C43" s="411" t="s">
        <v>3405</v>
      </c>
      <c r="D43" s="386">
        <v>100</v>
      </c>
      <c r="E43" s="411" t="s">
        <v>3405</v>
      </c>
      <c r="F43" s="412">
        <f>SUMIF(123:123,E43,124:124)-SUMIF(123:123,C43,124:124)+100</f>
        <v>100</v>
      </c>
      <c r="G43" s="411" t="s">
        <v>3405</v>
      </c>
      <c r="H43" s="386">
        <f>SUMIF(123:123,G43,124:124)-SUMIF(123:123,C43,124:124)+100</f>
        <v>100</v>
      </c>
      <c r="I43" s="411" t="s">
        <v>3405</v>
      </c>
      <c r="J43" s="386">
        <f>SUMIF(123:123,I43,124:124)-SUMIF(123:123,C43,124:124)+100</f>
        <v>100</v>
      </c>
      <c r="K43" s="561">
        <v>2</v>
      </c>
      <c r="L43" s="2715"/>
      <c r="M43" s="2709"/>
      <c r="N43" s="2709"/>
      <c r="O43" s="2709"/>
      <c r="P43" s="3797"/>
      <c r="Q43" s="1352" t="str">
        <f t="shared" si="11"/>
        <v>内部装修</v>
      </c>
      <c r="R43" s="705" t="s">
        <v>14</v>
      </c>
      <c r="S43" s="706">
        <f t="shared" si="12"/>
        <v>100</v>
      </c>
      <c r="T43" s="705" t="s">
        <v>14</v>
      </c>
      <c r="U43" s="706">
        <f t="shared" si="13"/>
        <v>100</v>
      </c>
      <c r="V43" s="705" t="s">
        <v>14</v>
      </c>
      <c r="W43" s="706">
        <f t="shared" si="14"/>
        <v>100</v>
      </c>
      <c r="X43" s="1355"/>
      <c r="Y43" s="3785"/>
      <c r="Z43" s="1356" t="str">
        <f t="shared" si="15"/>
        <v>内部装修</v>
      </c>
      <c r="AA43" s="1353">
        <f t="shared" si="3"/>
        <v>1</v>
      </c>
      <c r="AB43" s="1353">
        <f t="shared" si="4"/>
        <v>1</v>
      </c>
      <c r="AC43" s="1960">
        <f t="shared" si="5"/>
        <v>1</v>
      </c>
    </row>
    <row r="44" spans="1:29" ht="15.75" thickBot="1">
      <c r="A44" s="423"/>
      <c r="B44" s="375" t="s">
        <v>1705</v>
      </c>
      <c r="C44" s="411" t="s">
        <v>3386</v>
      </c>
      <c r="D44" s="386">
        <v>100</v>
      </c>
      <c r="E44" s="411" t="s">
        <v>3386</v>
      </c>
      <c r="F44" s="412">
        <f>SUMIF(125:125,E44,126:126)-SUMIF(125:125,C44,126:126)+100</f>
        <v>100</v>
      </c>
      <c r="G44" s="411" t="s">
        <v>3386</v>
      </c>
      <c r="H44" s="386">
        <f>SUMIF(125:125,G44,126:126)-SUMIF(125:125,C44,126:126)+100</f>
        <v>100</v>
      </c>
      <c r="I44" s="411" t="s">
        <v>3386</v>
      </c>
      <c r="J44" s="386">
        <f>SUMIF(125:125,I44,126:126)-SUMIF(125:125,C44,126:126)+100</f>
        <v>100</v>
      </c>
      <c r="K44" s="561">
        <v>2</v>
      </c>
      <c r="L44" s="2715"/>
      <c r="M44" s="2709"/>
      <c r="N44" s="2709"/>
      <c r="O44" s="2709"/>
      <c r="P44" s="3797"/>
      <c r="Q44" s="1352" t="str">
        <f t="shared" si="11"/>
        <v>内部装修维护情况</v>
      </c>
      <c r="R44" s="705" t="s">
        <v>14</v>
      </c>
      <c r="S44" s="706">
        <f t="shared" si="12"/>
        <v>100</v>
      </c>
      <c r="T44" s="705" t="s">
        <v>14</v>
      </c>
      <c r="U44" s="706">
        <f t="shared" si="13"/>
        <v>100</v>
      </c>
      <c r="V44" s="705" t="s">
        <v>14</v>
      </c>
      <c r="W44" s="706">
        <f t="shared" si="14"/>
        <v>100</v>
      </c>
      <c r="X44" s="1355"/>
      <c r="Y44" s="3785"/>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97"/>
      <c r="Q45" s="1343">
        <f t="shared" si="11"/>
        <v>111</v>
      </c>
      <c r="R45" s="701" t="s">
        <v>14</v>
      </c>
      <c r="S45" s="702">
        <f t="shared" si="12"/>
        <v>100</v>
      </c>
      <c r="T45" s="701" t="s">
        <v>14</v>
      </c>
      <c r="U45" s="702">
        <f t="shared" si="13"/>
        <v>100</v>
      </c>
      <c r="V45" s="701" t="s">
        <v>14</v>
      </c>
      <c r="W45" s="702">
        <f t="shared" si="14"/>
        <v>100</v>
      </c>
      <c r="X45" s="703"/>
      <c r="Y45" s="3785"/>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97"/>
      <c r="Q46" s="1352">
        <f t="shared" si="11"/>
        <v>111</v>
      </c>
      <c r="R46" s="705" t="s">
        <v>14</v>
      </c>
      <c r="S46" s="706">
        <f t="shared" si="12"/>
        <v>100</v>
      </c>
      <c r="T46" s="705" t="s">
        <v>14</v>
      </c>
      <c r="U46" s="706">
        <f t="shared" si="13"/>
        <v>100</v>
      </c>
      <c r="V46" s="705" t="s">
        <v>14</v>
      </c>
      <c r="W46" s="706">
        <f t="shared" si="14"/>
        <v>100</v>
      </c>
      <c r="X46" s="1355"/>
      <c r="Y46" s="3785"/>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98"/>
      <c r="Q47" s="1352">
        <f t="shared" si="11"/>
        <v>111</v>
      </c>
      <c r="R47" s="705" t="s">
        <v>14</v>
      </c>
      <c r="S47" s="706">
        <f t="shared" si="12"/>
        <v>100</v>
      </c>
      <c r="T47" s="705" t="s">
        <v>14</v>
      </c>
      <c r="U47" s="706">
        <f t="shared" si="13"/>
        <v>100</v>
      </c>
      <c r="V47" s="705" t="s">
        <v>14</v>
      </c>
      <c r="W47" s="706">
        <f t="shared" si="14"/>
        <v>100</v>
      </c>
      <c r="X47" s="1355"/>
      <c r="Y47" s="3799"/>
      <c r="Z47" s="1356">
        <f t="shared" si="15"/>
        <v>111</v>
      </c>
      <c r="AA47" s="1353">
        <f t="shared" si="3"/>
        <v>1</v>
      </c>
      <c r="AB47" s="1353">
        <f t="shared" si="4"/>
        <v>1</v>
      </c>
      <c r="AC47" s="1960">
        <f t="shared" si="5"/>
        <v>1</v>
      </c>
    </row>
    <row r="48" spans="1:29" ht="15">
      <c r="A48" s="430" t="s">
        <v>1706</v>
      </c>
      <c r="B48" s="431"/>
      <c r="C48" s="1154" t="s">
        <v>0</v>
      </c>
      <c r="D48" s="1155"/>
      <c r="E48" s="1156">
        <f>'案例 (2)'!E2</f>
        <v>20000</v>
      </c>
      <c r="F48" s="1157"/>
      <c r="G48" s="1158">
        <f>'案例 (2)'!E3</f>
        <v>20000</v>
      </c>
      <c r="H48" s="1159"/>
      <c r="I48" s="1156">
        <f>'案例 (2)'!E4</f>
        <v>20000</v>
      </c>
      <c r="J48" s="436"/>
      <c r="K48" s="714"/>
      <c r="L48" s="2717"/>
      <c r="M48" s="2709"/>
      <c r="N48" s="2709"/>
      <c r="O48" s="2709"/>
      <c r="P48" s="3791" t="str">
        <f>A48</f>
        <v>成交单价（元/平方米）</v>
      </c>
      <c r="Q48" s="3767"/>
      <c r="R48" s="3795">
        <f>E48</f>
        <v>20000</v>
      </c>
      <c r="S48" s="3795"/>
      <c r="T48" s="3795">
        <f>G48</f>
        <v>20000</v>
      </c>
      <c r="U48" s="3795"/>
      <c r="V48" s="3795">
        <f>I48</f>
        <v>20000</v>
      </c>
      <c r="W48" s="3795"/>
      <c r="X48" s="397"/>
      <c r="Y48" s="712"/>
      <c r="Z48" s="397"/>
      <c r="AA48" s="397"/>
      <c r="AB48" s="397"/>
      <c r="AC48" s="578"/>
    </row>
    <row r="49" spans="1:29" ht="15.75" thickBot="1">
      <c r="A49" s="437" t="s">
        <v>1791</v>
      </c>
      <c r="B49" s="438"/>
      <c r="C49" s="1160">
        <f>R50</f>
        <v>9903</v>
      </c>
      <c r="D49" s="2315" t="s">
        <v>2136</v>
      </c>
      <c r="E49" s="1161">
        <f>R49</f>
        <v>9903</v>
      </c>
      <c r="F49" s="2316"/>
      <c r="G49" s="1160">
        <f>T49</f>
        <v>9903</v>
      </c>
      <c r="H49" s="2316"/>
      <c r="I49" s="1161">
        <f>V49</f>
        <v>9903</v>
      </c>
      <c r="J49" s="2316"/>
      <c r="K49" s="2318">
        <f>F49+H49+J49</f>
        <v>0</v>
      </c>
      <c r="L49" s="2717"/>
      <c r="M49" s="2709"/>
      <c r="N49" s="2709"/>
      <c r="O49" s="2709"/>
      <c r="P49" s="3791" t="str">
        <f>A49</f>
        <v>比较价值（元/平方米）</v>
      </c>
      <c r="Q49" s="3767"/>
      <c r="R49" s="3795">
        <f>IF(F1="售价",ROUND(PRODUCT(R48,AA7:AA47),0),ROUND(PRODUCT(R48,AA7:AA47),1))</f>
        <v>9903</v>
      </c>
      <c r="S49" s="3795"/>
      <c r="T49" s="3795">
        <f>IF(F1="售价",ROUND(PRODUCT(T48,AB7:AB47),0),ROUND(PRODUCT(T48,AB7:AB47),1))</f>
        <v>9903</v>
      </c>
      <c r="U49" s="3795"/>
      <c r="V49" s="3795">
        <f>IF(F1="售价",ROUND(PRODUCT(V48,AC7:AC47),0),ROUND(PRODUCT(V48,AC7:AC47),1))</f>
        <v>9903</v>
      </c>
      <c r="W49" s="3795"/>
      <c r="X49" s="397"/>
      <c r="Y49" s="397"/>
      <c r="Z49" s="397"/>
      <c r="AA49" s="397"/>
      <c r="AB49" s="397"/>
      <c r="AC49" s="578"/>
    </row>
    <row r="50" spans="1:29" ht="15.75" thickBot="1">
      <c r="A50" s="441" t="s">
        <v>1792</v>
      </c>
      <c r="B50" s="442"/>
      <c r="C50" s="1163">
        <f>R50</f>
        <v>9903</v>
      </c>
      <c r="D50" s="1163"/>
      <c r="E50" s="1163"/>
      <c r="F50" s="1163"/>
      <c r="G50" s="1163"/>
      <c r="H50" s="1163"/>
      <c r="I50" s="1163"/>
      <c r="J50" s="443"/>
      <c r="K50" s="715"/>
      <c r="L50" s="2717"/>
      <c r="M50" s="2709"/>
      <c r="N50" s="2709"/>
      <c r="O50" s="2709"/>
      <c r="P50" s="3814" t="str">
        <f>A50</f>
        <v>估价对象XX用房的比较价值（楼面单价，元/平方米）</v>
      </c>
      <c r="Q50" s="3815"/>
      <c r="R50" s="3816">
        <f>IF(F1="售价",ROUND(IF(D49="简单平均",AVERAGE(R49:V49),R49*F49+T49*H49+V49*J49),0),ROUND(IF(D49="简单平均",AVERAGE(R49:V49),R49*F49+T49*H49+V49*J49),1))</f>
        <v>9903</v>
      </c>
      <c r="S50" s="3816"/>
      <c r="T50" s="3816"/>
      <c r="U50" s="3816"/>
      <c r="V50" s="3816"/>
      <c r="W50" s="3816"/>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1.0195900232252852</v>
      </c>
      <c r="F53" s="449" t="str">
        <f>IF(OR(E53&gt;=0.3,E53&lt;=-0.3),"超过30%","")</f>
        <v>超过30%</v>
      </c>
      <c r="G53" s="448">
        <f>IF(G48&lt;G49,G49/G48-1,G48/G49-1)</f>
        <v>1.0195900232252852</v>
      </c>
      <c r="H53" s="449" t="str">
        <f>IF(OR(G53&gt;=0.3,G53&lt;=-0.3),"超过30%","")</f>
        <v>超过30%</v>
      </c>
      <c r="I53" s="448">
        <f>IF(I48&lt;I49,I49/I48-1,I48/I49-1)</f>
        <v>1.0195900232252852</v>
      </c>
      <c r="J53" s="449" t="str">
        <f>IF(OR(I53&gt;=0.3,I53&lt;=-0.3),"超过30%","")</f>
        <v>超过30%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53" t="s">
        <v>3466</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3467</v>
      </c>
      <c r="D66" s="532" t="s">
        <v>3468</v>
      </c>
      <c r="E66" s="532" t="s">
        <v>3469</v>
      </c>
      <c r="F66" s="3454" t="s">
        <v>3471</v>
      </c>
      <c r="G66" s="532" t="s">
        <v>3470</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1</v>
      </c>
      <c r="E69" s="498">
        <v>2</v>
      </c>
      <c r="F69" s="498">
        <v>3</v>
      </c>
      <c r="G69" s="498">
        <v>4</v>
      </c>
      <c r="H69" s="498">
        <v>5</v>
      </c>
      <c r="I69" s="498">
        <v>6</v>
      </c>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55" t="s">
        <v>3472</v>
      </c>
      <c r="D89" s="3455" t="s">
        <v>3473</v>
      </c>
      <c r="E89" s="3455" t="s">
        <v>3474</v>
      </c>
      <c r="F89" s="1925"/>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58" t="s">
        <v>3476</v>
      </c>
      <c r="D101" s="3458" t="s">
        <v>3477</v>
      </c>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55" t="s">
        <v>3478</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55" t="s">
        <v>3479</v>
      </c>
      <c r="D108" s="3455" t="s">
        <v>3480</v>
      </c>
      <c r="E108" s="3455" t="s">
        <v>3481</v>
      </c>
      <c r="F108" s="3459" t="s">
        <v>3482</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55" t="s">
        <v>3484</v>
      </c>
      <c r="D115" s="3455" t="s">
        <v>3485</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59" t="s">
        <v>3486</v>
      </c>
      <c r="D119" s="3459" t="s">
        <v>3488</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3410</v>
      </c>
      <c r="B1" s="3450" t="s">
        <v>3414</v>
      </c>
      <c r="C1" s="3450" t="s">
        <v>3415</v>
      </c>
      <c r="D1" s="3450" t="s">
        <v>3416</v>
      </c>
      <c r="E1" s="3450" t="s">
        <v>3417</v>
      </c>
      <c r="F1" s="3450" t="s">
        <v>3418</v>
      </c>
      <c r="G1" s="3450" t="s">
        <v>3419</v>
      </c>
      <c r="H1" s="3450" t="s">
        <v>3420</v>
      </c>
    </row>
    <row r="2" spans="1:8">
      <c r="A2" s="3450" t="s">
        <v>3411</v>
      </c>
      <c r="B2" s="3451">
        <f>项目基本情况!D3</f>
        <v>45210</v>
      </c>
      <c r="C2">
        <v>100</v>
      </c>
      <c r="D2">
        <v>200</v>
      </c>
      <c r="E2">
        <f>ROUND(D2*10000/C2,0)</f>
        <v>20000</v>
      </c>
      <c r="F2">
        <v>2020</v>
      </c>
      <c r="G2" s="3452">
        <v>0.9</v>
      </c>
      <c r="H2">
        <v>3</v>
      </c>
    </row>
    <row r="3" spans="1:8">
      <c r="A3" s="3450" t="s">
        <v>3412</v>
      </c>
      <c r="B3" s="3451">
        <f>B2</f>
        <v>45210</v>
      </c>
      <c r="C3">
        <v>100</v>
      </c>
      <c r="D3">
        <v>200</v>
      </c>
      <c r="E3">
        <f>ROUND(D3*10000/C3,0)</f>
        <v>20000</v>
      </c>
      <c r="F3">
        <v>2020</v>
      </c>
      <c r="G3" s="3452">
        <v>0.9</v>
      </c>
      <c r="H3">
        <v>3</v>
      </c>
    </row>
    <row r="4" spans="1:8">
      <c r="A4" s="3450" t="s">
        <v>3413</v>
      </c>
      <c r="B4" s="3451">
        <f>B2</f>
        <v>45210</v>
      </c>
      <c r="C4">
        <v>100</v>
      </c>
      <c r="D4">
        <v>200</v>
      </c>
      <c r="E4">
        <f>ROUND(D4*10000/C4,0)</f>
        <v>20000</v>
      </c>
      <c r="F4">
        <v>2020</v>
      </c>
      <c r="G4" s="3452">
        <v>0.9</v>
      </c>
      <c r="H4">
        <v>3</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G5" sqref="G5:H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5" t="s">
        <v>1824</v>
      </c>
      <c r="C1" s="1224" t="s">
        <v>1660</v>
      </c>
      <c r="D1" s="1225"/>
      <c r="E1" s="3425" t="s">
        <v>3495</v>
      </c>
      <c r="F1" s="1879" t="s">
        <v>3422</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103931</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10004</v>
      </c>
      <c r="C3" s="354" t="s">
        <v>1766</v>
      </c>
      <c r="D3" s="353">
        <f>IF(D1="",'数据-汇总表'!E3,SUMIF('数据-汇总表'!$C19:$C33,D1,'数据-汇总表'!$E19:$E33))</f>
        <v>103889.93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68" t="s">
        <v>1768</v>
      </c>
      <c r="D4" s="3769"/>
      <c r="E4" s="3770" t="s">
        <v>1769</v>
      </c>
      <c r="F4" s="3771"/>
      <c r="G4" s="3768" t="s">
        <v>1770</v>
      </c>
      <c r="H4" s="3769"/>
      <c r="I4" s="3768" t="s">
        <v>1771</v>
      </c>
      <c r="J4" s="3769"/>
      <c r="K4" s="559" t="s">
        <v>1772</v>
      </c>
      <c r="L4" s="913"/>
      <c r="M4" s="914"/>
      <c r="N4" s="914"/>
      <c r="O4" s="914"/>
      <c r="P4" s="3772" t="s">
        <v>1773</v>
      </c>
      <c r="Q4" s="3773"/>
      <c r="R4" s="3755" t="s">
        <v>1769</v>
      </c>
      <c r="S4" s="3756"/>
      <c r="T4" s="3755" t="s">
        <v>1770</v>
      </c>
      <c r="U4" s="3756"/>
      <c r="V4" s="3780" t="s">
        <v>1771</v>
      </c>
      <c r="W4" s="3780"/>
      <c r="X4" s="1355"/>
      <c r="Y4" s="3755" t="s">
        <v>1773</v>
      </c>
      <c r="Z4" s="3756"/>
      <c r="AA4" s="3750" t="s">
        <v>1769</v>
      </c>
      <c r="AB4" s="3751" t="s">
        <v>1770</v>
      </c>
      <c r="AC4" s="3750" t="s">
        <v>1771</v>
      </c>
    </row>
    <row r="5" spans="1:29" ht="15">
      <c r="A5" s="358"/>
      <c r="B5" s="359"/>
      <c r="C5" s="3761" t="s">
        <v>1671</v>
      </c>
      <c r="D5" s="3762"/>
      <c r="E5" s="3759" t="str">
        <f>'案例 (3)'!A2</f>
        <v>AAA</v>
      </c>
      <c r="F5" s="3760"/>
      <c r="G5" s="3761" t="str">
        <f>'案例 (3)'!A3</f>
        <v>BBB</v>
      </c>
      <c r="H5" s="3762"/>
      <c r="I5" s="3761" t="str">
        <f>'案例 (3)'!A4</f>
        <v>CCC</v>
      </c>
      <c r="J5" s="3762"/>
      <c r="K5" s="559"/>
      <c r="L5" s="913"/>
      <c r="M5" s="914"/>
      <c r="N5" s="914"/>
      <c r="O5" s="914"/>
      <c r="P5" s="3774"/>
      <c r="Q5" s="3775"/>
      <c r="R5" s="3757"/>
      <c r="S5" s="3758"/>
      <c r="T5" s="3757"/>
      <c r="U5" s="3758"/>
      <c r="V5" s="3780"/>
      <c r="W5" s="3780"/>
      <c r="X5" s="1355"/>
      <c r="Y5" s="3757"/>
      <c r="Z5" s="3758"/>
      <c r="AA5" s="3751"/>
      <c r="AB5" s="3751"/>
      <c r="AC5" s="3751"/>
    </row>
    <row r="6" spans="1:29" ht="15.75" thickBot="1">
      <c r="A6" s="360"/>
      <c r="B6" s="361"/>
      <c r="C6" s="3763" t="s">
        <v>1675</v>
      </c>
      <c r="D6" s="3764"/>
      <c r="E6" s="3765" t="s">
        <v>1675</v>
      </c>
      <c r="F6" s="3766"/>
      <c r="G6" s="3763" t="s">
        <v>1675</v>
      </c>
      <c r="H6" s="3764"/>
      <c r="I6" s="3763" t="s">
        <v>1675</v>
      </c>
      <c r="J6" s="3764"/>
      <c r="K6" s="559" t="s">
        <v>1676</v>
      </c>
      <c r="L6" s="913"/>
      <c r="M6" s="914"/>
      <c r="N6" s="914"/>
      <c r="O6" s="914"/>
      <c r="P6" s="3776"/>
      <c r="Q6" s="3777"/>
      <c r="R6" s="3757"/>
      <c r="S6" s="3758"/>
      <c r="T6" s="3778"/>
      <c r="U6" s="3779"/>
      <c r="V6" s="3780"/>
      <c r="W6" s="3780"/>
      <c r="X6" s="1355"/>
      <c r="Y6" s="3778"/>
      <c r="Z6" s="3779"/>
      <c r="AA6" s="3752"/>
      <c r="AB6" s="3752"/>
      <c r="AC6" s="3752"/>
    </row>
    <row r="7" spans="1:29" s="108" customFormat="1" ht="15.75" thickBot="1">
      <c r="A7" s="362" t="s">
        <v>1677</v>
      </c>
      <c r="B7" s="363"/>
      <c r="C7" s="364">
        <f>'数据-取费表'!B2</f>
        <v>45210</v>
      </c>
      <c r="D7" s="365">
        <v>100</v>
      </c>
      <c r="E7" s="366">
        <f>'案例 (3)'!B2</f>
        <v>45210</v>
      </c>
      <c r="F7" s="367">
        <f>SUMIF(52:52,YEAR(E7)&amp;"-"&amp;MONTH(E7),53:53)</f>
        <v>100</v>
      </c>
      <c r="G7" s="366">
        <f>'案例 (3)'!B3</f>
        <v>45210</v>
      </c>
      <c r="H7" s="365">
        <f>SUMIF(52:52,YEAR(G7)&amp;"-"&amp;MONTH(G7),53:53)</f>
        <v>100</v>
      </c>
      <c r="I7" s="366">
        <f>'案例 (3)'!B4</f>
        <v>45210</v>
      </c>
      <c r="J7" s="365">
        <f>SUMIF(52:52,YEAR(I7)&amp;"-"&amp;MONTH(I7),53:53)</f>
        <v>100</v>
      </c>
      <c r="K7" s="560"/>
      <c r="L7" s="915"/>
      <c r="M7" s="916"/>
      <c r="N7" s="916"/>
      <c r="O7" s="916"/>
      <c r="P7" s="3753" t="s">
        <v>1678</v>
      </c>
      <c r="Q7" s="3781"/>
      <c r="R7" s="701" t="s">
        <v>14</v>
      </c>
      <c r="S7" s="702">
        <f t="shared" ref="S7:S15" si="0">F7</f>
        <v>100</v>
      </c>
      <c r="T7" s="701" t="s">
        <v>14</v>
      </c>
      <c r="U7" s="702">
        <f t="shared" ref="U7:U15" si="1">H7</f>
        <v>100</v>
      </c>
      <c r="V7" s="701" t="s">
        <v>14</v>
      </c>
      <c r="W7" s="702">
        <f t="shared" ref="W7:W15" si="2">J7</f>
        <v>100</v>
      </c>
      <c r="X7" s="703"/>
      <c r="Y7" s="3753" t="s">
        <v>1678</v>
      </c>
      <c r="Z7" s="3754"/>
      <c r="AA7" s="704">
        <f>D7/F7</f>
        <v>1</v>
      </c>
      <c r="AB7" s="704">
        <f>D7/H7</f>
        <v>1</v>
      </c>
      <c r="AC7" s="704">
        <f>D7/J7</f>
        <v>1</v>
      </c>
    </row>
    <row r="8" spans="1:29" s="108" customFormat="1" ht="15.75" thickBot="1">
      <c r="A8" s="362" t="s">
        <v>1679</v>
      </c>
      <c r="B8" s="363"/>
      <c r="C8" s="368" t="s">
        <v>3395</v>
      </c>
      <c r="D8" s="365">
        <v>100</v>
      </c>
      <c r="E8" s="368" t="s">
        <v>3423</v>
      </c>
      <c r="F8" s="367">
        <f>SUMIF(55:55,E8,56:56)-SUMIF(55:55,C8,56:56)+100</f>
        <v>102</v>
      </c>
      <c r="G8" s="368" t="s">
        <v>3423</v>
      </c>
      <c r="H8" s="365">
        <f>SUMIF(55:55,G8,56:56)-SUMIF(55:55,C8,56:56)+100</f>
        <v>102</v>
      </c>
      <c r="I8" s="368" t="s">
        <v>3423</v>
      </c>
      <c r="J8" s="365">
        <f>SUMIF(55:55,I8,56:56)-SUMIF(55:55,C8,56:56)+100</f>
        <v>102</v>
      </c>
      <c r="K8" s="560"/>
      <c r="L8" s="915"/>
      <c r="M8" s="916"/>
      <c r="N8" s="916"/>
      <c r="O8" s="916"/>
      <c r="P8" s="3753" t="s">
        <v>1681</v>
      </c>
      <c r="Q8" s="3754"/>
      <c r="R8" s="701" t="s">
        <v>14</v>
      </c>
      <c r="S8" s="702">
        <f t="shared" si="0"/>
        <v>102</v>
      </c>
      <c r="T8" s="701" t="s">
        <v>14</v>
      </c>
      <c r="U8" s="702">
        <f t="shared" si="1"/>
        <v>102</v>
      </c>
      <c r="V8" s="701" t="s">
        <v>14</v>
      </c>
      <c r="W8" s="702">
        <f t="shared" si="2"/>
        <v>102</v>
      </c>
      <c r="X8" s="703"/>
      <c r="Y8" s="3753" t="s">
        <v>1681</v>
      </c>
      <c r="Z8" s="3754"/>
      <c r="AA8" s="704">
        <f t="shared" ref="AA8:AA40" si="3">D8/F8</f>
        <v>0.98039215686274506</v>
      </c>
      <c r="AB8" s="704">
        <f t="shared" ref="AB8:AB40" si="4">D8/H8</f>
        <v>0.98039215686274506</v>
      </c>
      <c r="AC8" s="704">
        <f t="shared" ref="AC8:AC40" si="5">D8/J8</f>
        <v>0.98039215686274506</v>
      </c>
    </row>
    <row r="9" spans="1:29" s="108" customFormat="1">
      <c r="A9" s="369" t="s">
        <v>1682</v>
      </c>
      <c r="B9" s="63" t="s">
        <v>1683</v>
      </c>
      <c r="C9" s="3461" t="s">
        <v>3496</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67" t="s">
        <v>1684</v>
      </c>
      <c r="Q9" s="1343" t="str">
        <f t="shared" ref="Q9:Q15" si="6">B9</f>
        <v>用途</v>
      </c>
      <c r="R9" s="701" t="s">
        <v>14</v>
      </c>
      <c r="S9" s="702">
        <f t="shared" si="0"/>
        <v>100</v>
      </c>
      <c r="T9" s="701" t="s">
        <v>14</v>
      </c>
      <c r="U9" s="702">
        <f t="shared" si="1"/>
        <v>100</v>
      </c>
      <c r="V9" s="701" t="s">
        <v>14</v>
      </c>
      <c r="W9" s="702">
        <f t="shared" si="2"/>
        <v>100</v>
      </c>
      <c r="X9" s="703"/>
      <c r="Y9" s="3699" t="s">
        <v>1685</v>
      </c>
      <c r="Z9" s="52" t="str">
        <f t="shared" ref="Z9:Z15" si="7">Q9</f>
        <v>用途</v>
      </c>
      <c r="AA9" s="704">
        <f t="shared" si="3"/>
        <v>1</v>
      </c>
      <c r="AB9" s="704">
        <f t="shared" si="4"/>
        <v>1</v>
      </c>
      <c r="AC9" s="704">
        <f t="shared" si="5"/>
        <v>1</v>
      </c>
    </row>
    <row r="10" spans="1:29" s="378" customFormat="1" ht="27">
      <c r="A10" s="374"/>
      <c r="B10" s="375" t="s">
        <v>1686</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67"/>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704">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7"/>
      <c r="Q11" s="1343" t="str">
        <f t="shared" si="6"/>
        <v>容积率</v>
      </c>
      <c r="R11" s="701" t="s">
        <v>14</v>
      </c>
      <c r="S11" s="702">
        <f t="shared" si="0"/>
        <v>100</v>
      </c>
      <c r="T11" s="701" t="s">
        <v>14</v>
      </c>
      <c r="U11" s="702">
        <f t="shared" si="1"/>
        <v>100</v>
      </c>
      <c r="V11" s="701" t="s">
        <v>14</v>
      </c>
      <c r="W11" s="702">
        <f t="shared" si="2"/>
        <v>100</v>
      </c>
      <c r="X11" s="703"/>
      <c r="Y11" s="369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67"/>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67"/>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67"/>
      <c r="Q14" s="1343">
        <f t="shared" si="6"/>
        <v>111</v>
      </c>
      <c r="R14" s="701" t="s">
        <v>14</v>
      </c>
      <c r="S14" s="702">
        <f t="shared" si="0"/>
        <v>100</v>
      </c>
      <c r="T14" s="701" t="s">
        <v>14</v>
      </c>
      <c r="U14" s="702">
        <f t="shared" si="1"/>
        <v>100</v>
      </c>
      <c r="V14" s="701" t="s">
        <v>14</v>
      </c>
      <c r="W14" s="702">
        <f t="shared" si="2"/>
        <v>100</v>
      </c>
      <c r="X14" s="703"/>
      <c r="Y14" s="3699"/>
      <c r="Z14" s="52">
        <f t="shared" si="7"/>
        <v>111</v>
      </c>
      <c r="AA14" s="704">
        <f t="shared" si="3"/>
        <v>1</v>
      </c>
      <c r="AB14" s="704">
        <f t="shared" si="4"/>
        <v>1</v>
      </c>
      <c r="AC14" s="704">
        <f t="shared" si="5"/>
        <v>1</v>
      </c>
    </row>
    <row r="15" spans="1:29" ht="15">
      <c r="A15" s="391" t="s">
        <v>1688</v>
      </c>
      <c r="B15" s="61" t="s">
        <v>1825</v>
      </c>
      <c r="C15" s="1969" t="str">
        <f>估价对象房地状况!G3</f>
        <v>较好</v>
      </c>
      <c r="D15" s="392">
        <v>100</v>
      </c>
      <c r="E15" s="393" t="s">
        <v>3386</v>
      </c>
      <c r="F15" s="394">
        <f>SUMIF(70:70,E16,71:71)-SUMIF(70:70,C16,71:71)+100</f>
        <v>100</v>
      </c>
      <c r="G15" s="393" t="s">
        <v>3386</v>
      </c>
      <c r="H15" s="392">
        <f>SUMIF(70:70,G16,71:71)-SUMIF(70:70,C16,71:71)+100</f>
        <v>100</v>
      </c>
      <c r="I15" s="393" t="s">
        <v>3386</v>
      </c>
      <c r="J15" s="392">
        <f>SUMIF(70:70,I16,71:71)-SUMIF(70:70,C16,71:71)+100</f>
        <v>100</v>
      </c>
      <c r="K15" s="563">
        <v>2</v>
      </c>
      <c r="L15" s="923"/>
      <c r="M15" s="914"/>
      <c r="N15" s="914"/>
      <c r="O15" s="922"/>
      <c r="P15" s="3782" t="s">
        <v>1689</v>
      </c>
      <c r="Q15" s="1352" t="str">
        <f t="shared" si="6"/>
        <v>产业集聚程度</v>
      </c>
      <c r="R15" s="705" t="s">
        <v>14</v>
      </c>
      <c r="S15" s="706">
        <f t="shared" si="0"/>
        <v>100</v>
      </c>
      <c r="T15" s="705" t="s">
        <v>14</v>
      </c>
      <c r="U15" s="706">
        <f t="shared" si="1"/>
        <v>100</v>
      </c>
      <c r="V15" s="705" t="s">
        <v>14</v>
      </c>
      <c r="W15" s="706">
        <f t="shared" si="2"/>
        <v>100</v>
      </c>
      <c r="X15" s="1355"/>
      <c r="Y15" s="3782" t="s">
        <v>1689</v>
      </c>
      <c r="Z15" s="1356" t="str">
        <f t="shared" si="7"/>
        <v>产业集聚程度</v>
      </c>
      <c r="AA15" s="1353">
        <f t="shared" si="3"/>
        <v>1</v>
      </c>
      <c r="AB15" s="1353">
        <f t="shared" si="4"/>
        <v>1</v>
      </c>
      <c r="AC15" s="1353">
        <f t="shared" si="5"/>
        <v>1</v>
      </c>
    </row>
    <row r="16" spans="1:29" ht="15">
      <c r="A16" s="379"/>
      <c r="B16" s="397"/>
      <c r="C16" s="398" t="s">
        <v>3386</v>
      </c>
      <c r="D16" s="399"/>
      <c r="E16" s="398" t="s">
        <v>3386</v>
      </c>
      <c r="F16" s="400"/>
      <c r="G16" s="398" t="s">
        <v>3386</v>
      </c>
      <c r="H16" s="401"/>
      <c r="I16" s="398" t="s">
        <v>3386</v>
      </c>
      <c r="J16" s="399"/>
      <c r="K16" s="564"/>
      <c r="L16" s="923"/>
      <c r="M16" s="914"/>
      <c r="N16" s="914"/>
      <c r="O16" s="922"/>
      <c r="P16" s="3783"/>
      <c r="Q16" s="1352"/>
      <c r="R16" s="705"/>
      <c r="S16" s="706"/>
      <c r="T16" s="705"/>
      <c r="U16" s="706"/>
      <c r="V16" s="705"/>
      <c r="W16" s="706"/>
      <c r="X16" s="1355"/>
      <c r="Y16" s="3783"/>
      <c r="Z16" s="1356"/>
      <c r="AA16" s="1353">
        <v>1</v>
      </c>
      <c r="AB16" s="1353">
        <v>1</v>
      </c>
      <c r="AC16" s="1353">
        <v>1</v>
      </c>
    </row>
    <row r="17" spans="1:29" ht="15">
      <c r="A17" s="379"/>
      <c r="B17" s="402" t="s">
        <v>1257</v>
      </c>
      <c r="C17" s="1900" t="str">
        <f>估价对象房地状况!G4</f>
        <v>较好</v>
      </c>
      <c r="D17" s="401">
        <v>100</v>
      </c>
      <c r="E17" s="403" t="s">
        <v>3386</v>
      </c>
      <c r="F17" s="404">
        <f>SUMIF(72:72,E18,73:73)-SUMIF(72:72,C18,73:73)+100</f>
        <v>100</v>
      </c>
      <c r="G17" s="403" t="s">
        <v>3386</v>
      </c>
      <c r="H17" s="406">
        <f>SUMIF(72:72,G18,73:73)-SUMIF(72:72,C18,73:73)+100</f>
        <v>100</v>
      </c>
      <c r="I17" s="403" t="s">
        <v>3386</v>
      </c>
      <c r="J17" s="406">
        <f>SUMIF(72:72,I18,73:73)-SUMIF(72:72,C18,73:73)+100</f>
        <v>100</v>
      </c>
      <c r="K17" s="563">
        <v>2</v>
      </c>
      <c r="L17" s="923"/>
      <c r="M17" s="914"/>
      <c r="N17" s="914"/>
      <c r="O17" s="922"/>
      <c r="P17" s="3783"/>
      <c r="Q17" s="1352" t="str">
        <f>B17</f>
        <v>交通便捷度</v>
      </c>
      <c r="R17" s="705" t="s">
        <v>14</v>
      </c>
      <c r="S17" s="706">
        <f>F17</f>
        <v>100</v>
      </c>
      <c r="T17" s="705" t="s">
        <v>14</v>
      </c>
      <c r="U17" s="706">
        <f>H17</f>
        <v>100</v>
      </c>
      <c r="V17" s="705" t="s">
        <v>14</v>
      </c>
      <c r="W17" s="706">
        <f>J17</f>
        <v>100</v>
      </c>
      <c r="X17" s="1355"/>
      <c r="Y17" s="3783"/>
      <c r="Z17" s="1356" t="str">
        <f>Q17</f>
        <v>交通便捷度</v>
      </c>
      <c r="AA17" s="1353">
        <f t="shared" si="3"/>
        <v>1</v>
      </c>
      <c r="AB17" s="1353">
        <f t="shared" si="4"/>
        <v>1</v>
      </c>
      <c r="AC17" s="1353">
        <f t="shared" si="5"/>
        <v>1</v>
      </c>
    </row>
    <row r="18" spans="1:29" ht="15">
      <c r="A18" s="379"/>
      <c r="B18" s="407"/>
      <c r="C18" s="1901" t="s">
        <v>3386</v>
      </c>
      <c r="D18" s="401"/>
      <c r="E18" s="1903" t="s">
        <v>3386</v>
      </c>
      <c r="F18" s="404"/>
      <c r="G18" s="1903" t="s">
        <v>3386</v>
      </c>
      <c r="H18" s="399"/>
      <c r="I18" s="1903" t="s">
        <v>3386</v>
      </c>
      <c r="J18" s="399"/>
      <c r="K18" s="564"/>
      <c r="L18" s="923"/>
      <c r="M18" s="914"/>
      <c r="N18" s="914"/>
      <c r="O18" s="922"/>
      <c r="P18" s="3783"/>
      <c r="Q18" s="1352"/>
      <c r="R18" s="705"/>
      <c r="S18" s="706"/>
      <c r="T18" s="705"/>
      <c r="U18" s="706"/>
      <c r="V18" s="705"/>
      <c r="W18" s="706"/>
      <c r="X18" s="1355"/>
      <c r="Y18" s="3783"/>
      <c r="Z18" s="1356"/>
      <c r="AA18" s="1353">
        <v>1</v>
      </c>
      <c r="AB18" s="1353">
        <v>1</v>
      </c>
      <c r="AC18" s="1353">
        <v>1</v>
      </c>
    </row>
    <row r="19" spans="1:29" ht="15">
      <c r="A19" s="379"/>
      <c r="B19" s="402" t="s">
        <v>1810</v>
      </c>
      <c r="C19" s="1900" t="str">
        <f>估价对象房地状况!G5</f>
        <v>较好</v>
      </c>
      <c r="D19" s="406">
        <v>100</v>
      </c>
      <c r="E19" s="408" t="s">
        <v>3386</v>
      </c>
      <c r="F19" s="409">
        <f>SUMIF(74:74,E20,75:75)-SUMIF(74:74,C20,75:75)+100</f>
        <v>100</v>
      </c>
      <c r="G19" s="408" t="s">
        <v>3386</v>
      </c>
      <c r="H19" s="401">
        <f>SUMIF(74:74,G20,75:75)-SUMIF(74:74,C20,75:75)+100</f>
        <v>100</v>
      </c>
      <c r="I19" s="408" t="s">
        <v>3386</v>
      </c>
      <c r="J19" s="401">
        <f>SUMIF(74:74,I20,75:75)-SUMIF(74:74,C20,75:75)+100</f>
        <v>100</v>
      </c>
      <c r="K19" s="563">
        <v>2</v>
      </c>
      <c r="L19" s="923"/>
      <c r="M19" s="914"/>
      <c r="N19" s="914"/>
      <c r="O19" s="922"/>
      <c r="P19" s="3783"/>
      <c r="Q19" s="1352" t="str">
        <f>B19</f>
        <v>公共配套设施</v>
      </c>
      <c r="R19" s="705" t="s">
        <v>14</v>
      </c>
      <c r="S19" s="706">
        <f>F19</f>
        <v>100</v>
      </c>
      <c r="T19" s="705" t="s">
        <v>14</v>
      </c>
      <c r="U19" s="706">
        <f>H19</f>
        <v>100</v>
      </c>
      <c r="V19" s="705" t="s">
        <v>14</v>
      </c>
      <c r="W19" s="706">
        <f>J19</f>
        <v>100</v>
      </c>
      <c r="X19" s="1355"/>
      <c r="Y19" s="3783"/>
      <c r="Z19" s="1356" t="str">
        <f>Q19</f>
        <v>公共配套设施</v>
      </c>
      <c r="AA19" s="1353">
        <f t="shared" si="3"/>
        <v>1</v>
      </c>
      <c r="AB19" s="1353">
        <f t="shared" si="4"/>
        <v>1</v>
      </c>
      <c r="AC19" s="1353">
        <f t="shared" si="5"/>
        <v>1</v>
      </c>
    </row>
    <row r="20" spans="1:29" ht="15">
      <c r="A20" s="379"/>
      <c r="B20" s="407"/>
      <c r="C20" s="398" t="s">
        <v>3386</v>
      </c>
      <c r="D20" s="399"/>
      <c r="E20" s="1898" t="s">
        <v>3386</v>
      </c>
      <c r="F20" s="400"/>
      <c r="G20" s="1898" t="s">
        <v>3386</v>
      </c>
      <c r="H20" s="399"/>
      <c r="I20" s="1898" t="s">
        <v>3386</v>
      </c>
      <c r="J20" s="399"/>
      <c r="K20" s="564"/>
      <c r="L20" s="923"/>
      <c r="M20" s="914"/>
      <c r="N20" s="914"/>
      <c r="O20" s="922"/>
      <c r="P20" s="3783"/>
      <c r="Q20" s="1352"/>
      <c r="R20" s="705"/>
      <c r="S20" s="706"/>
      <c r="T20" s="705"/>
      <c r="U20" s="706"/>
      <c r="V20" s="705"/>
      <c r="W20" s="706"/>
      <c r="X20" s="1355"/>
      <c r="Y20" s="3783"/>
      <c r="Z20" s="1356"/>
      <c r="AA20" s="1353">
        <v>1</v>
      </c>
      <c r="AB20" s="1353">
        <v>1</v>
      </c>
      <c r="AC20" s="1353">
        <v>1</v>
      </c>
    </row>
    <row r="21" spans="1:29" ht="15">
      <c r="A21" s="379"/>
      <c r="B21" s="1131" t="s">
        <v>1811</v>
      </c>
      <c r="C21" s="1900" t="str">
        <f>估价对象房地状况!G6</f>
        <v>七通</v>
      </c>
      <c r="D21" s="401">
        <v>100</v>
      </c>
      <c r="E21" s="408" t="s">
        <v>3390</v>
      </c>
      <c r="F21" s="409">
        <f>SUMIF(76:76,E22,77:77)-SUMIF(76:76,C22,77:77)+100</f>
        <v>100</v>
      </c>
      <c r="G21" s="408" t="s">
        <v>3390</v>
      </c>
      <c r="H21" s="401">
        <f>SUMIF(76:76,G22,77:77)-SUMIF(76:76,C22,77:77)+100</f>
        <v>100</v>
      </c>
      <c r="I21" s="408" t="s">
        <v>3390</v>
      </c>
      <c r="J21" s="401">
        <f>SUMIF(76:76,I22,77:77)-SUMIF(76:76,C22,77:77)+100</f>
        <v>100</v>
      </c>
      <c r="K21" s="563">
        <v>1</v>
      </c>
      <c r="L21" s="923"/>
      <c r="M21" s="914"/>
      <c r="N21" s="914"/>
      <c r="O21" s="922"/>
      <c r="P21" s="3783"/>
      <c r="Q21" s="1352" t="str">
        <f>B21</f>
        <v>基础设施水平</v>
      </c>
      <c r="R21" s="705" t="s">
        <v>14</v>
      </c>
      <c r="S21" s="706">
        <f>F21</f>
        <v>100</v>
      </c>
      <c r="T21" s="705" t="s">
        <v>14</v>
      </c>
      <c r="U21" s="706">
        <f>H21</f>
        <v>100</v>
      </c>
      <c r="V21" s="705" t="s">
        <v>14</v>
      </c>
      <c r="W21" s="706">
        <f>J21</f>
        <v>100</v>
      </c>
      <c r="X21" s="1355"/>
      <c r="Y21" s="3783"/>
      <c r="Z21" s="1356" t="str">
        <f>Q21</f>
        <v>基础设施水平</v>
      </c>
      <c r="AA21" s="1353">
        <f t="shared" ref="AA21" si="8">D21/F21</f>
        <v>1</v>
      </c>
      <c r="AB21" s="1353">
        <f t="shared" ref="AB21" si="9">D21/H21</f>
        <v>1</v>
      </c>
      <c r="AC21" s="1353">
        <f t="shared" ref="AC21" si="10">D21/J21</f>
        <v>1</v>
      </c>
    </row>
    <row r="22" spans="1:29" ht="15">
      <c r="A22" s="379"/>
      <c r="B22" s="1131"/>
      <c r="C22" s="1901" t="s">
        <v>3390</v>
      </c>
      <c r="D22" s="399"/>
      <c r="E22" s="398" t="s">
        <v>3390</v>
      </c>
      <c r="F22" s="400"/>
      <c r="G22" s="398" t="s">
        <v>3390</v>
      </c>
      <c r="H22" s="399"/>
      <c r="I22" s="398" t="s">
        <v>3390</v>
      </c>
      <c r="J22" s="399"/>
      <c r="K22" s="1130"/>
      <c r="L22" s="923"/>
      <c r="M22" s="914"/>
      <c r="N22" s="914"/>
      <c r="O22" s="922"/>
      <c r="P22" s="3783"/>
      <c r="Q22" s="1352"/>
      <c r="R22" s="705"/>
      <c r="S22" s="706"/>
      <c r="T22" s="705"/>
      <c r="U22" s="706"/>
      <c r="V22" s="705"/>
      <c r="W22" s="706"/>
      <c r="X22" s="1355"/>
      <c r="Y22" s="3783"/>
      <c r="Z22" s="1356"/>
      <c r="AA22" s="1353">
        <v>1</v>
      </c>
      <c r="AB22" s="1353">
        <v>1</v>
      </c>
      <c r="AC22" s="1353">
        <v>1</v>
      </c>
    </row>
    <row r="23" spans="1:29" ht="15">
      <c r="A23" s="379"/>
      <c r="B23" s="402" t="s">
        <v>1812</v>
      </c>
      <c r="C23" s="1900" t="str">
        <f>估价对象房地状况!G7</f>
        <v>较好</v>
      </c>
      <c r="D23" s="401">
        <v>100</v>
      </c>
      <c r="E23" s="403" t="s">
        <v>3386</v>
      </c>
      <c r="F23" s="404">
        <f>SUMIF(78:78,E24,79:79)-SUMIF(78:78,C24,79:79)+100</f>
        <v>100</v>
      </c>
      <c r="G23" s="403" t="s">
        <v>3386</v>
      </c>
      <c r="H23" s="401">
        <f>SUMIF(78:78,G24,79:79)-SUMIF(78:78,C24,79:79)+100</f>
        <v>100</v>
      </c>
      <c r="I23" s="403" t="s">
        <v>3386</v>
      </c>
      <c r="J23" s="401">
        <f>SUMIF(78:78,I24,79:79)-SUMIF(78:78,C24,79:79)+100</f>
        <v>100</v>
      </c>
      <c r="K23" s="563">
        <v>2</v>
      </c>
      <c r="L23" s="923"/>
      <c r="M23" s="914"/>
      <c r="N23" s="914"/>
      <c r="O23" s="922"/>
      <c r="P23" s="3783"/>
      <c r="Q23" s="1352" t="str">
        <f>B23</f>
        <v>环境质量</v>
      </c>
      <c r="R23" s="705" t="s">
        <v>14</v>
      </c>
      <c r="S23" s="706">
        <f>F23</f>
        <v>100</v>
      </c>
      <c r="T23" s="705" t="s">
        <v>14</v>
      </c>
      <c r="U23" s="706">
        <f>H23</f>
        <v>100</v>
      </c>
      <c r="V23" s="705" t="s">
        <v>14</v>
      </c>
      <c r="W23" s="706">
        <f>J23</f>
        <v>100</v>
      </c>
      <c r="X23" s="1355"/>
      <c r="Y23" s="3783"/>
      <c r="Z23" s="1356" t="str">
        <f>Q23</f>
        <v>环境质量</v>
      </c>
      <c r="AA23" s="1353">
        <f t="shared" si="3"/>
        <v>1</v>
      </c>
      <c r="AB23" s="1353">
        <f t="shared" si="4"/>
        <v>1</v>
      </c>
      <c r="AC23" s="1353">
        <f t="shared" si="5"/>
        <v>1</v>
      </c>
    </row>
    <row r="24" spans="1:29" ht="15.75" thickBot="1">
      <c r="A24" s="379"/>
      <c r="B24" s="1131"/>
      <c r="C24" s="398" t="s">
        <v>3386</v>
      </c>
      <c r="D24" s="399"/>
      <c r="E24" s="1898" t="s">
        <v>3386</v>
      </c>
      <c r="F24" s="400"/>
      <c r="G24" s="1898" t="s">
        <v>3386</v>
      </c>
      <c r="H24" s="399"/>
      <c r="I24" s="1898" t="s">
        <v>3386</v>
      </c>
      <c r="J24" s="399"/>
      <c r="K24" s="564"/>
      <c r="L24" s="923"/>
      <c r="M24" s="914"/>
      <c r="N24" s="914"/>
      <c r="O24" s="922"/>
      <c r="P24" s="3783"/>
      <c r="Q24" s="1352"/>
      <c r="R24" s="705"/>
      <c r="S24" s="706"/>
      <c r="T24" s="705"/>
      <c r="U24" s="706"/>
      <c r="V24" s="705"/>
      <c r="W24" s="706"/>
      <c r="X24" s="1355"/>
      <c r="Y24" s="3783"/>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3"/>
      <c r="Q25" s="1352">
        <f>B25</f>
        <v>111</v>
      </c>
      <c r="R25" s="705" t="s">
        <v>14</v>
      </c>
      <c r="S25" s="706">
        <f>F25</f>
        <v>100</v>
      </c>
      <c r="T25" s="705" t="s">
        <v>14</v>
      </c>
      <c r="U25" s="706">
        <f>H25</f>
        <v>100</v>
      </c>
      <c r="V25" s="705" t="s">
        <v>14</v>
      </c>
      <c r="W25" s="706">
        <f>J25</f>
        <v>100</v>
      </c>
      <c r="X25" s="1355"/>
      <c r="Y25" s="3783"/>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3"/>
      <c r="Q26" s="1352">
        <f t="shared" ref="Q26:Q40" si="11">B26</f>
        <v>111</v>
      </c>
      <c r="R26" s="705" t="s">
        <v>14</v>
      </c>
      <c r="S26" s="706">
        <f>F26</f>
        <v>100</v>
      </c>
      <c r="T26" s="705" t="s">
        <v>14</v>
      </c>
      <c r="U26" s="706">
        <f>H26</f>
        <v>100</v>
      </c>
      <c r="V26" s="705" t="s">
        <v>14</v>
      </c>
      <c r="W26" s="706">
        <f>J26</f>
        <v>100</v>
      </c>
      <c r="X26" s="1355"/>
      <c r="Y26" s="3783"/>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3"/>
      <c r="Q27" s="1343">
        <f t="shared" si="11"/>
        <v>111</v>
      </c>
      <c r="R27" s="701" t="s">
        <v>14</v>
      </c>
      <c r="S27" s="702">
        <f>F27</f>
        <v>100</v>
      </c>
      <c r="T27" s="701" t="s">
        <v>14</v>
      </c>
      <c r="U27" s="702">
        <f>H27</f>
        <v>100</v>
      </c>
      <c r="V27" s="701" t="s">
        <v>14</v>
      </c>
      <c r="W27" s="702">
        <f>J27</f>
        <v>100</v>
      </c>
      <c r="X27" s="703"/>
      <c r="Y27" s="3783"/>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3"/>
      <c r="Q28" s="1352">
        <f t="shared" si="11"/>
        <v>111</v>
      </c>
      <c r="R28" s="705" t="s">
        <v>14</v>
      </c>
      <c r="S28" s="706">
        <f t="shared" ref="S28:S40" si="12">F28</f>
        <v>100</v>
      </c>
      <c r="T28" s="705" t="s">
        <v>14</v>
      </c>
      <c r="U28" s="706">
        <f t="shared" ref="U28:U40" si="13">H28</f>
        <v>100</v>
      </c>
      <c r="V28" s="705" t="s">
        <v>14</v>
      </c>
      <c r="W28" s="706">
        <f t="shared" ref="W28:W40" si="14">J28</f>
        <v>100</v>
      </c>
      <c r="X28" s="1355"/>
      <c r="Y28" s="3783"/>
      <c r="Z28" s="1356">
        <f t="shared" ref="Z28:Z40" si="15">Q28</f>
        <v>111</v>
      </c>
      <c r="AA28" s="1353">
        <f t="shared" si="3"/>
        <v>1</v>
      </c>
      <c r="AB28" s="1353">
        <f t="shared" si="4"/>
        <v>1</v>
      </c>
      <c r="AC28" s="1353">
        <f t="shared" si="5"/>
        <v>1</v>
      </c>
    </row>
    <row r="29" spans="1:29" ht="28.5">
      <c r="A29" s="417" t="s">
        <v>1692</v>
      </c>
      <c r="B29" s="63" t="s">
        <v>1815</v>
      </c>
      <c r="C29" s="1965" t="s">
        <v>3490</v>
      </c>
      <c r="D29" s="418">
        <v>100</v>
      </c>
      <c r="E29" s="1965" t="s">
        <v>3490</v>
      </c>
      <c r="F29" s="412">
        <f>SUMIF(88:88,E29,89:89)-SUMIF(88:88,C29,89:89)+100</f>
        <v>100</v>
      </c>
      <c r="G29" s="1965" t="s">
        <v>3490</v>
      </c>
      <c r="H29" s="386">
        <f>SUMIF(88:88,G29,89:89)-SUMIF(88:88,C29,89:89)+100</f>
        <v>100</v>
      </c>
      <c r="I29" s="1965" t="s">
        <v>3490</v>
      </c>
      <c r="J29" s="418">
        <f>SUMIF(88:88,I29,89:89)-SUMIF(88:88,C29,89:89)+100</f>
        <v>100</v>
      </c>
      <c r="K29" s="561">
        <v>5</v>
      </c>
      <c r="L29" s="923"/>
      <c r="M29" s="914"/>
      <c r="N29" s="914"/>
      <c r="O29" s="922"/>
      <c r="P29" s="3784" t="s">
        <v>1694</v>
      </c>
      <c r="Q29" s="1352" t="str">
        <f t="shared" si="11"/>
        <v>建筑类型</v>
      </c>
      <c r="R29" s="705" t="s">
        <v>14</v>
      </c>
      <c r="S29" s="706">
        <f t="shared" si="12"/>
        <v>100</v>
      </c>
      <c r="T29" s="705" t="s">
        <v>14</v>
      </c>
      <c r="U29" s="706">
        <f t="shared" si="13"/>
        <v>100</v>
      </c>
      <c r="V29" s="705" t="s">
        <v>14</v>
      </c>
      <c r="W29" s="706">
        <f t="shared" si="14"/>
        <v>100</v>
      </c>
      <c r="X29" s="1355"/>
      <c r="Y29" s="3785" t="s">
        <v>1694</v>
      </c>
      <c r="Z29" s="1356" t="str">
        <f t="shared" si="15"/>
        <v>建筑类型</v>
      </c>
      <c r="AA29" s="1353">
        <f t="shared" si="3"/>
        <v>1</v>
      </c>
      <c r="AB29" s="1353">
        <f t="shared" si="4"/>
        <v>1</v>
      </c>
      <c r="AC29" s="1353">
        <f t="shared" si="5"/>
        <v>1</v>
      </c>
    </row>
    <row r="30" spans="1:29" s="422" customFormat="1" ht="15">
      <c r="A30" s="419"/>
      <c r="B30" s="375" t="s">
        <v>1695</v>
      </c>
      <c r="C30" s="420">
        <f>'数据-汇总表'!E3</f>
        <v>103889.93</v>
      </c>
      <c r="D30" s="127">
        <v>100</v>
      </c>
      <c r="E30" s="381"/>
      <c r="F30" s="376">
        <f>LOOKUP(E30,91:91,92:92)-LOOKUP(C30,91:91,92:92)+100</f>
        <v>196</v>
      </c>
      <c r="G30" s="380"/>
      <c r="H30" s="127">
        <f>LOOKUP(G30,91:91,92:92)-LOOKUP(C30,91:91,92:92)+100</f>
        <v>196</v>
      </c>
      <c r="I30" s="380"/>
      <c r="J30" s="127">
        <f>LOOKUP(I30,91:91,92:92)-LOOKUP(C30,91:91,92:92)+100</f>
        <v>196</v>
      </c>
      <c r="K30" s="562"/>
      <c r="L30" s="921"/>
      <c r="M30" s="924"/>
      <c r="N30" s="924"/>
      <c r="O30" s="925"/>
      <c r="P30" s="3785"/>
      <c r="Q30" s="707" t="str">
        <f t="shared" si="11"/>
        <v>项目建筑规模</v>
      </c>
      <c r="R30" s="708" t="s">
        <v>14</v>
      </c>
      <c r="S30" s="709">
        <f t="shared" si="12"/>
        <v>196</v>
      </c>
      <c r="T30" s="708" t="s">
        <v>14</v>
      </c>
      <c r="U30" s="709">
        <f t="shared" si="13"/>
        <v>196</v>
      </c>
      <c r="V30" s="708" t="s">
        <v>14</v>
      </c>
      <c r="W30" s="709">
        <f t="shared" si="14"/>
        <v>196</v>
      </c>
      <c r="X30" s="710"/>
      <c r="Y30" s="3785"/>
      <c r="Z30" s="711" t="str">
        <f t="shared" si="15"/>
        <v>项目建筑规模</v>
      </c>
      <c r="AA30" s="1353">
        <f t="shared" si="3"/>
        <v>0.51020408163265307</v>
      </c>
      <c r="AB30" s="1353">
        <f t="shared" si="4"/>
        <v>0.51020408163265307</v>
      </c>
      <c r="AC30" s="1353">
        <f t="shared" si="5"/>
        <v>0.51020408163265307</v>
      </c>
    </row>
    <row r="31" spans="1:29" ht="15">
      <c r="A31" s="423"/>
      <c r="B31" s="375" t="s">
        <v>1696</v>
      </c>
      <c r="C31" s="411" t="s">
        <v>3402</v>
      </c>
      <c r="D31" s="386">
        <v>100</v>
      </c>
      <c r="E31" s="411" t="s">
        <v>3402</v>
      </c>
      <c r="F31" s="412">
        <f>SUMIF(93:93,E31,94:94)-SUMIF(93:93,C31,94:94)+100</f>
        <v>100</v>
      </c>
      <c r="G31" s="411" t="s">
        <v>3402</v>
      </c>
      <c r="H31" s="386">
        <f>SUMIF(93:93,G31,94:94)-SUMIF(93:93,C31,94:94)+100</f>
        <v>100</v>
      </c>
      <c r="I31" s="411" t="s">
        <v>3402</v>
      </c>
      <c r="J31" s="386">
        <f>SUMIF(93:93,I31,94:94)-SUMIF(93:93,C31,94:94)+100</f>
        <v>100</v>
      </c>
      <c r="K31" s="561">
        <v>2</v>
      </c>
      <c r="L31" s="923"/>
      <c r="M31" s="914"/>
      <c r="N31" s="914"/>
      <c r="O31" s="922"/>
      <c r="P31" s="3785"/>
      <c r="Q31" s="1352" t="str">
        <f t="shared" si="11"/>
        <v>建筑结构</v>
      </c>
      <c r="R31" s="705" t="s">
        <v>14</v>
      </c>
      <c r="S31" s="706">
        <f t="shared" si="12"/>
        <v>100</v>
      </c>
      <c r="T31" s="705" t="s">
        <v>14</v>
      </c>
      <c r="U31" s="706">
        <f t="shared" si="13"/>
        <v>100</v>
      </c>
      <c r="V31" s="705" t="s">
        <v>14</v>
      </c>
      <c r="W31" s="706">
        <f t="shared" si="14"/>
        <v>100</v>
      </c>
      <c r="X31" s="1355"/>
      <c r="Y31" s="3785"/>
      <c r="Z31" s="1356" t="str">
        <f t="shared" si="15"/>
        <v>建筑结构</v>
      </c>
      <c r="AA31" s="1353">
        <f t="shared" si="3"/>
        <v>1</v>
      </c>
      <c r="AB31" s="1353">
        <f t="shared" si="4"/>
        <v>1</v>
      </c>
      <c r="AC31" s="1353">
        <f t="shared" si="5"/>
        <v>1</v>
      </c>
    </row>
    <row r="32" spans="1:29" ht="15">
      <c r="A32" s="423"/>
      <c r="B32" s="375" t="s">
        <v>1783</v>
      </c>
      <c r="C32" s="411" t="s">
        <v>3450</v>
      </c>
      <c r="D32" s="386">
        <v>100</v>
      </c>
      <c r="E32" s="411" t="s">
        <v>3450</v>
      </c>
      <c r="F32" s="412">
        <f>SUMIF(95:95,E32,96:96)-SUMIF(95:95,C32,96:96)+100</f>
        <v>100</v>
      </c>
      <c r="G32" s="411" t="s">
        <v>3450</v>
      </c>
      <c r="H32" s="386">
        <f>SUMIF(95:95,G32,96:96)-SUMIF(95:95,C32,96:96)+100</f>
        <v>100</v>
      </c>
      <c r="I32" s="3464" t="s">
        <v>3497</v>
      </c>
      <c r="J32" s="386">
        <f>SUMIF(95:95,I32,96:96)-SUMIF(95:95,C32,96:96)+100</f>
        <v>100</v>
      </c>
      <c r="K32" s="561">
        <v>2</v>
      </c>
      <c r="L32" s="923"/>
      <c r="M32" s="914"/>
      <c r="N32" s="914"/>
      <c r="O32" s="922"/>
      <c r="P32" s="3785"/>
      <c r="Q32" s="1352" t="str">
        <f t="shared" si="11"/>
        <v>公共部分装修</v>
      </c>
      <c r="R32" s="705" t="s">
        <v>14</v>
      </c>
      <c r="S32" s="706">
        <f t="shared" si="12"/>
        <v>100</v>
      </c>
      <c r="T32" s="705" t="s">
        <v>14</v>
      </c>
      <c r="U32" s="706">
        <f t="shared" si="13"/>
        <v>100</v>
      </c>
      <c r="V32" s="705" t="s">
        <v>14</v>
      </c>
      <c r="W32" s="706">
        <f t="shared" si="14"/>
        <v>100</v>
      </c>
      <c r="X32" s="1355"/>
      <c r="Y32" s="3785"/>
      <c r="Z32" s="1356" t="str">
        <f t="shared" si="15"/>
        <v>公共部分装修</v>
      </c>
      <c r="AA32" s="1353">
        <f t="shared" si="3"/>
        <v>1</v>
      </c>
      <c r="AB32" s="1353">
        <f t="shared" si="4"/>
        <v>1</v>
      </c>
      <c r="AC32" s="1353">
        <f t="shared" si="5"/>
        <v>1</v>
      </c>
    </row>
    <row r="33" spans="1:29" ht="15">
      <c r="A33" s="423"/>
      <c r="B33" s="375" t="s">
        <v>1784</v>
      </c>
      <c r="C33" s="3463">
        <f>'数据-取费表'!N16</f>
        <v>0.9</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785"/>
      <c r="Q33" s="1352" t="str">
        <f t="shared" si="11"/>
        <v>成新度</v>
      </c>
      <c r="R33" s="705" t="s">
        <v>14</v>
      </c>
      <c r="S33" s="706">
        <f t="shared" si="12"/>
        <v>100</v>
      </c>
      <c r="T33" s="705" t="s">
        <v>14</v>
      </c>
      <c r="U33" s="706">
        <f t="shared" si="13"/>
        <v>100</v>
      </c>
      <c r="V33" s="705" t="s">
        <v>14</v>
      </c>
      <c r="W33" s="706">
        <f t="shared" si="14"/>
        <v>100</v>
      </c>
      <c r="X33" s="1355"/>
      <c r="Y33" s="3785"/>
      <c r="Z33" s="1356" t="str">
        <f t="shared" si="15"/>
        <v>成新度</v>
      </c>
      <c r="AA33" s="1353">
        <f t="shared" si="3"/>
        <v>1</v>
      </c>
      <c r="AB33" s="1353">
        <f t="shared" si="4"/>
        <v>1</v>
      </c>
      <c r="AC33" s="1353">
        <f t="shared" si="5"/>
        <v>1</v>
      </c>
    </row>
    <row r="34" spans="1:29" s="108" customFormat="1" ht="15">
      <c r="A34" s="424"/>
      <c r="B34" s="375" t="s">
        <v>1817</v>
      </c>
      <c r="C34" s="411" t="s">
        <v>3406</v>
      </c>
      <c r="D34" s="127">
        <v>100</v>
      </c>
      <c r="E34" s="411" t="s">
        <v>3406</v>
      </c>
      <c r="F34" s="412">
        <f>SUMIF(100:100,E34,101:101)-SUMIF(100:100,C34,101:101)+100</f>
        <v>100</v>
      </c>
      <c r="G34" s="411" t="s">
        <v>3406</v>
      </c>
      <c r="H34" s="386">
        <f>SUMIF(100:100,G34,101:101)-SUMIF(100:100,C34,101:101)+100</f>
        <v>100</v>
      </c>
      <c r="I34" s="411" t="s">
        <v>3406</v>
      </c>
      <c r="J34" s="386">
        <f>SUMIF(100:100,I34,101:101)-SUMIF(100:100,C34,101:101)+100</f>
        <v>100</v>
      </c>
      <c r="K34" s="561">
        <v>2</v>
      </c>
      <c r="L34" s="915"/>
      <c r="M34" s="916"/>
      <c r="N34" s="916"/>
      <c r="O34" s="917"/>
      <c r="P34" s="3785"/>
      <c r="Q34" s="1343" t="str">
        <f t="shared" si="11"/>
        <v>物业管理</v>
      </c>
      <c r="R34" s="701" t="s">
        <v>14</v>
      </c>
      <c r="S34" s="702">
        <f t="shared" si="12"/>
        <v>100</v>
      </c>
      <c r="T34" s="701" t="s">
        <v>14</v>
      </c>
      <c r="U34" s="702">
        <f t="shared" si="13"/>
        <v>100</v>
      </c>
      <c r="V34" s="701" t="s">
        <v>14</v>
      </c>
      <c r="W34" s="702">
        <f t="shared" si="14"/>
        <v>100</v>
      </c>
      <c r="X34" s="703"/>
      <c r="Y34" s="3785"/>
      <c r="Z34" s="52" t="str">
        <f t="shared" si="15"/>
        <v>物业管理</v>
      </c>
      <c r="AA34" s="704">
        <f t="shared" si="3"/>
        <v>1</v>
      </c>
      <c r="AB34" s="704">
        <f t="shared" si="4"/>
        <v>1</v>
      </c>
      <c r="AC34" s="704">
        <f t="shared" si="5"/>
        <v>1</v>
      </c>
    </row>
    <row r="35" spans="1:29" ht="15">
      <c r="A35" s="423"/>
      <c r="B35" s="375" t="s">
        <v>1785</v>
      </c>
      <c r="C35" s="411" t="s">
        <v>3465</v>
      </c>
      <c r="D35" s="386">
        <v>100</v>
      </c>
      <c r="E35" s="411" t="s">
        <v>3465</v>
      </c>
      <c r="F35" s="412">
        <f>SUMIF(102:102,E35,103:103)-SUMIF(102:102,C35,103:103)+100</f>
        <v>100</v>
      </c>
      <c r="G35" s="411" t="s">
        <v>3465</v>
      </c>
      <c r="H35" s="386">
        <f>SUMIF(102:102,G35,103:103)-SUMIF(102:102,C35,103:103)+100</f>
        <v>100</v>
      </c>
      <c r="I35" s="411" t="s">
        <v>3465</v>
      </c>
      <c r="J35" s="386">
        <f>SUMIF(102:102,I35,103:103)-SUMIF(102:102,C35,103:103)+100</f>
        <v>100</v>
      </c>
      <c r="K35" s="561">
        <v>1</v>
      </c>
      <c r="L35" s="923"/>
      <c r="M35" s="914"/>
      <c r="N35" s="914"/>
      <c r="O35" s="922"/>
      <c r="P35" s="3785" t="s">
        <v>1694</v>
      </c>
      <c r="Q35" s="1352" t="str">
        <f t="shared" si="11"/>
        <v>市政基础设施</v>
      </c>
      <c r="R35" s="705" t="s">
        <v>14</v>
      </c>
      <c r="S35" s="706">
        <f t="shared" si="12"/>
        <v>100</v>
      </c>
      <c r="T35" s="705" t="s">
        <v>14</v>
      </c>
      <c r="U35" s="706">
        <f t="shared" si="13"/>
        <v>100</v>
      </c>
      <c r="V35" s="705" t="s">
        <v>14</v>
      </c>
      <c r="W35" s="706">
        <f t="shared" si="14"/>
        <v>100</v>
      </c>
      <c r="X35" s="1355"/>
      <c r="Y35" s="3785" t="s">
        <v>1694</v>
      </c>
      <c r="Z35" s="1356" t="str">
        <f t="shared" si="15"/>
        <v>市政基础设施</v>
      </c>
      <c r="AA35" s="1353">
        <f t="shared" si="3"/>
        <v>1</v>
      </c>
      <c r="AB35" s="1353">
        <f t="shared" si="4"/>
        <v>1</v>
      </c>
      <c r="AC35" s="1353">
        <f t="shared" si="5"/>
        <v>1</v>
      </c>
    </row>
    <row r="36" spans="1:29" ht="15">
      <c r="A36" s="423"/>
      <c r="B36" s="375" t="s">
        <v>1790</v>
      </c>
      <c r="C36" s="411" t="s">
        <v>3405</v>
      </c>
      <c r="D36" s="386">
        <v>100</v>
      </c>
      <c r="E36" s="411" t="s">
        <v>3405</v>
      </c>
      <c r="F36" s="412">
        <f>SUMIF(104:104,E36,105:105)-SUMIF(104:104,C36,105:105)+100</f>
        <v>100</v>
      </c>
      <c r="G36" s="411" t="s">
        <v>3405</v>
      </c>
      <c r="H36" s="386">
        <f>SUMIF(104:104,G36,105:105)-SUMIF(104:104,C36,105:105)+100</f>
        <v>100</v>
      </c>
      <c r="I36" s="411" t="s">
        <v>3405</v>
      </c>
      <c r="J36" s="386">
        <f>SUMIF(104:104,I36,105:105)-SUMIF(104:104,C36,105:105)+100</f>
        <v>100</v>
      </c>
      <c r="K36" s="561">
        <v>2</v>
      </c>
      <c r="L36" s="923"/>
      <c r="M36" s="914"/>
      <c r="N36" s="914"/>
      <c r="O36" s="922"/>
      <c r="P36" s="3785"/>
      <c r="Q36" s="1352" t="str">
        <f t="shared" si="11"/>
        <v>内部装修</v>
      </c>
      <c r="R36" s="705" t="s">
        <v>14</v>
      </c>
      <c r="S36" s="706">
        <f t="shared" si="12"/>
        <v>100</v>
      </c>
      <c r="T36" s="705" t="s">
        <v>14</v>
      </c>
      <c r="U36" s="706">
        <f t="shared" si="13"/>
        <v>100</v>
      </c>
      <c r="V36" s="705" t="s">
        <v>14</v>
      </c>
      <c r="W36" s="706">
        <f t="shared" si="14"/>
        <v>100</v>
      </c>
      <c r="X36" s="1355"/>
      <c r="Y36" s="3785"/>
      <c r="Z36" s="1356" t="str">
        <f t="shared" si="15"/>
        <v>内部装修</v>
      </c>
      <c r="AA36" s="1353">
        <f t="shared" si="3"/>
        <v>1</v>
      </c>
      <c r="AB36" s="1353">
        <f t="shared" si="4"/>
        <v>1</v>
      </c>
      <c r="AC36" s="1353">
        <f t="shared" si="5"/>
        <v>1</v>
      </c>
    </row>
    <row r="37" spans="1:29" ht="15.75" thickBot="1">
      <c r="A37" s="423"/>
      <c r="B37" s="375" t="s">
        <v>1826</v>
      </c>
      <c r="C37" s="565" t="s">
        <v>3386</v>
      </c>
      <c r="D37" s="386">
        <v>100</v>
      </c>
      <c r="E37" s="565" t="s">
        <v>3386</v>
      </c>
      <c r="F37" s="412">
        <f>SUMIF(106:106,E37,107:107)-SUMIF(106:106,C37,107:107)+100</f>
        <v>100</v>
      </c>
      <c r="G37" s="565" t="s">
        <v>3386</v>
      </c>
      <c r="H37" s="386">
        <f>SUMIF(106:106,G37,107:107)-SUMIF(106:106,C37,107:107)+100</f>
        <v>100</v>
      </c>
      <c r="I37" s="565" t="s">
        <v>3386</v>
      </c>
      <c r="J37" s="386">
        <f>SUMIF(106:106,I37,107:107)-SUMIF(106:106,C37,107:107)+100</f>
        <v>100</v>
      </c>
      <c r="K37" s="561">
        <v>2</v>
      </c>
      <c r="L37" s="923"/>
      <c r="M37" s="914"/>
      <c r="N37" s="914"/>
      <c r="O37" s="922"/>
      <c r="P37" s="3785"/>
      <c r="Q37" s="1352" t="str">
        <f t="shared" si="11"/>
        <v>内部装修状况</v>
      </c>
      <c r="R37" s="705" t="s">
        <v>14</v>
      </c>
      <c r="S37" s="706">
        <f t="shared" si="12"/>
        <v>100</v>
      </c>
      <c r="T37" s="705" t="s">
        <v>14</v>
      </c>
      <c r="U37" s="706">
        <f t="shared" si="13"/>
        <v>100</v>
      </c>
      <c r="V37" s="705" t="s">
        <v>14</v>
      </c>
      <c r="W37" s="706">
        <f t="shared" si="14"/>
        <v>100</v>
      </c>
      <c r="X37" s="1355"/>
      <c r="Y37" s="3785"/>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5"/>
      <c r="Q38" s="707">
        <f t="shared" si="11"/>
        <v>111</v>
      </c>
      <c r="R38" s="708" t="s">
        <v>14</v>
      </c>
      <c r="S38" s="709">
        <f t="shared" si="12"/>
        <v>100</v>
      </c>
      <c r="T38" s="708" t="s">
        <v>14</v>
      </c>
      <c r="U38" s="709">
        <f t="shared" si="13"/>
        <v>100</v>
      </c>
      <c r="V38" s="708" t="s">
        <v>14</v>
      </c>
      <c r="W38" s="709">
        <f t="shared" si="14"/>
        <v>100</v>
      </c>
      <c r="X38" s="710"/>
      <c r="Y38" s="3785"/>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5"/>
      <c r="Q39" s="1352">
        <f t="shared" si="11"/>
        <v>111</v>
      </c>
      <c r="R39" s="705" t="s">
        <v>14</v>
      </c>
      <c r="S39" s="706">
        <f t="shared" si="12"/>
        <v>100</v>
      </c>
      <c r="T39" s="705" t="s">
        <v>14</v>
      </c>
      <c r="U39" s="706">
        <f t="shared" si="13"/>
        <v>100</v>
      </c>
      <c r="V39" s="705" t="s">
        <v>14</v>
      </c>
      <c r="W39" s="706">
        <f t="shared" si="14"/>
        <v>100</v>
      </c>
      <c r="X39" s="1355"/>
      <c r="Y39" s="3785"/>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99"/>
      <c r="Q40" s="1352">
        <f t="shared" si="11"/>
        <v>111</v>
      </c>
      <c r="R40" s="705" t="s">
        <v>14</v>
      </c>
      <c r="S40" s="706">
        <f t="shared" si="12"/>
        <v>100</v>
      </c>
      <c r="T40" s="705" t="s">
        <v>14</v>
      </c>
      <c r="U40" s="706">
        <f t="shared" si="13"/>
        <v>100</v>
      </c>
      <c r="V40" s="705" t="s">
        <v>14</v>
      </c>
      <c r="W40" s="706">
        <f t="shared" si="14"/>
        <v>100</v>
      </c>
      <c r="X40" s="1355"/>
      <c r="Y40" s="3799"/>
      <c r="Z40" s="1356">
        <f t="shared" si="15"/>
        <v>111</v>
      </c>
      <c r="AA40" s="1353">
        <f t="shared" si="3"/>
        <v>1</v>
      </c>
      <c r="AB40" s="1353">
        <f t="shared" si="4"/>
        <v>1</v>
      </c>
      <c r="AC40" s="1353">
        <f t="shared" si="5"/>
        <v>1</v>
      </c>
    </row>
    <row r="41" spans="1:29" ht="15">
      <c r="A41" s="430" t="s">
        <v>1706</v>
      </c>
      <c r="B41" s="431"/>
      <c r="C41" s="1154" t="s">
        <v>0</v>
      </c>
      <c r="D41" s="1155"/>
      <c r="E41" s="1156">
        <f>'案例 (3)'!E2</f>
        <v>20000</v>
      </c>
      <c r="F41" s="1157"/>
      <c r="G41" s="1158">
        <f>'案例 (3)'!E3</f>
        <v>20000</v>
      </c>
      <c r="H41" s="1159"/>
      <c r="I41" s="1156">
        <f>'案例 (3)'!E4</f>
        <v>20000</v>
      </c>
      <c r="J41" s="1159"/>
      <c r="K41" s="714"/>
      <c r="L41" s="926"/>
      <c r="M41" s="927"/>
      <c r="N41" s="914"/>
      <c r="O41" s="927"/>
      <c r="P41" s="3767" t="str">
        <f>A41</f>
        <v>成交单价（元/平方米）</v>
      </c>
      <c r="Q41" s="3767"/>
      <c r="R41" s="3795">
        <f>E41</f>
        <v>20000</v>
      </c>
      <c r="S41" s="3795"/>
      <c r="T41" s="3795">
        <f>G41</f>
        <v>20000</v>
      </c>
      <c r="U41" s="3795"/>
      <c r="V41" s="3795">
        <f>I41</f>
        <v>20000</v>
      </c>
      <c r="W41" s="3795"/>
      <c r="X41" s="690"/>
      <c r="Y41" s="712"/>
      <c r="Z41" s="690"/>
      <c r="AA41" s="690"/>
      <c r="AB41" s="690"/>
      <c r="AC41" s="690"/>
    </row>
    <row r="42" spans="1:29" ht="15.75" thickBot="1">
      <c r="A42" s="437" t="s">
        <v>1791</v>
      </c>
      <c r="B42" s="438"/>
      <c r="C42" s="1160">
        <f>R43</f>
        <v>10004</v>
      </c>
      <c r="D42" s="2315" t="s">
        <v>2136</v>
      </c>
      <c r="E42" s="1161">
        <f>R42</f>
        <v>10004</v>
      </c>
      <c r="F42" s="2316"/>
      <c r="G42" s="1160">
        <f>T42</f>
        <v>10004</v>
      </c>
      <c r="H42" s="2316"/>
      <c r="I42" s="1161">
        <f>V42</f>
        <v>10004</v>
      </c>
      <c r="J42" s="2316"/>
      <c r="K42" s="2318">
        <f>F42+H42+J42</f>
        <v>0</v>
      </c>
      <c r="L42" s="926"/>
      <c r="M42" s="927"/>
      <c r="N42" s="914"/>
      <c r="O42" s="927"/>
      <c r="P42" s="3767" t="str">
        <f>A42</f>
        <v>比较价值（元/平方米）</v>
      </c>
      <c r="Q42" s="3767"/>
      <c r="R42" s="3795">
        <f>IF(F1="售价",ROUND(PRODUCT(R41,AA7:AA40),0),ROUND(PRODUCT(R41,AA7:AA40),1))</f>
        <v>10004</v>
      </c>
      <c r="S42" s="3795"/>
      <c r="T42" s="3795">
        <f>IF(F1="售价",ROUND(PRODUCT(T41,AB7:AB40),0),ROUND(PRODUCT(T41,AB7:AB40),1))</f>
        <v>10004</v>
      </c>
      <c r="U42" s="3795"/>
      <c r="V42" s="3795">
        <f>IF(F1="售价",ROUND(PRODUCT(V41,AC7:AC40),0),ROUND(PRODUCT(V41,AC7:AC40),1))</f>
        <v>10004</v>
      </c>
      <c r="W42" s="3795"/>
      <c r="X42" s="690"/>
      <c r="Y42" s="690"/>
      <c r="Z42" s="690"/>
      <c r="AA42" s="690"/>
      <c r="AB42" s="690"/>
      <c r="AC42" s="690"/>
    </row>
    <row r="43" spans="1:29" ht="15.75" thickBot="1">
      <c r="A43" s="441" t="s">
        <v>1792</v>
      </c>
      <c r="B43" s="442"/>
      <c r="C43" s="1163">
        <f>R43</f>
        <v>10004</v>
      </c>
      <c r="D43" s="1163"/>
      <c r="E43" s="1163"/>
      <c r="F43" s="1163"/>
      <c r="G43" s="1163"/>
      <c r="H43" s="1163"/>
      <c r="I43" s="1163"/>
      <c r="J43" s="1163"/>
      <c r="K43" s="715"/>
      <c r="L43" s="926"/>
      <c r="M43" s="927"/>
      <c r="N43" s="927"/>
      <c r="O43" s="927"/>
      <c r="P43" s="3787" t="str">
        <f>A43</f>
        <v>估价对象XX用房的比较价值（楼面单价，元/平方米）</v>
      </c>
      <c r="Q43" s="3788"/>
      <c r="R43" s="3794">
        <f>IF(F1="售价",ROUND(IF(D42="简单平均",AVERAGE(R42:V42),R42*F42+T42*H42+V42*J42),0),ROUND(IF(D42="简单平均",AVERAGE(R42:V42),R42*F42+T42*H42+V42*J42),1))</f>
        <v>10004</v>
      </c>
      <c r="S43" s="3794"/>
      <c r="T43" s="3794"/>
      <c r="U43" s="3794"/>
      <c r="V43" s="3794"/>
      <c r="W43" s="3794"/>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1793</v>
      </c>
      <c r="D46" s="447"/>
      <c r="E46" s="448">
        <f>IF(E41&lt;E42,E42/E41-1,E41/E42-1)</f>
        <v>0.99920031987205116</v>
      </c>
      <c r="F46" s="449" t="str">
        <f>IF(OR(E46&gt;=0.3,E46&lt;=-0.3),"超过30%","")</f>
        <v>超过30%</v>
      </c>
      <c r="G46" s="448">
        <f>IF(G41&lt;G42,G42/G41-1,G41/G42-1)</f>
        <v>0.99920031987205116</v>
      </c>
      <c r="H46" s="449" t="str">
        <f>IF(OR(G46&gt;=0.3,G46&lt;=-0.3),"超过30%","")</f>
        <v>超过30%</v>
      </c>
      <c r="I46" s="448">
        <f>IF(I41&lt;I42,I42/I41-1,I41/I42-1)</f>
        <v>0.99920031987205116</v>
      </c>
      <c r="J46" s="449" t="str">
        <f>IF(OR(I46&gt;=0.3,I46&lt;=-0.3),"超过30%","")</f>
        <v>超过30%</v>
      </c>
      <c r="K46" s="2723"/>
      <c r="L46" s="889"/>
      <c r="M46" s="927"/>
      <c r="N46" s="927"/>
      <c r="O46" s="927"/>
    </row>
    <row r="47" spans="1:29" ht="13.5" customHeight="1">
      <c r="A47" s="2718"/>
      <c r="B47" s="2718"/>
      <c r="C47" s="446" t="s">
        <v>1794</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3"/>
      <c r="L47" s="889"/>
      <c r="M47" s="927"/>
      <c r="N47" s="927"/>
      <c r="O47" s="927"/>
    </row>
    <row r="48" spans="1:29" s="451" customFormat="1" ht="13.5" customHeight="1">
      <c r="A48" s="2721"/>
      <c r="B48" s="2721"/>
      <c r="C48" s="446" t="s">
        <v>1795</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3453" t="s">
        <v>3466</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1717</v>
      </c>
      <c r="B57" s="477" t="s">
        <v>1683</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t="s">
        <v>3467</v>
      </c>
      <c r="D59" s="532" t="s">
        <v>3468</v>
      </c>
      <c r="E59" s="532" t="s">
        <v>3469</v>
      </c>
      <c r="F59" s="3454" t="s">
        <v>3471</v>
      </c>
      <c r="G59" s="532" t="s">
        <v>3470</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1687</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1692</v>
      </c>
      <c r="B88" s="477" t="s">
        <v>1734</v>
      </c>
      <c r="C88" s="3458" t="s">
        <v>3491</v>
      </c>
      <c r="D88" s="3458" t="s">
        <v>3492</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1735</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1736</v>
      </c>
      <c r="C93" s="3455" t="s">
        <v>3478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1738</v>
      </c>
      <c r="C95" s="3455" t="s">
        <v>3479</v>
      </c>
      <c r="D95" s="3455" t="s">
        <v>3480</v>
      </c>
      <c r="E95" s="3455" t="s">
        <v>3481</v>
      </c>
      <c r="F95" s="3459" t="s">
        <v>3482</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1739</v>
      </c>
      <c r="C100" s="3455" t="s">
        <v>3493</v>
      </c>
      <c r="D100" s="3455" t="s">
        <v>3494</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5" sqref="G5:H5"/>
    </sheetView>
  </sheetViews>
  <sheetFormatPr defaultRowHeight="13.5"/>
  <cols>
    <col min="2" max="2" width="10.5" bestFit="1" customWidth="1"/>
  </cols>
  <sheetData>
    <row r="1" spans="1:8">
      <c r="A1" s="3450" t="s">
        <v>3410</v>
      </c>
      <c r="B1" s="3450" t="s">
        <v>3414</v>
      </c>
      <c r="C1" s="3450" t="s">
        <v>3415</v>
      </c>
      <c r="D1" s="3450" t="s">
        <v>3416</v>
      </c>
      <c r="E1" s="3450" t="s">
        <v>3417</v>
      </c>
      <c r="F1" s="3450" t="s">
        <v>3418</v>
      </c>
      <c r="G1" s="3450" t="s">
        <v>3419</v>
      </c>
      <c r="H1" s="3450" t="s">
        <v>3420</v>
      </c>
    </row>
    <row r="2" spans="1:8">
      <c r="A2" s="3450" t="s">
        <v>3411</v>
      </c>
      <c r="B2" s="3451">
        <f>项目基本情况!D3</f>
        <v>45210</v>
      </c>
      <c r="C2">
        <v>100</v>
      </c>
      <c r="D2">
        <v>200</v>
      </c>
      <c r="E2">
        <f>ROUND(D2*10000/C2,0)</f>
        <v>20000</v>
      </c>
      <c r="F2">
        <v>2020</v>
      </c>
      <c r="G2" s="3452">
        <v>0.9</v>
      </c>
      <c r="H2">
        <v>3</v>
      </c>
    </row>
    <row r="3" spans="1:8">
      <c r="A3" s="3450" t="s">
        <v>3412</v>
      </c>
      <c r="B3" s="3451">
        <f>B2</f>
        <v>45210</v>
      </c>
      <c r="C3">
        <v>100</v>
      </c>
      <c r="D3">
        <v>200</v>
      </c>
      <c r="E3">
        <f>ROUND(D3*10000/C3,0)</f>
        <v>20000</v>
      </c>
      <c r="F3">
        <v>2020</v>
      </c>
      <c r="G3" s="3452">
        <v>0.9</v>
      </c>
      <c r="H3">
        <v>3</v>
      </c>
    </row>
    <row r="4" spans="1:8">
      <c r="A4" s="3450" t="s">
        <v>3413</v>
      </c>
      <c r="B4" s="3451">
        <f>B2</f>
        <v>45210</v>
      </c>
      <c r="C4">
        <v>100</v>
      </c>
      <c r="D4">
        <v>200</v>
      </c>
      <c r="E4">
        <f>ROUND(D4*10000/C4,0)</f>
        <v>20000</v>
      </c>
      <c r="F4">
        <v>2020</v>
      </c>
      <c r="G4" s="3452">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5"/>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1767</v>
      </c>
      <c r="B4" s="356"/>
      <c r="C4" s="3768" t="s">
        <v>1768</v>
      </c>
      <c r="D4" s="3769"/>
      <c r="E4" s="3770" t="s">
        <v>1769</v>
      </c>
      <c r="F4" s="3771"/>
      <c r="G4" s="3768" t="s">
        <v>1770</v>
      </c>
      <c r="H4" s="3769"/>
      <c r="I4" s="3768" t="s">
        <v>1771</v>
      </c>
      <c r="J4" s="3769"/>
      <c r="K4" s="559" t="s">
        <v>1772</v>
      </c>
      <c r="L4" s="2708"/>
      <c r="M4" s="2709"/>
      <c r="N4" s="2709"/>
      <c r="O4" s="2709"/>
      <c r="P4" s="3772" t="s">
        <v>1773</v>
      </c>
      <c r="Q4" s="3773"/>
      <c r="R4" s="3755" t="s">
        <v>1769</v>
      </c>
      <c r="S4" s="3756"/>
      <c r="T4" s="3755" t="s">
        <v>1770</v>
      </c>
      <c r="U4" s="3756"/>
      <c r="V4" s="3780" t="s">
        <v>1771</v>
      </c>
      <c r="W4" s="3780"/>
      <c r="X4" s="1355"/>
      <c r="Y4" s="3755" t="s">
        <v>1773</v>
      </c>
      <c r="Z4" s="3756"/>
      <c r="AA4" s="3750" t="s">
        <v>1769</v>
      </c>
      <c r="AB4" s="3751" t="s">
        <v>1770</v>
      </c>
      <c r="AC4" s="3750" t="s">
        <v>1771</v>
      </c>
    </row>
    <row r="5" spans="1:29" ht="15">
      <c r="A5" s="358"/>
      <c r="B5" s="359"/>
      <c r="C5" s="3761" t="s">
        <v>1671</v>
      </c>
      <c r="D5" s="3762"/>
      <c r="E5" s="3759" t="s">
        <v>1672</v>
      </c>
      <c r="F5" s="3760"/>
      <c r="G5" s="3761" t="s">
        <v>1673</v>
      </c>
      <c r="H5" s="3762"/>
      <c r="I5" s="3761" t="s">
        <v>1674</v>
      </c>
      <c r="J5" s="3762"/>
      <c r="K5" s="559"/>
      <c r="L5" s="2708"/>
      <c r="M5" s="2709"/>
      <c r="N5" s="2709"/>
      <c r="O5" s="2709"/>
      <c r="P5" s="3774"/>
      <c r="Q5" s="3775"/>
      <c r="R5" s="3757"/>
      <c r="S5" s="3758"/>
      <c r="T5" s="3757"/>
      <c r="U5" s="3758"/>
      <c r="V5" s="3780"/>
      <c r="W5" s="3780"/>
      <c r="X5" s="1355"/>
      <c r="Y5" s="3757"/>
      <c r="Z5" s="3758"/>
      <c r="AA5" s="3751"/>
      <c r="AB5" s="3751"/>
      <c r="AC5" s="3751"/>
    </row>
    <row r="6" spans="1:29" ht="15.75" thickBot="1">
      <c r="A6" s="360"/>
      <c r="B6" s="361"/>
      <c r="C6" s="3763" t="s">
        <v>1675</v>
      </c>
      <c r="D6" s="3764"/>
      <c r="E6" s="3765" t="s">
        <v>1675</v>
      </c>
      <c r="F6" s="3766"/>
      <c r="G6" s="3763" t="s">
        <v>1675</v>
      </c>
      <c r="H6" s="3764"/>
      <c r="I6" s="3763" t="s">
        <v>1675</v>
      </c>
      <c r="J6" s="3764"/>
      <c r="K6" s="559" t="s">
        <v>1676</v>
      </c>
      <c r="L6" s="2708"/>
      <c r="M6" s="2709"/>
      <c r="N6" s="2709"/>
      <c r="O6" s="2709"/>
      <c r="P6" s="3776"/>
      <c r="Q6" s="3777"/>
      <c r="R6" s="3757"/>
      <c r="S6" s="3758"/>
      <c r="T6" s="3778"/>
      <c r="U6" s="3779"/>
      <c r="V6" s="3780"/>
      <c r="W6" s="3780"/>
      <c r="X6" s="1355"/>
      <c r="Y6" s="3778"/>
      <c r="Z6" s="3779"/>
      <c r="AA6" s="3752"/>
      <c r="AB6" s="3752"/>
      <c r="AC6" s="3752"/>
    </row>
    <row r="7" spans="1:29" s="108" customFormat="1" ht="15.75" thickBot="1">
      <c r="A7" s="362" t="s">
        <v>1677</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53" t="s">
        <v>1678</v>
      </c>
      <c r="Q7" s="3781"/>
      <c r="R7" s="701" t="s">
        <v>14</v>
      </c>
      <c r="S7" s="702">
        <f t="shared" ref="S7:S14" si="0">F7</f>
        <v>0</v>
      </c>
      <c r="T7" s="701" t="s">
        <v>14</v>
      </c>
      <c r="U7" s="702">
        <f t="shared" ref="U7:U14" si="1">H7</f>
        <v>0</v>
      </c>
      <c r="V7" s="701" t="s">
        <v>14</v>
      </c>
      <c r="W7" s="702">
        <f t="shared" ref="W7:W14" si="2">J7</f>
        <v>0</v>
      </c>
      <c r="X7" s="703"/>
      <c r="Y7" s="3753" t="s">
        <v>1678</v>
      </c>
      <c r="Z7" s="375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53" t="s">
        <v>1681</v>
      </c>
      <c r="Q8" s="3754"/>
      <c r="R8" s="701" t="s">
        <v>14</v>
      </c>
      <c r="S8" s="702">
        <f t="shared" si="0"/>
        <v>100</v>
      </c>
      <c r="T8" s="701" t="s">
        <v>14</v>
      </c>
      <c r="U8" s="702">
        <f t="shared" si="1"/>
        <v>100</v>
      </c>
      <c r="V8" s="701" t="s">
        <v>14</v>
      </c>
      <c r="W8" s="702">
        <f t="shared" si="2"/>
        <v>100</v>
      </c>
      <c r="X8" s="703"/>
      <c r="Y8" s="3753" t="s">
        <v>1681</v>
      </c>
      <c r="Z8" s="375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67" t="s">
        <v>1684</v>
      </c>
      <c r="Q9" s="1343" t="str">
        <f t="shared" ref="Q9:Q14" si="6">B9</f>
        <v>用途</v>
      </c>
      <c r="R9" s="701" t="s">
        <v>14</v>
      </c>
      <c r="S9" s="702">
        <f t="shared" si="0"/>
        <v>100</v>
      </c>
      <c r="T9" s="701" t="s">
        <v>14</v>
      </c>
      <c r="U9" s="702">
        <f t="shared" si="1"/>
        <v>100</v>
      </c>
      <c r="V9" s="701" t="s">
        <v>14</v>
      </c>
      <c r="W9" s="702">
        <f t="shared" si="2"/>
        <v>100</v>
      </c>
      <c r="X9" s="703"/>
      <c r="Y9" s="3699" t="s">
        <v>1685</v>
      </c>
      <c r="Z9" s="52" t="str">
        <f t="shared" ref="Z9:Z14" si="7">Q9</f>
        <v>用途</v>
      </c>
      <c r="AA9" s="704">
        <f t="shared" si="3"/>
        <v>1</v>
      </c>
      <c r="AB9" s="704">
        <f t="shared" si="4"/>
        <v>1</v>
      </c>
      <c r="AC9" s="704">
        <f t="shared" si="5"/>
        <v>1</v>
      </c>
    </row>
    <row r="10" spans="1:29" s="378" customFormat="1" ht="27">
      <c r="A10" s="589"/>
      <c r="B10" s="590" t="s">
        <v>1686</v>
      </c>
      <c r="C10" s="3426"/>
      <c r="D10" s="127">
        <v>100</v>
      </c>
      <c r="E10" s="3426"/>
      <c r="F10" s="127">
        <f>SUMIF(55:55,E10,56:56)-SUMIF(55:55,C10,56:56)+100</f>
        <v>100</v>
      </c>
      <c r="G10" s="3427"/>
      <c r="H10" s="127">
        <f>SUMIF(55:55,G10,56:56)-SUMIF(55:55,C10,56:56)+100</f>
        <v>100</v>
      </c>
      <c r="I10" s="3426"/>
      <c r="J10" s="127">
        <f>SUMIF(55:55,I10,56:56)-SUMIF(55:55,C10,56:56)+100</f>
        <v>100</v>
      </c>
      <c r="K10" s="560"/>
      <c r="L10" s="2712"/>
      <c r="M10" s="2713"/>
      <c r="N10" s="2713"/>
      <c r="O10" s="2713"/>
      <c r="P10" s="3767"/>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67"/>
      <c r="Q11" s="1343">
        <f t="shared" si="6"/>
        <v>111</v>
      </c>
      <c r="R11" s="701" t="s">
        <v>14</v>
      </c>
      <c r="S11" s="702">
        <f t="shared" si="0"/>
        <v>100</v>
      </c>
      <c r="T11" s="701" t="s">
        <v>14</v>
      </c>
      <c r="U11" s="702">
        <f t="shared" si="1"/>
        <v>100</v>
      </c>
      <c r="V11" s="701" t="s">
        <v>14</v>
      </c>
      <c r="W11" s="702">
        <f t="shared" si="2"/>
        <v>100</v>
      </c>
      <c r="X11" s="703"/>
      <c r="Y11" s="369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67"/>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67"/>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704">
        <f t="shared" si="5"/>
        <v>1</v>
      </c>
    </row>
    <row r="14" spans="1:29" ht="15">
      <c r="A14" s="355" t="s">
        <v>1688</v>
      </c>
      <c r="B14" s="577" t="s">
        <v>1831</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82" t="s">
        <v>1689</v>
      </c>
      <c r="Q14" s="1352" t="str">
        <f t="shared" si="6"/>
        <v>交通便捷度</v>
      </c>
      <c r="R14" s="705" t="s">
        <v>14</v>
      </c>
      <c r="S14" s="706">
        <f t="shared" si="0"/>
        <v>100</v>
      </c>
      <c r="T14" s="705" t="s">
        <v>14</v>
      </c>
      <c r="U14" s="706">
        <f t="shared" si="1"/>
        <v>100</v>
      </c>
      <c r="V14" s="705" t="s">
        <v>14</v>
      </c>
      <c r="W14" s="706">
        <f t="shared" si="2"/>
        <v>100</v>
      </c>
      <c r="X14" s="1355"/>
      <c r="Y14" s="3782"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783"/>
      <c r="Q15" s="1352"/>
      <c r="R15" s="705"/>
      <c r="S15" s="706"/>
      <c r="T15" s="705"/>
      <c r="U15" s="706"/>
      <c r="V15" s="705"/>
      <c r="W15" s="706"/>
      <c r="X15" s="1355"/>
      <c r="Y15" s="3783"/>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83"/>
      <c r="Q16" s="1352" t="str">
        <f>B16</f>
        <v>公共配套设施</v>
      </c>
      <c r="R16" s="705" t="s">
        <v>14</v>
      </c>
      <c r="S16" s="706">
        <f>F16</f>
        <v>100</v>
      </c>
      <c r="T16" s="705" t="s">
        <v>14</v>
      </c>
      <c r="U16" s="706">
        <f>H16</f>
        <v>100</v>
      </c>
      <c r="V16" s="705" t="s">
        <v>14</v>
      </c>
      <c r="W16" s="706">
        <f>J16</f>
        <v>100</v>
      </c>
      <c r="X16" s="1355"/>
      <c r="Y16" s="37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5"/>
      <c r="M17" s="2709"/>
      <c r="N17" s="2709"/>
      <c r="O17" s="2709"/>
      <c r="P17" s="3783"/>
      <c r="Q17" s="1352"/>
      <c r="R17" s="705"/>
      <c r="S17" s="706"/>
      <c r="T17" s="705"/>
      <c r="U17" s="706"/>
      <c r="V17" s="705"/>
      <c r="W17" s="706"/>
      <c r="X17" s="1355"/>
      <c r="Y17" s="3783"/>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83"/>
      <c r="Q18" s="1352" t="str">
        <f>B18</f>
        <v>基础设施水平</v>
      </c>
      <c r="R18" s="705" t="s">
        <v>14</v>
      </c>
      <c r="S18" s="706">
        <f>F18</f>
        <v>100</v>
      </c>
      <c r="T18" s="705" t="s">
        <v>14</v>
      </c>
      <c r="U18" s="706">
        <f>H18</f>
        <v>100</v>
      </c>
      <c r="V18" s="705" t="s">
        <v>14</v>
      </c>
      <c r="W18" s="706">
        <f>J18</f>
        <v>100</v>
      </c>
      <c r="X18" s="1355"/>
      <c r="Y18" s="37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5"/>
      <c r="M19" s="2709"/>
      <c r="N19" s="2709"/>
      <c r="O19" s="2709"/>
      <c r="P19" s="3783"/>
      <c r="Q19" s="1352"/>
      <c r="R19" s="705"/>
      <c r="S19" s="706"/>
      <c r="T19" s="705"/>
      <c r="U19" s="706"/>
      <c r="V19" s="705"/>
      <c r="W19" s="706"/>
      <c r="X19" s="1355"/>
      <c r="Y19" s="3783"/>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83"/>
      <c r="Q20" s="1352" t="str">
        <f>B20</f>
        <v>自然及人文环境</v>
      </c>
      <c r="R20" s="705" t="s">
        <v>14</v>
      </c>
      <c r="S20" s="706">
        <f>F20</f>
        <v>100</v>
      </c>
      <c r="T20" s="705" t="s">
        <v>14</v>
      </c>
      <c r="U20" s="706">
        <f>H20</f>
        <v>100</v>
      </c>
      <c r="V20" s="705" t="s">
        <v>14</v>
      </c>
      <c r="W20" s="706">
        <f>J20</f>
        <v>100</v>
      </c>
      <c r="X20" s="1355"/>
      <c r="Y20" s="37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783"/>
      <c r="Q21" s="1352"/>
      <c r="R21" s="705"/>
      <c r="S21" s="706"/>
      <c r="T21" s="705"/>
      <c r="U21" s="706"/>
      <c r="V21" s="705"/>
      <c r="W21" s="706"/>
      <c r="X21" s="1355"/>
      <c r="Y21" s="3783"/>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83"/>
      <c r="Q22" s="1352" t="str">
        <f>B22</f>
        <v>楼层</v>
      </c>
      <c r="R22" s="705" t="s">
        <v>14</v>
      </c>
      <c r="S22" s="706">
        <f>F22</f>
        <v>100</v>
      </c>
      <c r="T22" s="705" t="s">
        <v>14</v>
      </c>
      <c r="U22" s="706">
        <f>H22</f>
        <v>100</v>
      </c>
      <c r="V22" s="705" t="s">
        <v>14</v>
      </c>
      <c r="W22" s="706">
        <f>J22</f>
        <v>100</v>
      </c>
      <c r="X22" s="1355"/>
      <c r="Y22" s="37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83"/>
      <c r="Q23" s="1352">
        <f>B23</f>
        <v>111</v>
      </c>
      <c r="R23" s="705" t="s">
        <v>14</v>
      </c>
      <c r="S23" s="706">
        <f>F23</f>
        <v>100</v>
      </c>
      <c r="T23" s="705" t="s">
        <v>14</v>
      </c>
      <c r="U23" s="706">
        <f>H23</f>
        <v>100</v>
      </c>
      <c r="V23" s="705" t="s">
        <v>14</v>
      </c>
      <c r="W23" s="706">
        <f>J23</f>
        <v>100</v>
      </c>
      <c r="X23" s="1355"/>
      <c r="Y23" s="37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83"/>
      <c r="Q24" s="1352">
        <f t="shared" ref="Q24:Q36" si="11">B24</f>
        <v>111</v>
      </c>
      <c r="R24" s="705" t="s">
        <v>14</v>
      </c>
      <c r="S24" s="706">
        <f>F24</f>
        <v>100</v>
      </c>
      <c r="T24" s="705" t="s">
        <v>14</v>
      </c>
      <c r="U24" s="706">
        <f>H24</f>
        <v>100</v>
      </c>
      <c r="V24" s="705" t="s">
        <v>14</v>
      </c>
      <c r="W24" s="706">
        <f>J24</f>
        <v>100</v>
      </c>
      <c r="X24" s="1355"/>
      <c r="Y24" s="37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83"/>
      <c r="Q25" s="1343">
        <f t="shared" si="11"/>
        <v>111</v>
      </c>
      <c r="R25" s="701" t="s">
        <v>14</v>
      </c>
      <c r="S25" s="702">
        <f>F25</f>
        <v>100</v>
      </c>
      <c r="T25" s="701" t="s">
        <v>14</v>
      </c>
      <c r="U25" s="702">
        <f>H25</f>
        <v>100</v>
      </c>
      <c r="V25" s="701" t="s">
        <v>14</v>
      </c>
      <c r="W25" s="702">
        <f>J25</f>
        <v>100</v>
      </c>
      <c r="X25" s="703"/>
      <c r="Y25" s="3783"/>
      <c r="Z25" s="52">
        <f>Q25</f>
        <v>111</v>
      </c>
      <c r="AA25" s="1353">
        <f>D25/F25</f>
        <v>1</v>
      </c>
      <c r="AB25" s="1353">
        <f>D25/H25</f>
        <v>1</v>
      </c>
      <c r="AC25" s="1353">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84"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5"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85"/>
      <c r="Q27" s="707" t="str">
        <f t="shared" si="11"/>
        <v>项目停车位配比</v>
      </c>
      <c r="R27" s="708" t="s">
        <v>14</v>
      </c>
      <c r="S27" s="709">
        <f t="shared" si="12"/>
        <v>100</v>
      </c>
      <c r="T27" s="708" t="s">
        <v>14</v>
      </c>
      <c r="U27" s="709">
        <f t="shared" si="13"/>
        <v>100</v>
      </c>
      <c r="V27" s="708" t="s">
        <v>14</v>
      </c>
      <c r="W27" s="709">
        <f t="shared" si="14"/>
        <v>100</v>
      </c>
      <c r="X27" s="710"/>
      <c r="Y27" s="3785"/>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85"/>
      <c r="Q28" s="1352" t="str">
        <f t="shared" si="11"/>
        <v>公共部分装修</v>
      </c>
      <c r="R28" s="705" t="s">
        <v>14</v>
      </c>
      <c r="S28" s="706">
        <f t="shared" si="12"/>
        <v>100</v>
      </c>
      <c r="T28" s="705" t="s">
        <v>14</v>
      </c>
      <c r="U28" s="706">
        <f t="shared" si="13"/>
        <v>100</v>
      </c>
      <c r="V28" s="705" t="s">
        <v>14</v>
      </c>
      <c r="W28" s="706">
        <f t="shared" si="14"/>
        <v>100</v>
      </c>
      <c r="X28" s="1355"/>
      <c r="Y28" s="3785"/>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85"/>
      <c r="Q29" s="1352" t="str">
        <f t="shared" si="11"/>
        <v>成新率</v>
      </c>
      <c r="R29" s="705" t="s">
        <v>14</v>
      </c>
      <c r="S29" s="706" t="e">
        <f t="shared" si="12"/>
        <v>#N/A</v>
      </c>
      <c r="T29" s="705" t="s">
        <v>14</v>
      </c>
      <c r="U29" s="706" t="e">
        <f t="shared" si="13"/>
        <v>#N/A</v>
      </c>
      <c r="V29" s="705" t="s">
        <v>14</v>
      </c>
      <c r="W29" s="706" t="e">
        <f t="shared" si="14"/>
        <v>#N/A</v>
      </c>
      <c r="X29" s="1355"/>
      <c r="Y29" s="3785"/>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85"/>
      <c r="Q30" s="1352" t="str">
        <f t="shared" si="11"/>
        <v>物业等级</v>
      </c>
      <c r="R30" s="705" t="s">
        <v>14</v>
      </c>
      <c r="S30" s="706">
        <f t="shared" si="12"/>
        <v>100</v>
      </c>
      <c r="T30" s="705" t="s">
        <v>14</v>
      </c>
      <c r="U30" s="706">
        <f t="shared" si="13"/>
        <v>100</v>
      </c>
      <c r="V30" s="705" t="s">
        <v>14</v>
      </c>
      <c r="W30" s="706">
        <f t="shared" si="14"/>
        <v>100</v>
      </c>
      <c r="X30" s="1355"/>
      <c r="Y30" s="3785"/>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85"/>
      <c r="Q31" s="1343" t="str">
        <f t="shared" si="11"/>
        <v>停车位面积</v>
      </c>
      <c r="R31" s="701" t="s">
        <v>14</v>
      </c>
      <c r="S31" s="702" t="e">
        <f t="shared" si="12"/>
        <v>#N/A</v>
      </c>
      <c r="T31" s="701" t="s">
        <v>14</v>
      </c>
      <c r="U31" s="702" t="e">
        <f t="shared" si="13"/>
        <v>#N/A</v>
      </c>
      <c r="V31" s="701" t="s">
        <v>14</v>
      </c>
      <c r="W31" s="702" t="e">
        <f t="shared" si="14"/>
        <v>#N/A</v>
      </c>
      <c r="X31" s="703"/>
      <c r="Y31" s="3785"/>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85" t="s">
        <v>1694</v>
      </c>
      <c r="Q32" s="1352" t="str">
        <f t="shared" si="11"/>
        <v>车位类型</v>
      </c>
      <c r="R32" s="705" t="s">
        <v>14</v>
      </c>
      <c r="S32" s="706">
        <f t="shared" si="12"/>
        <v>100</v>
      </c>
      <c r="T32" s="705" t="s">
        <v>14</v>
      </c>
      <c r="U32" s="706">
        <f t="shared" si="13"/>
        <v>100</v>
      </c>
      <c r="V32" s="705" t="s">
        <v>14</v>
      </c>
      <c r="W32" s="706">
        <f t="shared" si="14"/>
        <v>100</v>
      </c>
      <c r="X32" s="1355"/>
      <c r="Y32" s="3785"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85"/>
      <c r="Q33" s="1352" t="str">
        <f t="shared" si="11"/>
        <v>是否直接入户</v>
      </c>
      <c r="R33" s="705" t="s">
        <v>14</v>
      </c>
      <c r="S33" s="706">
        <f t="shared" si="12"/>
        <v>100</v>
      </c>
      <c r="T33" s="705" t="s">
        <v>14</v>
      </c>
      <c r="U33" s="706">
        <f t="shared" si="13"/>
        <v>100</v>
      </c>
      <c r="V33" s="705" t="s">
        <v>14</v>
      </c>
      <c r="W33" s="706">
        <f t="shared" si="14"/>
        <v>100</v>
      </c>
      <c r="X33" s="1355"/>
      <c r="Y33" s="37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85"/>
      <c r="Q34" s="1352">
        <f t="shared" si="11"/>
        <v>111</v>
      </c>
      <c r="R34" s="705" t="s">
        <v>14</v>
      </c>
      <c r="S34" s="706">
        <f t="shared" si="12"/>
        <v>100</v>
      </c>
      <c r="T34" s="705" t="s">
        <v>14</v>
      </c>
      <c r="U34" s="706">
        <f t="shared" si="13"/>
        <v>100</v>
      </c>
      <c r="V34" s="705" t="s">
        <v>14</v>
      </c>
      <c r="W34" s="706">
        <f t="shared" si="14"/>
        <v>100</v>
      </c>
      <c r="X34" s="1355"/>
      <c r="Y34" s="37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85"/>
      <c r="Q35" s="707">
        <f t="shared" si="11"/>
        <v>111</v>
      </c>
      <c r="R35" s="708" t="s">
        <v>14</v>
      </c>
      <c r="S35" s="709">
        <f t="shared" si="12"/>
        <v>100</v>
      </c>
      <c r="T35" s="708" t="s">
        <v>14</v>
      </c>
      <c r="U35" s="709">
        <f t="shared" si="13"/>
        <v>100</v>
      </c>
      <c r="V35" s="708" t="s">
        <v>14</v>
      </c>
      <c r="W35" s="709">
        <f t="shared" si="14"/>
        <v>100</v>
      </c>
      <c r="X35" s="710"/>
      <c r="Y35" s="378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85"/>
      <c r="Q36" s="1352">
        <f t="shared" si="11"/>
        <v>111</v>
      </c>
      <c r="R36" s="705" t="s">
        <v>14</v>
      </c>
      <c r="S36" s="706">
        <f t="shared" si="12"/>
        <v>100</v>
      </c>
      <c r="T36" s="705" t="s">
        <v>14</v>
      </c>
      <c r="U36" s="706">
        <f t="shared" si="13"/>
        <v>100</v>
      </c>
      <c r="V36" s="705" t="s">
        <v>14</v>
      </c>
      <c r="W36" s="706">
        <f t="shared" si="14"/>
        <v>100</v>
      </c>
      <c r="X36" s="1355"/>
      <c r="Y36" s="3785"/>
      <c r="Z36" s="1356">
        <f t="shared" si="15"/>
        <v>111</v>
      </c>
      <c r="AA36" s="1353">
        <f t="shared" si="3"/>
        <v>1</v>
      </c>
      <c r="AB36" s="1353">
        <f t="shared" si="4"/>
        <v>1</v>
      </c>
      <c r="AC36" s="1353">
        <f t="shared" si="5"/>
        <v>1</v>
      </c>
    </row>
    <row r="37" spans="1:29" ht="15">
      <c r="A37" s="430" t="s">
        <v>1842</v>
      </c>
      <c r="B37" s="1971" t="s">
        <v>3345</v>
      </c>
      <c r="C37" s="1154" t="s">
        <v>0</v>
      </c>
      <c r="D37" s="1155"/>
      <c r="E37" s="1156"/>
      <c r="F37" s="1157"/>
      <c r="G37" s="1158"/>
      <c r="H37" s="1159"/>
      <c r="I37" s="1156"/>
      <c r="J37" s="1159"/>
      <c r="K37" s="568"/>
      <c r="L37" s="2717"/>
      <c r="M37" s="2718"/>
      <c r="N37" s="2709"/>
      <c r="O37" s="2718"/>
      <c r="P37" s="3767" t="str">
        <f>A37</f>
        <v>成交单价</v>
      </c>
      <c r="Q37" s="3767"/>
      <c r="R37" s="3795">
        <f>E37</f>
        <v>0</v>
      </c>
      <c r="S37" s="3795"/>
      <c r="T37" s="3795">
        <f>G37</f>
        <v>0</v>
      </c>
      <c r="U37" s="3795"/>
      <c r="V37" s="3795">
        <f>I37</f>
        <v>0</v>
      </c>
      <c r="W37" s="3795"/>
      <c r="X37" s="690"/>
      <c r="Y37" s="712"/>
      <c r="Z37" s="690"/>
      <c r="AA37" s="690"/>
      <c r="AB37" s="690"/>
      <c r="AC37" s="690"/>
    </row>
    <row r="38" spans="1:29" ht="15.75" thickBot="1">
      <c r="A38" s="437" t="s">
        <v>1843</v>
      </c>
      <c r="B38" s="438" t="str">
        <f>B37</f>
        <v>元/平方米</v>
      </c>
      <c r="C38" s="1160" t="e">
        <f>R39</f>
        <v>#DIV/0!</v>
      </c>
      <c r="D38" s="2315" t="s">
        <v>2136</v>
      </c>
      <c r="E38" s="1161" t="e">
        <f>R38</f>
        <v>#DIV/0!</v>
      </c>
      <c r="F38" s="2316"/>
      <c r="G38" s="1160" t="e">
        <f>T38</f>
        <v>#DIV/0!</v>
      </c>
      <c r="H38" s="2316"/>
      <c r="I38" s="1161" t="e">
        <f>V38</f>
        <v>#DIV/0!</v>
      </c>
      <c r="J38" s="2316"/>
      <c r="K38" s="2318">
        <f>F38+H38+J38</f>
        <v>0</v>
      </c>
      <c r="L38" s="2717"/>
      <c r="M38" s="2718"/>
      <c r="N38" s="2718"/>
      <c r="O38" s="2718"/>
      <c r="P38" s="3767" t="str">
        <f>A38</f>
        <v>比较价值（元/平方米）</v>
      </c>
      <c r="Q38" s="3767"/>
      <c r="R38" s="3795" t="e">
        <f>IF(F1="售价",ROUND(PRODUCT(R37,AA7:AA36),0),ROUND(PRODUCT(R37,AA7:AA36),1))</f>
        <v>#DIV/0!</v>
      </c>
      <c r="S38" s="3795"/>
      <c r="T38" s="3795" t="e">
        <f>IF(F1="售价",ROUND(PRODUCT(T37,AB7:AB36),0),ROUND(PRODUCT(T37,AB7:AB36),1))</f>
        <v>#DIV/0!</v>
      </c>
      <c r="U38" s="3795"/>
      <c r="V38" s="3795" t="e">
        <f>IF(F1="售价",ROUND(PRODUCT(V37,AC7:AC36),0),ROUND(PRODUCT(V37,AC7:AC36),1))</f>
        <v>#DIV/0!</v>
      </c>
      <c r="W38" s="3795"/>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7"/>
      <c r="M39" s="2718"/>
      <c r="N39" s="2718"/>
      <c r="O39" s="2718"/>
      <c r="P39" s="3787" t="str">
        <f>A39</f>
        <v>估价对象XX用房的比较价值（楼面单价，元/平方米）</v>
      </c>
      <c r="Q39" s="3788"/>
      <c r="R39" s="3817" t="e">
        <f>IF(F1="售价",ROUND(IF(D38="简单平均",AVERAGE(R38:W38),R38*F38+T38*H38+V38*J38),0),ROUND(IF(D38="简单平均",AVERAGE(R38:V38),R38*F38+T38*H38+V38*J38),1))</f>
        <v>#DIV/0!</v>
      </c>
      <c r="S39" s="3817"/>
      <c r="T39" s="3817"/>
      <c r="U39" s="3817"/>
      <c r="V39" s="3817"/>
      <c r="W39" s="3817"/>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1848</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3326</v>
      </c>
      <c r="C1" s="1224" t="s">
        <v>1660</v>
      </c>
      <c r="D1" s="1225"/>
      <c r="E1" s="3425"/>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1767</v>
      </c>
      <c r="B4" s="356"/>
      <c r="C4" s="3768" t="s">
        <v>1768</v>
      </c>
      <c r="D4" s="3769"/>
      <c r="E4" s="3770" t="s">
        <v>1769</v>
      </c>
      <c r="F4" s="3771"/>
      <c r="G4" s="3768" t="s">
        <v>1770</v>
      </c>
      <c r="H4" s="3769"/>
      <c r="I4" s="3768" t="s">
        <v>1771</v>
      </c>
      <c r="J4" s="3769"/>
      <c r="K4" s="559" t="s">
        <v>1772</v>
      </c>
      <c r="L4" s="2708"/>
      <c r="M4" s="2709"/>
      <c r="N4" s="2709"/>
      <c r="O4" s="2709"/>
      <c r="P4" s="3772" t="s">
        <v>1773</v>
      </c>
      <c r="Q4" s="3773"/>
      <c r="R4" s="3755" t="s">
        <v>1769</v>
      </c>
      <c r="S4" s="3756"/>
      <c r="T4" s="3755" t="s">
        <v>1770</v>
      </c>
      <c r="U4" s="3756"/>
      <c r="V4" s="3780" t="s">
        <v>1771</v>
      </c>
      <c r="W4" s="3780"/>
      <c r="X4" s="1355"/>
      <c r="Y4" s="3755" t="s">
        <v>1773</v>
      </c>
      <c r="Z4" s="3756"/>
      <c r="AA4" s="3750" t="s">
        <v>1769</v>
      </c>
      <c r="AB4" s="3751" t="s">
        <v>1770</v>
      </c>
      <c r="AC4" s="3750" t="s">
        <v>1771</v>
      </c>
    </row>
    <row r="5" spans="1:29" ht="15">
      <c r="A5" s="358"/>
      <c r="B5" s="359"/>
      <c r="C5" s="3761" t="s">
        <v>1671</v>
      </c>
      <c r="D5" s="3762"/>
      <c r="E5" s="3759" t="s">
        <v>1672</v>
      </c>
      <c r="F5" s="3760"/>
      <c r="G5" s="3761" t="s">
        <v>1673</v>
      </c>
      <c r="H5" s="3762"/>
      <c r="I5" s="3761" t="s">
        <v>1674</v>
      </c>
      <c r="J5" s="3762"/>
      <c r="K5" s="559"/>
      <c r="L5" s="2708"/>
      <c r="M5" s="2709"/>
      <c r="N5" s="2709"/>
      <c r="O5" s="2709"/>
      <c r="P5" s="3774"/>
      <c r="Q5" s="3775"/>
      <c r="R5" s="3757"/>
      <c r="S5" s="3758"/>
      <c r="T5" s="3757"/>
      <c r="U5" s="3758"/>
      <c r="V5" s="3780"/>
      <c r="W5" s="3780"/>
      <c r="X5" s="1355"/>
      <c r="Y5" s="3757"/>
      <c r="Z5" s="3758"/>
      <c r="AA5" s="3751"/>
      <c r="AB5" s="3751"/>
      <c r="AC5" s="3751"/>
    </row>
    <row r="6" spans="1:29" ht="15.75" thickBot="1">
      <c r="A6" s="360"/>
      <c r="B6" s="361"/>
      <c r="C6" s="3763" t="s">
        <v>1675</v>
      </c>
      <c r="D6" s="3764"/>
      <c r="E6" s="3765" t="s">
        <v>1675</v>
      </c>
      <c r="F6" s="3766"/>
      <c r="G6" s="3763" t="s">
        <v>1675</v>
      </c>
      <c r="H6" s="3764"/>
      <c r="I6" s="3763" t="s">
        <v>1675</v>
      </c>
      <c r="J6" s="3764"/>
      <c r="K6" s="559" t="s">
        <v>1676</v>
      </c>
      <c r="L6" s="2708"/>
      <c r="M6" s="2709"/>
      <c r="N6" s="2709"/>
      <c r="O6" s="2709"/>
      <c r="P6" s="3776"/>
      <c r="Q6" s="3777"/>
      <c r="R6" s="3757"/>
      <c r="S6" s="3758"/>
      <c r="T6" s="3778"/>
      <c r="U6" s="3779"/>
      <c r="V6" s="3780"/>
      <c r="W6" s="3780"/>
      <c r="X6" s="1355"/>
      <c r="Y6" s="3778"/>
      <c r="Z6" s="3779"/>
      <c r="AA6" s="3752"/>
      <c r="AB6" s="3752"/>
      <c r="AC6" s="3752"/>
    </row>
    <row r="7" spans="1:29" s="108" customFormat="1" ht="15.75" thickBot="1">
      <c r="A7" s="362" t="s">
        <v>1677</v>
      </c>
      <c r="B7" s="363"/>
      <c r="C7" s="364">
        <f>'数据-取费表'!B2</f>
        <v>45210</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753" t="s">
        <v>1678</v>
      </c>
      <c r="Q7" s="3781"/>
      <c r="R7" s="701" t="s">
        <v>14</v>
      </c>
      <c r="S7" s="702">
        <f t="shared" ref="S7:S14" si="0">F7</f>
        <v>0</v>
      </c>
      <c r="T7" s="701" t="s">
        <v>14</v>
      </c>
      <c r="U7" s="702">
        <f t="shared" ref="U7:U14" si="1">H7</f>
        <v>0</v>
      </c>
      <c r="V7" s="701" t="s">
        <v>14</v>
      </c>
      <c r="W7" s="702">
        <f t="shared" ref="W7:W14" si="2">J7</f>
        <v>0</v>
      </c>
      <c r="X7" s="703"/>
      <c r="Y7" s="3753" t="s">
        <v>1678</v>
      </c>
      <c r="Z7" s="375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53" t="s">
        <v>1681</v>
      </c>
      <c r="Q8" s="3754"/>
      <c r="R8" s="701" t="s">
        <v>14</v>
      </c>
      <c r="S8" s="702">
        <f t="shared" si="0"/>
        <v>100</v>
      </c>
      <c r="T8" s="701" t="s">
        <v>14</v>
      </c>
      <c r="U8" s="702">
        <f t="shared" si="1"/>
        <v>100</v>
      </c>
      <c r="V8" s="701" t="s">
        <v>14</v>
      </c>
      <c r="W8" s="702">
        <f t="shared" si="2"/>
        <v>100</v>
      </c>
      <c r="X8" s="703"/>
      <c r="Y8" s="3753" t="s">
        <v>1681</v>
      </c>
      <c r="Z8" s="375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67" t="s">
        <v>1684</v>
      </c>
      <c r="Q9" s="1343" t="str">
        <f t="shared" ref="Q9:Q14" si="6">B9</f>
        <v>用途</v>
      </c>
      <c r="R9" s="701" t="s">
        <v>14</v>
      </c>
      <c r="S9" s="702">
        <f t="shared" si="0"/>
        <v>100</v>
      </c>
      <c r="T9" s="701" t="s">
        <v>14</v>
      </c>
      <c r="U9" s="702">
        <f t="shared" si="1"/>
        <v>100</v>
      </c>
      <c r="V9" s="701" t="s">
        <v>14</v>
      </c>
      <c r="W9" s="702">
        <f t="shared" si="2"/>
        <v>100</v>
      </c>
      <c r="X9" s="703"/>
      <c r="Y9" s="3699" t="s">
        <v>1685</v>
      </c>
      <c r="Z9" s="52" t="str">
        <f t="shared" ref="Z9:Z14" si="7">Q9</f>
        <v>用途</v>
      </c>
      <c r="AA9" s="704">
        <f t="shared" si="3"/>
        <v>1</v>
      </c>
      <c r="AB9" s="704">
        <f t="shared" si="4"/>
        <v>1</v>
      </c>
      <c r="AC9" s="704">
        <f t="shared" si="5"/>
        <v>1</v>
      </c>
    </row>
    <row r="10" spans="1:29" s="378" customFormat="1" ht="27">
      <c r="A10" s="374"/>
      <c r="B10" s="375" t="s">
        <v>1686</v>
      </c>
      <c r="C10" s="3426"/>
      <c r="D10" s="127">
        <v>100</v>
      </c>
      <c r="E10" s="3426"/>
      <c r="F10" s="376">
        <f>SUMIF(53:53,E10,54:54)-SUMIF(53:53,C10,54:54)+100</f>
        <v>100</v>
      </c>
      <c r="G10" s="3426"/>
      <c r="H10" s="127">
        <f>SUMIF(53:53,G10,54:54)-SUMIF(53:53,C10,54:54)+100</f>
        <v>100</v>
      </c>
      <c r="I10" s="3426"/>
      <c r="J10" s="127">
        <f>SUMIF(53:53,I10,54:54)-SUMIF(53:53,C10,54:54)+100</f>
        <v>100</v>
      </c>
      <c r="K10" s="560"/>
      <c r="L10" s="2712"/>
      <c r="M10" s="2713"/>
      <c r="N10" s="2713"/>
      <c r="O10" s="2766"/>
      <c r="P10" s="3767"/>
      <c r="Q10" s="1343" t="str">
        <f t="shared" si="6"/>
        <v>土地使用年限（年）</v>
      </c>
      <c r="R10" s="701" t="s">
        <v>14</v>
      </c>
      <c r="S10" s="702">
        <f t="shared" si="0"/>
        <v>100</v>
      </c>
      <c r="T10" s="701" t="s">
        <v>14</v>
      </c>
      <c r="U10" s="702">
        <f t="shared" si="1"/>
        <v>100</v>
      </c>
      <c r="V10" s="701" t="s">
        <v>14</v>
      </c>
      <c r="W10" s="702">
        <f t="shared" si="2"/>
        <v>100</v>
      </c>
      <c r="X10" s="703"/>
      <c r="Y10" s="369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67"/>
      <c r="Q11" s="1343">
        <f t="shared" si="6"/>
        <v>111</v>
      </c>
      <c r="R11" s="701" t="s">
        <v>14</v>
      </c>
      <c r="S11" s="702">
        <f t="shared" si="0"/>
        <v>100</v>
      </c>
      <c r="T11" s="701" t="s">
        <v>14</v>
      </c>
      <c r="U11" s="702">
        <f t="shared" si="1"/>
        <v>100</v>
      </c>
      <c r="V11" s="701" t="s">
        <v>14</v>
      </c>
      <c r="W11" s="702">
        <f t="shared" si="2"/>
        <v>100</v>
      </c>
      <c r="X11" s="703"/>
      <c r="Y11" s="369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67"/>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67"/>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704">
        <f t="shared" si="5"/>
        <v>1</v>
      </c>
    </row>
    <row r="14" spans="1:29" ht="15">
      <c r="A14" s="391" t="s">
        <v>1688</v>
      </c>
      <c r="B14" s="61" t="s">
        <v>1831</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82" t="s">
        <v>1689</v>
      </c>
      <c r="Q14" s="1352" t="str">
        <f t="shared" si="6"/>
        <v>交通便捷度</v>
      </c>
      <c r="R14" s="705" t="s">
        <v>14</v>
      </c>
      <c r="S14" s="706">
        <f t="shared" si="0"/>
        <v>100</v>
      </c>
      <c r="T14" s="705" t="s">
        <v>14</v>
      </c>
      <c r="U14" s="706">
        <f t="shared" si="1"/>
        <v>100</v>
      </c>
      <c r="V14" s="705" t="s">
        <v>14</v>
      </c>
      <c r="W14" s="706">
        <f t="shared" si="2"/>
        <v>100</v>
      </c>
      <c r="X14" s="1355"/>
      <c r="Y14" s="3782"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783"/>
      <c r="Q15" s="1352"/>
      <c r="R15" s="705"/>
      <c r="S15" s="706"/>
      <c r="T15" s="705"/>
      <c r="U15" s="706"/>
      <c r="V15" s="705"/>
      <c r="W15" s="706"/>
      <c r="X15" s="1355"/>
      <c r="Y15" s="3783"/>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83"/>
      <c r="Q16" s="1352" t="str">
        <f>B16</f>
        <v>公共配套设施</v>
      </c>
      <c r="R16" s="705" t="s">
        <v>14</v>
      </c>
      <c r="S16" s="706">
        <f>F16</f>
        <v>100</v>
      </c>
      <c r="T16" s="705" t="s">
        <v>14</v>
      </c>
      <c r="U16" s="706">
        <f>H16</f>
        <v>100</v>
      </c>
      <c r="V16" s="705" t="s">
        <v>14</v>
      </c>
      <c r="W16" s="706">
        <f>J16</f>
        <v>100</v>
      </c>
      <c r="X16" s="1355"/>
      <c r="Y16" s="37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5"/>
      <c r="M17" s="2709"/>
      <c r="N17" s="2709"/>
      <c r="O17" s="2767"/>
      <c r="P17" s="3783"/>
      <c r="Q17" s="1352"/>
      <c r="R17" s="705"/>
      <c r="S17" s="706"/>
      <c r="T17" s="705"/>
      <c r="U17" s="706"/>
      <c r="V17" s="705"/>
      <c r="W17" s="706"/>
      <c r="X17" s="1355"/>
      <c r="Y17" s="3783"/>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83"/>
      <c r="Q18" s="1352" t="str">
        <f>B18</f>
        <v>基础设施水平</v>
      </c>
      <c r="R18" s="705" t="s">
        <v>14</v>
      </c>
      <c r="S18" s="706">
        <f>F18</f>
        <v>100</v>
      </c>
      <c r="T18" s="705" t="s">
        <v>14</v>
      </c>
      <c r="U18" s="706">
        <f>H18</f>
        <v>100</v>
      </c>
      <c r="V18" s="705" t="s">
        <v>14</v>
      </c>
      <c r="W18" s="706">
        <f>J18</f>
        <v>100</v>
      </c>
      <c r="X18" s="1355"/>
      <c r="Y18" s="37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5"/>
      <c r="M19" s="2709"/>
      <c r="N19" s="2709"/>
      <c r="O19" s="2767"/>
      <c r="P19" s="3783"/>
      <c r="Q19" s="1352"/>
      <c r="R19" s="705"/>
      <c r="S19" s="706"/>
      <c r="T19" s="705"/>
      <c r="U19" s="706"/>
      <c r="V19" s="705"/>
      <c r="W19" s="706"/>
      <c r="X19" s="1355"/>
      <c r="Y19" s="3783"/>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83"/>
      <c r="Q20" s="1352" t="str">
        <f>B20</f>
        <v>自然及人文环境</v>
      </c>
      <c r="R20" s="705" t="s">
        <v>14</v>
      </c>
      <c r="S20" s="706">
        <f>F20</f>
        <v>100</v>
      </c>
      <c r="T20" s="705" t="s">
        <v>14</v>
      </c>
      <c r="U20" s="706">
        <f>H20</f>
        <v>100</v>
      </c>
      <c r="V20" s="705" t="s">
        <v>14</v>
      </c>
      <c r="W20" s="706">
        <f>J20</f>
        <v>100</v>
      </c>
      <c r="X20" s="1355"/>
      <c r="Y20" s="37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783"/>
      <c r="Q21" s="1352"/>
      <c r="R21" s="705"/>
      <c r="S21" s="706"/>
      <c r="T21" s="705"/>
      <c r="U21" s="706"/>
      <c r="V21" s="705"/>
      <c r="W21" s="706"/>
      <c r="X21" s="1355"/>
      <c r="Y21" s="3783"/>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83"/>
      <c r="Q22" s="1352" t="str">
        <f>B22</f>
        <v>楼层</v>
      </c>
      <c r="R22" s="705" t="s">
        <v>14</v>
      </c>
      <c r="S22" s="706">
        <f>F22</f>
        <v>100</v>
      </c>
      <c r="T22" s="705" t="s">
        <v>14</v>
      </c>
      <c r="U22" s="706">
        <f>H22</f>
        <v>100</v>
      </c>
      <c r="V22" s="705" t="s">
        <v>14</v>
      </c>
      <c r="W22" s="706">
        <f>J22</f>
        <v>100</v>
      </c>
      <c r="X22" s="1355"/>
      <c r="Y22" s="37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83"/>
      <c r="Q23" s="1352">
        <f>B23</f>
        <v>111</v>
      </c>
      <c r="R23" s="705" t="s">
        <v>14</v>
      </c>
      <c r="S23" s="706">
        <f>F23</f>
        <v>100</v>
      </c>
      <c r="T23" s="705" t="s">
        <v>14</v>
      </c>
      <c r="U23" s="706">
        <f>H23</f>
        <v>100</v>
      </c>
      <c r="V23" s="705" t="s">
        <v>14</v>
      </c>
      <c r="W23" s="706">
        <f>J23</f>
        <v>100</v>
      </c>
      <c r="X23" s="1355"/>
      <c r="Y23" s="37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83"/>
      <c r="Q24" s="1352">
        <f t="shared" ref="Q24:Q34" si="11">B24</f>
        <v>111</v>
      </c>
      <c r="R24" s="705" t="s">
        <v>14</v>
      </c>
      <c r="S24" s="706">
        <f>F24</f>
        <v>100</v>
      </c>
      <c r="T24" s="705" t="s">
        <v>14</v>
      </c>
      <c r="U24" s="706">
        <f>H24</f>
        <v>100</v>
      </c>
      <c r="V24" s="705" t="s">
        <v>14</v>
      </c>
      <c r="W24" s="706">
        <f>J24</f>
        <v>100</v>
      </c>
      <c r="X24" s="1355"/>
      <c r="Y24" s="3783"/>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83"/>
      <c r="Q25" s="1343">
        <f t="shared" si="11"/>
        <v>111</v>
      </c>
      <c r="R25" s="701" t="s">
        <v>14</v>
      </c>
      <c r="S25" s="702">
        <f>F25</f>
        <v>100</v>
      </c>
      <c r="T25" s="701" t="s">
        <v>14</v>
      </c>
      <c r="U25" s="702">
        <f>H25</f>
        <v>100</v>
      </c>
      <c r="V25" s="701" t="s">
        <v>14</v>
      </c>
      <c r="W25" s="702">
        <f>J25</f>
        <v>100</v>
      </c>
      <c r="X25" s="703"/>
      <c r="Y25" s="3783"/>
      <c r="Z25" s="52">
        <f>Q25</f>
        <v>111</v>
      </c>
      <c r="AA25" s="1353">
        <f>D25/F25</f>
        <v>1</v>
      </c>
      <c r="AB25" s="1353">
        <f>D25/H25</f>
        <v>1</v>
      </c>
      <c r="AC25" s="1353">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84"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5"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85"/>
      <c r="Q27" s="707" t="str">
        <f t="shared" si="11"/>
        <v>成新率</v>
      </c>
      <c r="R27" s="708" t="s">
        <v>14</v>
      </c>
      <c r="S27" s="709" t="e">
        <f t="shared" si="12"/>
        <v>#N/A</v>
      </c>
      <c r="T27" s="708" t="s">
        <v>14</v>
      </c>
      <c r="U27" s="709" t="e">
        <f t="shared" si="13"/>
        <v>#N/A</v>
      </c>
      <c r="V27" s="708" t="s">
        <v>14</v>
      </c>
      <c r="W27" s="709" t="e">
        <f t="shared" si="14"/>
        <v>#N/A</v>
      </c>
      <c r="X27" s="710"/>
      <c r="Y27" s="3785"/>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85"/>
      <c r="Q28" s="1352" t="str">
        <f t="shared" si="11"/>
        <v>物业等级</v>
      </c>
      <c r="R28" s="705" t="s">
        <v>14</v>
      </c>
      <c r="S28" s="706">
        <f t="shared" si="12"/>
        <v>100</v>
      </c>
      <c r="T28" s="705" t="s">
        <v>14</v>
      </c>
      <c r="U28" s="706">
        <f t="shared" si="13"/>
        <v>100</v>
      </c>
      <c r="V28" s="705" t="s">
        <v>14</v>
      </c>
      <c r="W28" s="706">
        <f t="shared" si="14"/>
        <v>100</v>
      </c>
      <c r="X28" s="1355"/>
      <c r="Y28" s="3785"/>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85"/>
      <c r="Q29" s="1352" t="str">
        <f t="shared" si="11"/>
        <v>有无电梯</v>
      </c>
      <c r="R29" s="705" t="s">
        <v>14</v>
      </c>
      <c r="S29" s="706">
        <f t="shared" si="12"/>
        <v>100</v>
      </c>
      <c r="T29" s="705" t="s">
        <v>14</v>
      </c>
      <c r="U29" s="706">
        <f t="shared" si="13"/>
        <v>100</v>
      </c>
      <c r="V29" s="705" t="s">
        <v>14</v>
      </c>
      <c r="W29" s="706">
        <f t="shared" si="14"/>
        <v>100</v>
      </c>
      <c r="X29" s="1355"/>
      <c r="Y29" s="3785"/>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85"/>
      <c r="Q30" s="1352" t="str">
        <f t="shared" si="11"/>
        <v>建筑面积</v>
      </c>
      <c r="R30" s="705" t="s">
        <v>14</v>
      </c>
      <c r="S30" s="706" t="e">
        <f t="shared" si="12"/>
        <v>#N/A</v>
      </c>
      <c r="T30" s="705" t="s">
        <v>14</v>
      </c>
      <c r="U30" s="706" t="e">
        <f t="shared" si="13"/>
        <v>#N/A</v>
      </c>
      <c r="V30" s="705" t="s">
        <v>14</v>
      </c>
      <c r="W30" s="706" t="e">
        <f t="shared" si="14"/>
        <v>#N/A</v>
      </c>
      <c r="X30" s="1355"/>
      <c r="Y30" s="3785"/>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85"/>
      <c r="Q31" s="1343" t="str">
        <f t="shared" si="11"/>
        <v>是否封闭</v>
      </c>
      <c r="R31" s="701" t="s">
        <v>14</v>
      </c>
      <c r="S31" s="702">
        <f t="shared" si="12"/>
        <v>100</v>
      </c>
      <c r="T31" s="701" t="s">
        <v>14</v>
      </c>
      <c r="U31" s="702">
        <f t="shared" si="13"/>
        <v>100</v>
      </c>
      <c r="V31" s="701" t="s">
        <v>14</v>
      </c>
      <c r="W31" s="702">
        <f t="shared" si="14"/>
        <v>100</v>
      </c>
      <c r="X31" s="703"/>
      <c r="Y31" s="37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85" t="s">
        <v>1694</v>
      </c>
      <c r="Q32" s="1352">
        <f t="shared" si="11"/>
        <v>111</v>
      </c>
      <c r="R32" s="705" t="s">
        <v>14</v>
      </c>
      <c r="S32" s="706">
        <f t="shared" si="12"/>
        <v>100</v>
      </c>
      <c r="T32" s="705" t="s">
        <v>14</v>
      </c>
      <c r="U32" s="706">
        <f t="shared" si="13"/>
        <v>100</v>
      </c>
      <c r="V32" s="705" t="s">
        <v>14</v>
      </c>
      <c r="W32" s="706">
        <f t="shared" si="14"/>
        <v>100</v>
      </c>
      <c r="X32" s="1355"/>
      <c r="Y32" s="3785"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85"/>
      <c r="Q33" s="1352">
        <f t="shared" si="11"/>
        <v>111</v>
      </c>
      <c r="R33" s="705" t="s">
        <v>14</v>
      </c>
      <c r="S33" s="706">
        <f t="shared" si="12"/>
        <v>100</v>
      </c>
      <c r="T33" s="705" t="s">
        <v>14</v>
      </c>
      <c r="U33" s="706">
        <f t="shared" si="13"/>
        <v>100</v>
      </c>
      <c r="V33" s="705" t="s">
        <v>14</v>
      </c>
      <c r="W33" s="706">
        <f t="shared" si="14"/>
        <v>100</v>
      </c>
      <c r="X33" s="1355"/>
      <c r="Y33" s="3785"/>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85"/>
      <c r="Q34" s="1352">
        <f t="shared" si="11"/>
        <v>111</v>
      </c>
      <c r="R34" s="705" t="s">
        <v>14</v>
      </c>
      <c r="S34" s="706">
        <f t="shared" si="12"/>
        <v>100</v>
      </c>
      <c r="T34" s="705" t="s">
        <v>14</v>
      </c>
      <c r="U34" s="706">
        <f t="shared" si="13"/>
        <v>100</v>
      </c>
      <c r="V34" s="705" t="s">
        <v>14</v>
      </c>
      <c r="W34" s="706">
        <f t="shared" si="14"/>
        <v>100</v>
      </c>
      <c r="X34" s="1355"/>
      <c r="Y34" s="3785"/>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7"/>
      <c r="M35" s="2718"/>
      <c r="N35" s="2709"/>
      <c r="O35" s="2718"/>
      <c r="P35" s="3767" t="str">
        <f>A35</f>
        <v>成交单价（元/平方米）</v>
      </c>
      <c r="Q35" s="3767"/>
      <c r="R35" s="3795">
        <f>E35</f>
        <v>0</v>
      </c>
      <c r="S35" s="3795"/>
      <c r="T35" s="3795">
        <f>G35</f>
        <v>0</v>
      </c>
      <c r="U35" s="3795"/>
      <c r="V35" s="3795">
        <f>I35</f>
        <v>0</v>
      </c>
      <c r="W35" s="3795"/>
      <c r="X35" s="690"/>
      <c r="Y35" s="712"/>
      <c r="Z35" s="690"/>
      <c r="AA35" s="690"/>
      <c r="AB35" s="690"/>
      <c r="AC35" s="690"/>
    </row>
    <row r="36" spans="1:30" ht="15.75" thickBot="1">
      <c r="A36" s="437" t="s">
        <v>1791</v>
      </c>
      <c r="B36" s="438"/>
      <c r="C36" s="1160" t="e">
        <f>R37</f>
        <v>#DIV/0!</v>
      </c>
      <c r="D36" s="2315" t="s">
        <v>2136</v>
      </c>
      <c r="E36" s="1161" t="e">
        <f>R36</f>
        <v>#DIV/0!</v>
      </c>
      <c r="F36" s="2316"/>
      <c r="G36" s="1160" t="e">
        <f>T36</f>
        <v>#DIV/0!</v>
      </c>
      <c r="H36" s="2316"/>
      <c r="I36" s="1161" t="e">
        <f>V36</f>
        <v>#DIV/0!</v>
      </c>
      <c r="J36" s="2316"/>
      <c r="K36" s="2318">
        <f>F36+H36+J36</f>
        <v>0</v>
      </c>
      <c r="L36" s="2717"/>
      <c r="M36" s="2718"/>
      <c r="N36" s="2709"/>
      <c r="O36" s="2718"/>
      <c r="P36" s="3767" t="str">
        <f>A36</f>
        <v>比较价值（元/平方米）</v>
      </c>
      <c r="Q36" s="3767"/>
      <c r="R36" s="3795" t="e">
        <f>IF(F1="售价",ROUND(PRODUCT(R35,AA7:AA34),0),ROUND(PRODUCT(R35,AA7:AA34),1))</f>
        <v>#DIV/0!</v>
      </c>
      <c r="S36" s="3795"/>
      <c r="T36" s="3795" t="e">
        <f>IF(F1="售价",ROUND(PRODUCT(T35,AB7:AB34),0),ROUND(PRODUCT(T35,AB7:AB34),1))</f>
        <v>#DIV/0!</v>
      </c>
      <c r="U36" s="3795"/>
      <c r="V36" s="3795" t="e">
        <f>IF(F1="售价",ROUND(PRODUCT(V35,AC7:AC34),0),ROUND(PRODUCT(V35,AC7:AC34),1))</f>
        <v>#DIV/0!</v>
      </c>
      <c r="W36" s="3795"/>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7"/>
      <c r="M37" s="2718"/>
      <c r="N37" s="2718"/>
      <c r="O37" s="2718"/>
      <c r="P37" s="3787" t="str">
        <f>A37</f>
        <v>估价对象XX用房的比较价值（楼面单价，元/平方米）</v>
      </c>
      <c r="Q37" s="3788"/>
      <c r="R37" s="3817" t="e">
        <f>IF(F1="售价",ROUND(IF(D36="简单平均",AVERAGE(R36:W36),R36*F36+T36*H36+V36*J36),0),ROUND(IF(D36="简单平均",AVERAGE(R36:V36),R36*F36+T36*H36+V36*J36),1))</f>
        <v>#DIV/0!</v>
      </c>
      <c r="S37" s="3817"/>
      <c r="T37" s="3817"/>
      <c r="U37" s="3817"/>
      <c r="V37" s="3817"/>
      <c r="W37" s="3817"/>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90" zoomScaleNormal="70" zoomScaleSheetLayoutView="90" workbookViewId="0">
      <selection activeCell="C34" sqref="C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29.44</v>
      </c>
      <c r="G1" s="1378">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201903</v>
      </c>
      <c r="C2" s="1387" t="s">
        <v>805</v>
      </c>
      <c r="D2" s="1387"/>
      <c r="E2" s="1388"/>
      <c r="F2" s="1389"/>
      <c r="G2" s="2699"/>
      <c r="H2" s="2688"/>
      <c r="I2" s="2688"/>
      <c r="J2" s="2688"/>
      <c r="K2" s="2689"/>
      <c r="L2" s="2688"/>
      <c r="M2" s="2688"/>
    </row>
    <row r="3" spans="1:37" ht="18" customHeight="1" thickBot="1">
      <c r="A3" s="1390" t="s">
        <v>806</v>
      </c>
      <c r="B3" s="1391">
        <f ca="1">IF(ISERROR(B2*10000/F43),0,ROUND(B2*10000/F43,0))</f>
        <v>21943</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15200</v>
      </c>
      <c r="D5" s="1364" t="s">
        <v>693</v>
      </c>
      <c r="E5" s="1071"/>
      <c r="F5" s="1072"/>
      <c r="G5" s="1384"/>
      <c r="H5" s="299">
        <v>1</v>
      </c>
      <c r="I5" s="300" t="s">
        <v>692</v>
      </c>
      <c r="J5" s="1070">
        <f ca="1">J6+J10+J12</f>
        <v>0</v>
      </c>
      <c r="K5" s="1364" t="s">
        <v>693</v>
      </c>
      <c r="L5" s="1071"/>
      <c r="M5" s="1072"/>
    </row>
    <row r="6" spans="1:37" ht="18" customHeight="1">
      <c r="A6" s="1069" t="s">
        <v>398</v>
      </c>
      <c r="B6" s="3726" t="s">
        <v>694</v>
      </c>
      <c r="C6" s="1074">
        <f ca="1">ROUND(F6*F8*F7*(1-F9)/10000,0)</f>
        <v>15181</v>
      </c>
      <c r="D6" s="155" t="s">
        <v>2107</v>
      </c>
      <c r="E6" s="302" t="s">
        <v>696</v>
      </c>
      <c r="F6" s="303">
        <f ca="1">INDIRECT("'数据-取费表'!u"&amp;$G$1)</f>
        <v>4.66</v>
      </c>
      <c r="G6" s="1384"/>
      <c r="H6" s="1069" t="s">
        <v>398</v>
      </c>
      <c r="I6" s="3726" t="s">
        <v>694</v>
      </c>
      <c r="J6" s="301">
        <f ca="1">ROUND(M6*M8*M7*(1-M9)/10000,0)</f>
        <v>0</v>
      </c>
      <c r="K6" s="155" t="s">
        <v>2106</v>
      </c>
      <c r="L6" s="302" t="s">
        <v>696</v>
      </c>
      <c r="M6" s="303">
        <f ca="1">INDIRECT("'数据-取费表'!z"&amp;$G$1)</f>
        <v>0</v>
      </c>
    </row>
    <row r="7" spans="1:37" ht="18" customHeight="1">
      <c r="A7" s="1073"/>
      <c r="B7" s="3727"/>
      <c r="C7" s="1075"/>
      <c r="D7" s="307"/>
      <c r="E7" s="1076" t="s">
        <v>697</v>
      </c>
      <c r="F7" s="303">
        <f ca="1">IF(INDIRECT("'数据-取费表'!ah"&amp;$G$1)="",INDIRECT("'数据-取费表'!k"&amp;$G$1),INDIRECT("'数据-取费表'!ah"&amp;$G$1))</f>
        <v>92013.62</v>
      </c>
      <c r="G7" s="1384"/>
      <c r="H7" s="304"/>
      <c r="I7" s="3727"/>
      <c r="J7" s="306"/>
      <c r="K7" s="307"/>
      <c r="L7" s="302" t="s">
        <v>697</v>
      </c>
      <c r="M7" s="303">
        <f ca="1">F7</f>
        <v>92013.62</v>
      </c>
    </row>
    <row r="8" spans="1:37" ht="18" customHeight="1">
      <c r="A8" s="304"/>
      <c r="B8" s="3727"/>
      <c r="C8" s="306"/>
      <c r="D8" s="307"/>
      <c r="E8" s="302" t="s">
        <v>698</v>
      </c>
      <c r="F8" s="303">
        <f ca="1">INDIRECT("'数据-取费表'!ai"&amp;$G$1)</f>
        <v>365</v>
      </c>
      <c r="G8" s="1384"/>
      <c r="H8" s="304"/>
      <c r="I8" s="3727"/>
      <c r="J8" s="306"/>
      <c r="K8" s="307"/>
      <c r="L8" s="302" t="s">
        <v>698</v>
      </c>
      <c r="M8" s="303">
        <f ca="1">INDIRECT("'数据-取费表'!ai"&amp;$G$1)</f>
        <v>365</v>
      </c>
    </row>
    <row r="9" spans="1:37" ht="18" customHeight="1">
      <c r="A9" s="304"/>
      <c r="B9" s="3728"/>
      <c r="C9" s="306"/>
      <c r="D9" s="307"/>
      <c r="E9" s="302" t="s">
        <v>699</v>
      </c>
      <c r="F9" s="312">
        <f ca="1">INDIRECT("'数据-取费表'!w"&amp;$G$1)</f>
        <v>0.03</v>
      </c>
      <c r="G9" s="1384"/>
      <c r="H9" s="304"/>
      <c r="I9" s="3728"/>
      <c r="J9" s="306"/>
      <c r="K9" s="307"/>
      <c r="L9" s="313" t="s">
        <v>699</v>
      </c>
      <c r="M9" s="314">
        <f ca="1">INDIRECT("'数据-取费表'!ab"&amp;$G$1)</f>
        <v>0</v>
      </c>
    </row>
    <row r="10" spans="1:37" ht="18" customHeight="1">
      <c r="A10" s="1069" t="s">
        <v>402</v>
      </c>
      <c r="B10" s="1365" t="s">
        <v>700</v>
      </c>
      <c r="C10" s="316">
        <f ca="1">ROUND(IF(F10="押一",C6/12*F11,IF(F10="押二",C6/12*2*F11,IF(F10="押三",C6/12*3*F11,C11*F11))),0)</f>
        <v>19</v>
      </c>
      <c r="D10" s="1366" t="s">
        <v>2115</v>
      </c>
      <c r="E10" s="313" t="s">
        <v>701</v>
      </c>
      <c r="F10" s="1116" t="s">
        <v>3401</v>
      </c>
      <c r="G10" s="1384"/>
      <c r="H10" s="1069" t="s">
        <v>402</v>
      </c>
      <c r="I10" s="1365" t="s">
        <v>700</v>
      </c>
      <c r="J10" s="301">
        <f ca="1">ROUND(IF(M10="押一",J6/12*M11,IF(M10="押二",J6/12*2*M11,IF(M10="押三",J6/12*3*M11,J11*M11))),0)</f>
        <v>0</v>
      </c>
      <c r="K10" s="1366" t="s">
        <v>2114</v>
      </c>
      <c r="L10" s="313" t="s">
        <v>701</v>
      </c>
      <c r="M10" s="1116" t="s">
        <v>3401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72366</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50607</v>
      </c>
      <c r="D14" s="1345" t="s">
        <v>708</v>
      </c>
      <c r="E14" s="1342"/>
      <c r="F14" s="319"/>
      <c r="G14" s="1384"/>
      <c r="H14" s="982" t="s">
        <v>398</v>
      </c>
      <c r="I14" s="302" t="s">
        <v>709</v>
      </c>
      <c r="J14" s="21">
        <f ca="1">C29</f>
        <v>80407</v>
      </c>
      <c r="K14" s="12"/>
      <c r="L14" s="807"/>
      <c r="M14" s="808"/>
    </row>
    <row r="15" spans="1:37" s="1397" customFormat="1" ht="18" customHeight="1" thickBot="1">
      <c r="A15" s="982" t="s">
        <v>399</v>
      </c>
      <c r="B15" s="302" t="s">
        <v>710</v>
      </c>
      <c r="C15" s="21">
        <f ca="1">ROUND(C14*F15,0)</f>
        <v>2530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1206</v>
      </c>
      <c r="K16" s="1087" t="s">
        <v>715</v>
      </c>
      <c r="L16" s="1088"/>
      <c r="M16" s="1072"/>
    </row>
    <row r="17" spans="1:37" s="1397" customFormat="1" ht="18" customHeight="1">
      <c r="A17" s="982" t="s">
        <v>681</v>
      </c>
      <c r="B17" s="302" t="s">
        <v>716</v>
      </c>
      <c r="C17" s="21">
        <f ca="1">ROUND(F17*(F43+INDIRECT("'数据-取费表'!S"&amp;$G$1))/10000,0)</f>
        <v>1840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759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55736</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1115</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1206.1099999999999</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2967</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-1206</v>
      </c>
      <c r="K25" s="1095" t="s">
        <v>753</v>
      </c>
      <c r="L25" s="1096"/>
      <c r="M25" s="1097"/>
    </row>
    <row r="26" spans="1:37">
      <c r="A26" s="982" t="s">
        <v>397</v>
      </c>
      <c r="B26" s="302" t="s">
        <v>754</v>
      </c>
      <c r="C26" s="21">
        <f ca="1">ROUND((C19+C20)*F26,0)</f>
        <v>14213</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80407</v>
      </c>
      <c r="D29" s="1092"/>
      <c r="E29" s="1090"/>
      <c r="F29" s="1093"/>
      <c r="G29" s="1396"/>
      <c r="H29" s="334" t="s">
        <v>396</v>
      </c>
      <c r="I29" s="335" t="s">
        <v>768</v>
      </c>
      <c r="J29" s="336">
        <f ca="1">ROUND(J26/(1+F40)^F41,0)</f>
        <v>0</v>
      </c>
      <c r="K29" s="337" t="s">
        <v>769</v>
      </c>
      <c r="L29" s="338"/>
      <c r="M29" s="339">
        <f ca="1">INDIRECT("'数据-取费表'!k"&amp;$G$1)</f>
        <v>92013.62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4163</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2544.62</v>
      </c>
      <c r="D31" s="1345" t="s">
        <v>720</v>
      </c>
      <c r="E31" s="1344" t="s">
        <v>770</v>
      </c>
      <c r="F31" s="2313" t="str">
        <f>IF(项目基本情况!B11="企业","——",IF(M47="住宅",IF(F6*F7*F8/12/(1+'数据-取费表'!F30)&gt;100000,4%,2.5%),IF(F6*F7*F8/12/(1+'数据-取费表'!F30)&gt;100000,12%,7%)))</f>
        <v>——</v>
      </c>
      <c r="G31" s="1384"/>
      <c r="H31" s="2801" t="s">
        <v>2296</v>
      </c>
      <c r="I31" s="1398"/>
      <c r="J31" s="1399"/>
      <c r="K31" s="2468"/>
      <c r="L31" s="2691"/>
      <c r="M31" s="2692"/>
    </row>
    <row r="32" spans="1:37" ht="18" customHeight="1">
      <c r="A32" s="982" t="s">
        <v>397</v>
      </c>
      <c r="B32" s="302" t="s">
        <v>723</v>
      </c>
      <c r="C32" s="21">
        <f ca="1">IF(项目基本情况!B11="自然人","——",ROUND(C6*F32/(1+'数据-取费表'!C42),2))</f>
        <v>809.65</v>
      </c>
      <c r="D32" s="1344"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1734.97</v>
      </c>
      <c r="D33" s="1370" t="s">
        <v>3327</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18</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1206.1099999999999</v>
      </c>
      <c r="D36" s="1344" t="s">
        <v>771</v>
      </c>
      <c r="E36" s="302" t="s">
        <v>712</v>
      </c>
      <c r="F36" s="328">
        <f ca="1">INDIRECT("'数据-取费表'!Ak"&amp;$G$1)</f>
        <v>1.4999999999999999E-2</v>
      </c>
      <c r="G36" s="1384"/>
      <c r="H36" s="2693"/>
      <c r="I36" s="1398"/>
      <c r="J36" s="1399"/>
      <c r="K36" s="2537"/>
      <c r="L36" s="2693"/>
      <c r="M36" s="2693"/>
    </row>
    <row r="37" spans="1:18" ht="18" customHeight="1">
      <c r="A37" s="982" t="s">
        <v>437</v>
      </c>
      <c r="B37" s="302" t="s">
        <v>742</v>
      </c>
      <c r="C37" s="21">
        <f ca="1">ROUND(C13*F37,2)</f>
        <v>108.55</v>
      </c>
      <c r="D37" s="1344" t="s">
        <v>743</v>
      </c>
      <c r="E37" s="302" t="s">
        <v>744</v>
      </c>
      <c r="F37" s="330">
        <f ca="1">INDIRECT("'数据-取费表'!Al"&amp;$G$1)</f>
        <v>1.5E-3</v>
      </c>
      <c r="G37" s="1384"/>
      <c r="H37" s="2693"/>
      <c r="I37" s="1398"/>
      <c r="J37" s="1399"/>
      <c r="K37" s="2537"/>
      <c r="L37" s="2693"/>
      <c r="M37" s="2693"/>
    </row>
    <row r="38" spans="1:18" ht="18" customHeight="1" thickBot="1">
      <c r="A38" s="1089" t="s">
        <v>684</v>
      </c>
      <c r="B38" s="1090" t="s">
        <v>728</v>
      </c>
      <c r="C38" s="1091">
        <f ca="1">ROUND(C5*F38,2)</f>
        <v>304</v>
      </c>
      <c r="D38" s="1092" t="s">
        <v>748</v>
      </c>
      <c r="E38" s="1090" t="s">
        <v>744</v>
      </c>
      <c r="F38" s="1086">
        <f ca="1">INDIRECT("'数据-取费表'!Am"&amp;$G$1)</f>
        <v>0.02</v>
      </c>
      <c r="G38" s="1384"/>
      <c r="H38" s="2693"/>
      <c r="I38" s="1398"/>
      <c r="J38" s="1399"/>
      <c r="K38" s="2697"/>
      <c r="L38" s="2693"/>
      <c r="M38" s="2693"/>
    </row>
    <row r="39" spans="1:18" ht="24.6" customHeight="1" thickTop="1">
      <c r="A39" s="1079" t="s">
        <v>394</v>
      </c>
      <c r="B39" s="1094" t="s">
        <v>772</v>
      </c>
      <c r="C39" s="310">
        <f ca="1">C5-C30</f>
        <v>11037</v>
      </c>
      <c r="D39" s="1095" t="s">
        <v>773</v>
      </c>
      <c r="E39" s="1096"/>
      <c r="F39" s="1097"/>
      <c r="G39" s="1384"/>
      <c r="H39" s="2693"/>
      <c r="I39" s="1398"/>
      <c r="J39" s="1399"/>
      <c r="K39" s="2697"/>
      <c r="L39" s="2693"/>
      <c r="M39" s="2693"/>
    </row>
    <row r="40" spans="1:18" ht="18" customHeight="1">
      <c r="A40" s="299" t="s">
        <v>395</v>
      </c>
      <c r="B40" s="300" t="s">
        <v>774</v>
      </c>
      <c r="C40" s="301">
        <f ca="1">ROUND(C39*(1-((1+F42)/(1+F40))^F41)/(F40-F42),0)</f>
        <v>197991</v>
      </c>
      <c r="D40" s="324" t="s">
        <v>758</v>
      </c>
      <c r="E40" s="302" t="s">
        <v>759</v>
      </c>
      <c r="F40" s="312">
        <f ca="1">INDIRECT("'数据-取费表'!I"&amp;$G$1)</f>
        <v>0.06</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29.44</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ROUND(C40*10000/F43,0)</f>
        <v>21518</v>
      </c>
      <c r="D43" s="337" t="s">
        <v>777</v>
      </c>
      <c r="E43" s="338" t="s">
        <v>778</v>
      </c>
      <c r="F43" s="339">
        <f ca="1">INDIRECT("'数据-取费表'!k"&amp;$G$1)</f>
        <v>92013.62</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f ca="1">C68-C40</f>
        <v>-215965</v>
      </c>
      <c r="D46" s="1406" t="str">
        <f>C2</f>
        <v>万元</v>
      </c>
      <c r="E46" s="1400"/>
      <c r="F46" s="1400"/>
      <c r="I46" s="1407" t="s">
        <v>810</v>
      </c>
      <c r="J46" s="1408"/>
      <c r="K46" s="1409"/>
      <c r="L46" s="1410">
        <f ca="1">IF(M47="住宅",0,IF(L48&gt;J51,L60,J60))</f>
        <v>3912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40</v>
      </c>
      <c r="M47" s="1380" t="str">
        <f>IF(ISNUMBER(FIND("住宅",C1)),"住宅","非住宅")</f>
        <v>非住宅</v>
      </c>
      <c r="O47" s="1418" t="s">
        <v>403</v>
      </c>
      <c r="P47" s="1419" t="s">
        <v>817</v>
      </c>
      <c r="Q47" s="1420">
        <f ca="1">C40+J29</f>
        <v>197991</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29.44</v>
      </c>
      <c r="O48" s="1418" t="s">
        <v>404</v>
      </c>
      <c r="P48" s="1419" t="s">
        <v>821</v>
      </c>
      <c r="Q48" s="1420">
        <f ca="1">J60</f>
        <v>3912</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2017</v>
      </c>
      <c r="K49" s="1423" t="s">
        <v>824</v>
      </c>
      <c r="L49" s="1427"/>
      <c r="O49" s="1428" t="s">
        <v>405</v>
      </c>
      <c r="P49" s="1419" t="s">
        <v>825</v>
      </c>
      <c r="Q49" s="1420">
        <f ca="1">C29</f>
        <v>80407</v>
      </c>
      <c r="R49" s="1420" t="s">
        <v>818</v>
      </c>
    </row>
    <row r="50" spans="1:18" s="1384" customFormat="1" ht="13.5" thickBot="1">
      <c r="A50" s="976"/>
      <c r="B50" s="979"/>
      <c r="C50" s="1118"/>
      <c r="D50" s="953"/>
      <c r="E50" s="1056" t="s">
        <v>697</v>
      </c>
      <c r="F50" s="1057">
        <f ca="1">F7</f>
        <v>92013.62</v>
      </c>
      <c r="H50" s="723"/>
      <c r="I50" s="1421" t="s">
        <v>826</v>
      </c>
      <c r="J50" s="1429">
        <f>SUMPRODUCT((I63:I65=J47)*(J62:L62=J48)*(J63:L65))</f>
        <v>60</v>
      </c>
      <c r="K50" s="1423" t="s">
        <v>827</v>
      </c>
      <c r="L50" s="1427"/>
      <c r="M50" s="1430"/>
      <c r="O50" s="1428" t="s">
        <v>406</v>
      </c>
      <c r="P50" s="1419" t="s">
        <v>828</v>
      </c>
      <c r="Q50" s="1431">
        <f ca="1">J58</f>
        <v>0.40899999999999997</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102544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29.44</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29.44</v>
      </c>
      <c r="K53" s="3729" t="s">
        <v>837</v>
      </c>
      <c r="L53" s="3730"/>
      <c r="O53" s="1418" t="s">
        <v>409</v>
      </c>
      <c r="P53" s="1419" t="s">
        <v>838</v>
      </c>
      <c r="Q53" s="1420">
        <f ca="1">Q47+Q48</f>
        <v>201903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0.40899999999999997</v>
      </c>
      <c r="K55" s="1445" t="s">
        <v>841</v>
      </c>
      <c r="L55" s="1446"/>
      <c r="O55" s="1411" t="s">
        <v>811</v>
      </c>
      <c r="P55" s="1412" t="s">
        <v>812</v>
      </c>
      <c r="Q55" s="1413" t="s">
        <v>813</v>
      </c>
      <c r="R55" s="1413" t="s">
        <v>814</v>
      </c>
    </row>
    <row r="56" spans="1:18" s="1384" customFormat="1" ht="25.5" thickTop="1" thickBot="1">
      <c r="A56" s="957">
        <v>2</v>
      </c>
      <c r="B56" s="958" t="s">
        <v>704</v>
      </c>
      <c r="C56" s="232">
        <f ca="1">C13</f>
        <v>72366</v>
      </c>
      <c r="D56" s="1447"/>
      <c r="E56" s="1448"/>
      <c r="F56" s="1440"/>
      <c r="I56" s="1449" t="s">
        <v>842</v>
      </c>
      <c r="J56" s="1450" t="s">
        <v>3404</v>
      </c>
      <c r="K56" s="1421" t="s">
        <v>843</v>
      </c>
      <c r="L56" s="1424" t="str">
        <f ca="1">IF(L48&lt;J51,"——",L48-J53)</f>
        <v>——</v>
      </c>
      <c r="O56" s="1418" t="s">
        <v>403</v>
      </c>
      <c r="P56" s="1419" t="s">
        <v>817</v>
      </c>
      <c r="Q56" s="1420">
        <f ca="1">C40+J29</f>
        <v>197991</v>
      </c>
      <c r="R56" s="1420" t="s">
        <v>818</v>
      </c>
    </row>
    <row r="57" spans="1:18" s="1384" customFormat="1" ht="24.75" thickBot="1">
      <c r="A57" s="1451"/>
      <c r="B57" s="950" t="s">
        <v>767</v>
      </c>
      <c r="C57" s="238">
        <f ca="1">C29</f>
        <v>80407</v>
      </c>
      <c r="D57" s="1452"/>
      <c r="E57" s="1453"/>
      <c r="F57" s="1454"/>
      <c r="I57" s="1455" t="s">
        <v>844</v>
      </c>
      <c r="J57" s="1456">
        <f ca="1">IF(OR(M47="住宅",J51&lt;L48,J56="是"),"——",J51-L48)</f>
        <v>24.56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1315</v>
      </c>
      <c r="D58" s="960" t="s">
        <v>715</v>
      </c>
      <c r="E58" s="961"/>
      <c r="F58" s="962"/>
      <c r="I58" s="1455" t="s">
        <v>848</v>
      </c>
      <c r="J58" s="1457">
        <f ca="1">IF(J55&lt;0.4,0.4,J55)</f>
        <v>0.40899999999999997</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32886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3912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197991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1206.1099999999999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108.55</v>
      </c>
      <c r="D65" s="964" t="s">
        <v>743</v>
      </c>
      <c r="E65" s="950" t="s">
        <v>744</v>
      </c>
      <c r="F65" s="330">
        <f t="shared" ca="1" si="0"/>
        <v>1.5E-3</v>
      </c>
      <c r="I65" s="1462" t="s">
        <v>867</v>
      </c>
      <c r="J65" s="1463">
        <v>40</v>
      </c>
      <c r="K65" s="1463">
        <v>30</v>
      </c>
      <c r="L65" s="1463">
        <v>50</v>
      </c>
      <c r="M65" s="1465">
        <v>0.02</v>
      </c>
      <c r="O65" s="1418" t="s">
        <v>403</v>
      </c>
      <c r="P65" s="1419" t="s">
        <v>868</v>
      </c>
      <c r="Q65" s="1420">
        <f ca="1">C40+J29</f>
        <v>197991</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-1315</v>
      </c>
      <c r="D67" s="963" t="s">
        <v>753</v>
      </c>
      <c r="E67" s="968"/>
      <c r="F67" s="969"/>
      <c r="O67" s="1428" t="s">
        <v>405</v>
      </c>
      <c r="P67" s="1419" t="s">
        <v>850</v>
      </c>
      <c r="Q67" s="1466">
        <f ca="1">L51</f>
        <v>102544</v>
      </c>
      <c r="R67" s="1420" t="s">
        <v>870</v>
      </c>
    </row>
    <row r="68" spans="1:18" s="1384" customFormat="1" ht="16.5" thickBot="1">
      <c r="A68" s="947" t="s">
        <v>395</v>
      </c>
      <c r="B68" s="948" t="s">
        <v>774</v>
      </c>
      <c r="C68" s="301">
        <f ca="1">ROUND(C67*(1-((1+F70)/(1+F68))^F69)/(F68-F70),0)</f>
        <v>-17974</v>
      </c>
      <c r="D68" s="965" t="s">
        <v>758</v>
      </c>
      <c r="E68" s="950" t="s">
        <v>759</v>
      </c>
      <c r="F68" s="312">
        <f ca="1">F40</f>
        <v>0.06</v>
      </c>
      <c r="O68" s="1428" t="s">
        <v>406</v>
      </c>
      <c r="P68" s="1467" t="s">
        <v>871</v>
      </c>
      <c r="Q68" s="1420">
        <f ca="1">ROUND(Q69-Q70*Q71,0)</f>
        <v>5971</v>
      </c>
      <c r="R68" s="1420" t="s">
        <v>414</v>
      </c>
    </row>
    <row r="69" spans="1:18" s="1384" customFormat="1" ht="13.5" thickBot="1">
      <c r="A69" s="951"/>
      <c r="B69" s="952"/>
      <c r="C69" s="306"/>
      <c r="D69" s="970" t="s">
        <v>762</v>
      </c>
      <c r="E69" s="950" t="s">
        <v>763</v>
      </c>
      <c r="F69" s="333">
        <f ca="1">F41</f>
        <v>29.44</v>
      </c>
      <c r="O69" s="1428" t="s">
        <v>411</v>
      </c>
      <c r="P69" s="1467" t="s">
        <v>872</v>
      </c>
      <c r="Q69" s="1420">
        <f ca="1">C39</f>
        <v>11037</v>
      </c>
      <c r="R69" s="1420" t="s">
        <v>818</v>
      </c>
    </row>
    <row r="70" spans="1:18" s="1384" customFormat="1" ht="13.5" thickBot="1">
      <c r="A70" s="954"/>
      <c r="B70" s="955"/>
      <c r="C70" s="310"/>
      <c r="D70" s="966"/>
      <c r="E70" s="950" t="s">
        <v>766</v>
      </c>
      <c r="F70" s="1054"/>
      <c r="O70" s="1428" t="s">
        <v>412</v>
      </c>
      <c r="P70" s="1467" t="s">
        <v>873</v>
      </c>
      <c r="Q70" s="1420">
        <f ca="1">C13</f>
        <v>72366</v>
      </c>
      <c r="R70" s="1420" t="s">
        <v>818</v>
      </c>
    </row>
    <row r="71" spans="1:18" s="1384" customFormat="1" ht="13.5" thickBot="1">
      <c r="A71" s="971" t="s">
        <v>396</v>
      </c>
      <c r="B71" s="972" t="s">
        <v>776</v>
      </c>
      <c r="C71" s="336">
        <f ca="1">ROUND(C68*10000/F71,0)</f>
        <v>-1953</v>
      </c>
      <c r="D71" s="973" t="s">
        <v>777</v>
      </c>
      <c r="E71" s="974" t="s">
        <v>778</v>
      </c>
      <c r="F71" s="339">
        <f ca="1">F43</f>
        <v>92013.62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5066</v>
      </c>
      <c r="D75" s="1384"/>
      <c r="E75" s="1384"/>
      <c r="F75" s="1384"/>
      <c r="K75" s="1402"/>
      <c r="L75" s="1384"/>
      <c r="O75" s="1418" t="s">
        <v>409</v>
      </c>
      <c r="P75" s="1419" t="s">
        <v>838</v>
      </c>
      <c r="Q75" s="1420">
        <f ca="1">Q65+Q66</f>
        <v>197991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0.54099999999999993</v>
      </c>
    </row>
    <row r="80" spans="1:18">
      <c r="B80" s="340" t="s">
        <v>800</v>
      </c>
      <c r="C80" s="274">
        <f ca="1">ROUND(C75/C39,3)</f>
        <v>0.45900000000000002</v>
      </c>
    </row>
    <row r="81" spans="2:3">
      <c r="B81" s="270" t="s">
        <v>801</v>
      </c>
      <c r="C81" s="238"/>
    </row>
    <row r="82" spans="2:3">
      <c r="B82" s="273" t="s">
        <v>802</v>
      </c>
      <c r="C82" s="275">
        <f ca="1">1-C83</f>
        <v>0.63400000000000001</v>
      </c>
    </row>
    <row r="83" spans="2:3">
      <c r="B83" s="273" t="s">
        <v>803</v>
      </c>
      <c r="C83" s="274">
        <f ca="1">ROUND(C13/C40,3)</f>
        <v>0.36599999999999999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1767</v>
      </c>
      <c r="B4" s="356"/>
      <c r="C4" s="3768" t="s">
        <v>1768</v>
      </c>
      <c r="D4" s="3769"/>
      <c r="E4" s="3770" t="s">
        <v>1769</v>
      </c>
      <c r="F4" s="3771"/>
      <c r="G4" s="3768" t="s">
        <v>1770</v>
      </c>
      <c r="H4" s="3769"/>
      <c r="I4" s="3768" t="s">
        <v>1771</v>
      </c>
      <c r="J4" s="3769"/>
      <c r="K4" s="559" t="s">
        <v>1772</v>
      </c>
      <c r="L4" s="2708"/>
      <c r="M4" s="2709"/>
      <c r="N4" s="2709"/>
      <c r="O4" s="2709"/>
      <c r="P4" s="3772" t="s">
        <v>1773</v>
      </c>
      <c r="Q4" s="3773"/>
      <c r="R4" s="3755" t="s">
        <v>1769</v>
      </c>
      <c r="S4" s="3756"/>
      <c r="T4" s="3755" t="s">
        <v>1770</v>
      </c>
      <c r="U4" s="3756"/>
      <c r="V4" s="3780" t="s">
        <v>1771</v>
      </c>
      <c r="W4" s="3780"/>
      <c r="X4" s="1355"/>
      <c r="Y4" s="3755" t="s">
        <v>1773</v>
      </c>
      <c r="Z4" s="3756"/>
      <c r="AA4" s="3750" t="s">
        <v>1769</v>
      </c>
      <c r="AB4" s="3751" t="s">
        <v>1770</v>
      </c>
      <c r="AC4" s="3750" t="s">
        <v>1771</v>
      </c>
    </row>
    <row r="5" spans="1:29" ht="15">
      <c r="A5" s="358"/>
      <c r="B5" s="359"/>
      <c r="C5" s="3761" t="s">
        <v>1671</v>
      </c>
      <c r="D5" s="3762"/>
      <c r="E5" s="3759" t="s">
        <v>1672</v>
      </c>
      <c r="F5" s="3760"/>
      <c r="G5" s="3761" t="s">
        <v>1673</v>
      </c>
      <c r="H5" s="3762"/>
      <c r="I5" s="3761" t="s">
        <v>1674</v>
      </c>
      <c r="J5" s="3762"/>
      <c r="K5" s="559"/>
      <c r="L5" s="2708"/>
      <c r="M5" s="2709"/>
      <c r="N5" s="2709"/>
      <c r="O5" s="2709"/>
      <c r="P5" s="3774"/>
      <c r="Q5" s="3775"/>
      <c r="R5" s="3757"/>
      <c r="S5" s="3758"/>
      <c r="T5" s="3757"/>
      <c r="U5" s="3758"/>
      <c r="V5" s="3780"/>
      <c r="W5" s="3780"/>
      <c r="X5" s="1355"/>
      <c r="Y5" s="3757"/>
      <c r="Z5" s="3758"/>
      <c r="AA5" s="3751"/>
      <c r="AB5" s="3751"/>
      <c r="AC5" s="3751"/>
    </row>
    <row r="6" spans="1:29" ht="15.75" thickBot="1">
      <c r="A6" s="360"/>
      <c r="B6" s="361"/>
      <c r="C6" s="3818" t="s">
        <v>1917</v>
      </c>
      <c r="D6" s="3819"/>
      <c r="E6" s="3820" t="s">
        <v>1917</v>
      </c>
      <c r="F6" s="3821"/>
      <c r="G6" s="3818" t="s">
        <v>1917</v>
      </c>
      <c r="H6" s="3819"/>
      <c r="I6" s="3818" t="s">
        <v>1917</v>
      </c>
      <c r="J6" s="3819"/>
      <c r="K6" s="559" t="s">
        <v>1676</v>
      </c>
      <c r="L6" s="2708"/>
      <c r="M6" s="2709"/>
      <c r="N6" s="2709"/>
      <c r="O6" s="2709"/>
      <c r="P6" s="3776"/>
      <c r="Q6" s="3777"/>
      <c r="R6" s="3757"/>
      <c r="S6" s="3758"/>
      <c r="T6" s="3778"/>
      <c r="U6" s="3779"/>
      <c r="V6" s="3780"/>
      <c r="W6" s="3780"/>
      <c r="X6" s="1355"/>
      <c r="Y6" s="3778"/>
      <c r="Z6" s="3779"/>
      <c r="AA6" s="3752"/>
      <c r="AB6" s="3752"/>
      <c r="AC6" s="3752"/>
    </row>
    <row r="7" spans="1:29" s="108" customFormat="1" ht="15.75" thickBot="1">
      <c r="A7" s="362" t="s">
        <v>1677</v>
      </c>
      <c r="B7" s="363"/>
      <c r="C7" s="364">
        <f>'数据-取费表'!B2</f>
        <v>45210</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753" t="s">
        <v>1678</v>
      </c>
      <c r="Q7" s="3781"/>
      <c r="R7" s="701" t="s">
        <v>14</v>
      </c>
      <c r="S7" s="702">
        <f t="shared" ref="S7:S15" si="0">F7</f>
        <v>0</v>
      </c>
      <c r="T7" s="701" t="s">
        <v>14</v>
      </c>
      <c r="U7" s="702">
        <f t="shared" ref="U7:U15" si="1">H7</f>
        <v>0</v>
      </c>
      <c r="V7" s="701" t="s">
        <v>14</v>
      </c>
      <c r="W7" s="702">
        <f t="shared" ref="W7:W15" si="2">J7</f>
        <v>0</v>
      </c>
      <c r="X7" s="703"/>
      <c r="Y7" s="3753" t="s">
        <v>1678</v>
      </c>
      <c r="Z7" s="375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53" t="s">
        <v>1681</v>
      </c>
      <c r="Q8" s="3754"/>
      <c r="R8" s="701" t="s">
        <v>14</v>
      </c>
      <c r="S8" s="702">
        <f t="shared" si="0"/>
        <v>0</v>
      </c>
      <c r="T8" s="701" t="s">
        <v>14</v>
      </c>
      <c r="U8" s="702">
        <f t="shared" si="1"/>
        <v>0</v>
      </c>
      <c r="V8" s="701" t="s">
        <v>14</v>
      </c>
      <c r="W8" s="702">
        <f t="shared" si="2"/>
        <v>0</v>
      </c>
      <c r="X8" s="703"/>
      <c r="Y8" s="3753" t="s">
        <v>1681</v>
      </c>
      <c r="Z8" s="3754"/>
      <c r="AA8" s="704" t="e">
        <f t="shared" ref="AA8:AA40" si="3">D8/F8</f>
        <v>#DIV/0!</v>
      </c>
      <c r="AB8" s="704" t="e">
        <f t="shared" ref="AB8:AB40" si="4">D8/H8</f>
        <v>#DIV/0!</v>
      </c>
      <c r="AC8" s="704"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67" t="s">
        <v>1684</v>
      </c>
      <c r="Q9" s="1343" t="str">
        <f t="shared" ref="Q9:Q15" si="6">B9</f>
        <v>用途</v>
      </c>
      <c r="R9" s="701" t="s">
        <v>14</v>
      </c>
      <c r="S9" s="702">
        <f t="shared" si="0"/>
        <v>100</v>
      </c>
      <c r="T9" s="701" t="s">
        <v>14</v>
      </c>
      <c r="U9" s="702">
        <f t="shared" si="1"/>
        <v>100</v>
      </c>
      <c r="V9" s="701" t="s">
        <v>14</v>
      </c>
      <c r="W9" s="702">
        <f t="shared" si="2"/>
        <v>100</v>
      </c>
      <c r="X9" s="703"/>
      <c r="Y9" s="369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111</v>
      </c>
      <c r="G10" s="383"/>
      <c r="H10" s="127">
        <f>ROUND(100/'数据-取费表'!G16,0)</f>
        <v>111</v>
      </c>
      <c r="I10" s="383"/>
      <c r="J10" s="127">
        <f>ROUND(100/'数据-取费表'!G16,0)</f>
        <v>111</v>
      </c>
      <c r="K10" s="620"/>
      <c r="L10" s="2712"/>
      <c r="M10" s="2713"/>
      <c r="N10" s="2713"/>
      <c r="O10" s="2766"/>
      <c r="P10" s="3767"/>
      <c r="Q10" s="1343" t="str">
        <f t="shared" si="6"/>
        <v>土地使用年限（年）</v>
      </c>
      <c r="R10" s="701" t="s">
        <v>14</v>
      </c>
      <c r="S10" s="702">
        <f t="shared" si="0"/>
        <v>111</v>
      </c>
      <c r="T10" s="701" t="s">
        <v>14</v>
      </c>
      <c r="U10" s="702">
        <f t="shared" si="1"/>
        <v>111</v>
      </c>
      <c r="V10" s="701" t="s">
        <v>14</v>
      </c>
      <c r="W10" s="702">
        <f t="shared" si="2"/>
        <v>111</v>
      </c>
      <c r="X10" s="703"/>
      <c r="Y10" s="3699"/>
      <c r="Z10" s="52" t="str">
        <f t="shared" si="7"/>
        <v>土地使用年限（年）</v>
      </c>
      <c r="AA10" s="704">
        <f t="shared" si="3"/>
        <v>0.90090090090090091</v>
      </c>
      <c r="AB10" s="704">
        <f t="shared" si="4"/>
        <v>0.90090090090090091</v>
      </c>
      <c r="AC10" s="704">
        <f t="shared" si="5"/>
        <v>0.90090090090090091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67"/>
      <c r="Q11" s="1343" t="str">
        <f t="shared" si="6"/>
        <v>容积率</v>
      </c>
      <c r="R11" s="701" t="s">
        <v>14</v>
      </c>
      <c r="S11" s="702" t="e">
        <f t="shared" si="0"/>
        <v>#N/A</v>
      </c>
      <c r="T11" s="701" t="s">
        <v>14</v>
      </c>
      <c r="U11" s="702" t="e">
        <f t="shared" si="1"/>
        <v>#N/A</v>
      </c>
      <c r="V11" s="701" t="s">
        <v>14</v>
      </c>
      <c r="W11" s="702" t="e">
        <f t="shared" si="2"/>
        <v>#N/A</v>
      </c>
      <c r="X11" s="703"/>
      <c r="Y11" s="369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67"/>
      <c r="Q12" s="1343">
        <f t="shared" si="6"/>
        <v>111</v>
      </c>
      <c r="R12" s="701" t="s">
        <v>14</v>
      </c>
      <c r="S12" s="702">
        <f t="shared" si="0"/>
        <v>100</v>
      </c>
      <c r="T12" s="701" t="s">
        <v>14</v>
      </c>
      <c r="U12" s="702">
        <f t="shared" si="1"/>
        <v>100</v>
      </c>
      <c r="V12" s="701" t="s">
        <v>14</v>
      </c>
      <c r="W12" s="702">
        <f t="shared" si="2"/>
        <v>100</v>
      </c>
      <c r="X12" s="703"/>
      <c r="Y12" s="369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67"/>
      <c r="Q13" s="1343">
        <f t="shared" si="6"/>
        <v>111</v>
      </c>
      <c r="R13" s="701" t="s">
        <v>14</v>
      </c>
      <c r="S13" s="702">
        <f t="shared" si="0"/>
        <v>100</v>
      </c>
      <c r="T13" s="701" t="s">
        <v>14</v>
      </c>
      <c r="U13" s="702">
        <f t="shared" si="1"/>
        <v>100</v>
      </c>
      <c r="V13" s="701" t="s">
        <v>14</v>
      </c>
      <c r="W13" s="702">
        <f t="shared" si="2"/>
        <v>100</v>
      </c>
      <c r="X13" s="703"/>
      <c r="Y13" s="369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67"/>
      <c r="Q14" s="1343">
        <f t="shared" si="6"/>
        <v>111</v>
      </c>
      <c r="R14" s="701" t="s">
        <v>14</v>
      </c>
      <c r="S14" s="702">
        <f t="shared" si="0"/>
        <v>100</v>
      </c>
      <c r="T14" s="701" t="s">
        <v>14</v>
      </c>
      <c r="U14" s="702">
        <f t="shared" si="1"/>
        <v>100</v>
      </c>
      <c r="V14" s="701" t="s">
        <v>14</v>
      </c>
      <c r="W14" s="702">
        <f t="shared" si="2"/>
        <v>100</v>
      </c>
      <c r="X14" s="703"/>
      <c r="Y14" s="3699"/>
      <c r="Z14" s="52">
        <f t="shared" si="7"/>
        <v>111</v>
      </c>
      <c r="AA14" s="704">
        <f t="shared" si="3"/>
        <v>1</v>
      </c>
      <c r="AB14" s="704">
        <f t="shared" si="4"/>
        <v>1</v>
      </c>
      <c r="AC14" s="704">
        <f t="shared" si="5"/>
        <v>1</v>
      </c>
    </row>
    <row r="15" spans="1:29" ht="15">
      <c r="A15" s="391" t="s">
        <v>1688</v>
      </c>
      <c r="B15" s="577" t="s">
        <v>1918</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82" t="s">
        <v>1689</v>
      </c>
      <c r="Q15" s="1352" t="str">
        <f t="shared" si="6"/>
        <v>产业集聚程度</v>
      </c>
      <c r="R15" s="705" t="s">
        <v>14</v>
      </c>
      <c r="S15" s="706">
        <f t="shared" si="0"/>
        <v>100</v>
      </c>
      <c r="T15" s="705" t="s">
        <v>14</v>
      </c>
      <c r="U15" s="706">
        <f t="shared" si="1"/>
        <v>100</v>
      </c>
      <c r="V15" s="705" t="s">
        <v>14</v>
      </c>
      <c r="W15" s="706">
        <f t="shared" si="2"/>
        <v>100</v>
      </c>
      <c r="X15" s="1355"/>
      <c r="Y15" s="3782"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5"/>
      <c r="M16" s="2709"/>
      <c r="N16" s="2709"/>
      <c r="O16" s="2767"/>
      <c r="P16" s="3783"/>
      <c r="Q16" s="1352"/>
      <c r="R16" s="705"/>
      <c r="S16" s="706"/>
      <c r="T16" s="705"/>
      <c r="U16" s="706"/>
      <c r="V16" s="705"/>
      <c r="W16" s="706"/>
      <c r="X16" s="1355"/>
      <c r="Y16" s="3783"/>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83"/>
      <c r="Q17" s="1352" t="str">
        <f>B17</f>
        <v>交通便捷度</v>
      </c>
      <c r="R17" s="705" t="s">
        <v>14</v>
      </c>
      <c r="S17" s="706">
        <f>F17</f>
        <v>100</v>
      </c>
      <c r="T17" s="705" t="s">
        <v>14</v>
      </c>
      <c r="U17" s="706">
        <f>H17</f>
        <v>100</v>
      </c>
      <c r="V17" s="705" t="s">
        <v>14</v>
      </c>
      <c r="W17" s="706">
        <f>J17</f>
        <v>100</v>
      </c>
      <c r="X17" s="1355"/>
      <c r="Y17" s="37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5"/>
      <c r="M18" s="2709"/>
      <c r="N18" s="2709"/>
      <c r="O18" s="2767"/>
      <c r="P18" s="3783"/>
      <c r="Q18" s="1352"/>
      <c r="R18" s="705"/>
      <c r="S18" s="706"/>
      <c r="T18" s="705"/>
      <c r="U18" s="706"/>
      <c r="V18" s="705"/>
      <c r="W18" s="706"/>
      <c r="X18" s="1355"/>
      <c r="Y18" s="3783"/>
      <c r="Z18" s="1356"/>
      <c r="AA18" s="1353">
        <v>1</v>
      </c>
      <c r="AB18" s="1353">
        <v>1</v>
      </c>
      <c r="AC18" s="1353">
        <v>1</v>
      </c>
    </row>
    <row r="19" spans="1:29" ht="15">
      <c r="A19" s="379"/>
      <c r="B19" s="579" t="s">
        <v>1869</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83"/>
      <c r="Q19" s="1352" t="str">
        <f t="shared" ref="Q19:Q33" si="8">B19</f>
        <v>区域土地利用方向</v>
      </c>
      <c r="R19" s="705" t="s">
        <v>14</v>
      </c>
      <c r="S19" s="706">
        <f>F19</f>
        <v>100</v>
      </c>
      <c r="T19" s="705" t="s">
        <v>14</v>
      </c>
      <c r="U19" s="706">
        <f>H19</f>
        <v>100</v>
      </c>
      <c r="V19" s="705" t="s">
        <v>14</v>
      </c>
      <c r="W19" s="706">
        <f>J19</f>
        <v>100</v>
      </c>
      <c r="X19" s="1355"/>
      <c r="Y19" s="37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5"/>
      <c r="M20" s="2709"/>
      <c r="N20" s="2709"/>
      <c r="O20" s="2767"/>
      <c r="P20" s="3783"/>
      <c r="Q20" s="1352"/>
      <c r="R20" s="705"/>
      <c r="S20" s="706"/>
      <c r="T20" s="705"/>
      <c r="U20" s="706"/>
      <c r="V20" s="705"/>
      <c r="W20" s="706"/>
      <c r="X20" s="1355"/>
      <c r="Y20" s="3783"/>
      <c r="Z20" s="1356"/>
      <c r="AA20" s="1353"/>
      <c r="AB20" s="1353"/>
      <c r="AC20" s="1353"/>
    </row>
    <row r="21" spans="1:29" ht="1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83"/>
      <c r="Q21" s="1352" t="str">
        <f t="shared" si="8"/>
        <v>环境状况</v>
      </c>
      <c r="R21" s="705" t="s">
        <v>14</v>
      </c>
      <c r="S21" s="706">
        <f>F21</f>
        <v>100</v>
      </c>
      <c r="T21" s="705" t="s">
        <v>14</v>
      </c>
      <c r="U21" s="706">
        <f>H21</f>
        <v>100</v>
      </c>
      <c r="V21" s="705" t="s">
        <v>14</v>
      </c>
      <c r="W21" s="706">
        <f>J21</f>
        <v>100</v>
      </c>
      <c r="X21" s="1355"/>
      <c r="Y21" s="37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5"/>
      <c r="M22" s="2709"/>
      <c r="N22" s="2709"/>
      <c r="O22" s="2767"/>
      <c r="P22" s="3783"/>
      <c r="Q22" s="1352"/>
      <c r="R22" s="705"/>
      <c r="S22" s="706"/>
      <c r="T22" s="705"/>
      <c r="U22" s="706"/>
      <c r="V22" s="705"/>
      <c r="W22" s="706"/>
      <c r="X22" s="1355"/>
      <c r="Y22" s="3783"/>
      <c r="Z22" s="1356"/>
      <c r="AA22" s="1353">
        <v>1</v>
      </c>
      <c r="AB22" s="1353">
        <v>1</v>
      </c>
      <c r="AC22" s="1353">
        <v>1</v>
      </c>
    </row>
    <row r="23" spans="1:29" s="108" customFormat="1" ht="15">
      <c r="A23" s="597"/>
      <c r="B23" s="581" t="s">
        <v>1776</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83"/>
      <c r="Q23" s="1343" t="str">
        <f t="shared" si="8"/>
        <v>公共配套设施</v>
      </c>
      <c r="R23" s="701" t="s">
        <v>14</v>
      </c>
      <c r="S23" s="702">
        <f>F23</f>
        <v>100</v>
      </c>
      <c r="T23" s="701" t="s">
        <v>14</v>
      </c>
      <c r="U23" s="702">
        <f>H23</f>
        <v>100</v>
      </c>
      <c r="V23" s="701" t="s">
        <v>14</v>
      </c>
      <c r="W23" s="702">
        <f>J23</f>
        <v>100</v>
      </c>
      <c r="X23" s="703"/>
      <c r="Y23" s="3783"/>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0"/>
      <c r="M24" s="2711"/>
      <c r="N24" s="2711"/>
      <c r="O24" s="2765"/>
      <c r="P24" s="3783"/>
      <c r="Q24" s="1343"/>
      <c r="R24" s="701"/>
      <c r="S24" s="702"/>
      <c r="T24" s="701"/>
      <c r="U24" s="702"/>
      <c r="V24" s="701"/>
      <c r="W24" s="702"/>
      <c r="X24" s="703"/>
      <c r="Y24" s="3783"/>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83"/>
      <c r="Q25" s="1343" t="str">
        <f t="shared" ref="Q25" si="9">B25</f>
        <v>基础设施水平</v>
      </c>
      <c r="R25" s="701" t="s">
        <v>14</v>
      </c>
      <c r="S25" s="702">
        <f>F25</f>
        <v>100</v>
      </c>
      <c r="T25" s="701" t="s">
        <v>14</v>
      </c>
      <c r="U25" s="702">
        <f>H25</f>
        <v>100</v>
      </c>
      <c r="V25" s="701" t="s">
        <v>14</v>
      </c>
      <c r="W25" s="702">
        <f>J25</f>
        <v>100</v>
      </c>
      <c r="X25" s="703"/>
      <c r="Y25" s="3783"/>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0"/>
      <c r="M26" s="2711"/>
      <c r="N26" s="2711"/>
      <c r="O26" s="2765"/>
      <c r="P26" s="3783"/>
      <c r="Q26" s="1343"/>
      <c r="R26" s="701"/>
      <c r="S26" s="702"/>
      <c r="T26" s="701"/>
      <c r="U26" s="702"/>
      <c r="V26" s="701"/>
      <c r="W26" s="702"/>
      <c r="X26" s="703"/>
      <c r="Y26" s="3783"/>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3"/>
      <c r="Z27" s="1356" t="str">
        <f t="shared" ref="Z27:Z40" si="13">Q27</f>
        <v>临街状况</v>
      </c>
      <c r="AA27" s="1353">
        <f t="shared" si="3"/>
        <v>1</v>
      </c>
      <c r="AB27" s="1353">
        <f t="shared" si="4"/>
        <v>1</v>
      </c>
      <c r="AC27" s="1353">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83"/>
      <c r="Q28" s="1352" t="str">
        <f t="shared" si="8"/>
        <v>毗邻道路的类型与等级</v>
      </c>
      <c r="R28" s="705" t="s">
        <v>14</v>
      </c>
      <c r="S28" s="706">
        <f t="shared" si="10"/>
        <v>100</v>
      </c>
      <c r="T28" s="705" t="s">
        <v>14</v>
      </c>
      <c r="U28" s="706">
        <f t="shared" si="11"/>
        <v>100</v>
      </c>
      <c r="V28" s="705" t="s">
        <v>14</v>
      </c>
      <c r="W28" s="706">
        <f t="shared" si="12"/>
        <v>100</v>
      </c>
      <c r="X28" s="1355"/>
      <c r="Y28" s="37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5"/>
      <c r="M29" s="2709"/>
      <c r="N29" s="2709"/>
      <c r="O29" s="2767"/>
      <c r="P29" s="3783"/>
      <c r="Q29" s="1352"/>
      <c r="R29" s="705"/>
      <c r="S29" s="706"/>
      <c r="T29" s="705"/>
      <c r="U29" s="706"/>
      <c r="V29" s="705"/>
      <c r="W29" s="706"/>
      <c r="X29" s="1355"/>
      <c r="Y29" s="3783"/>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83"/>
      <c r="Q30" s="1352" t="str">
        <f t="shared" si="8"/>
        <v>土地级别</v>
      </c>
      <c r="R30" s="705" t="s">
        <v>14</v>
      </c>
      <c r="S30" s="706">
        <f t="shared" si="10"/>
        <v>100</v>
      </c>
      <c r="T30" s="705" t="s">
        <v>14</v>
      </c>
      <c r="U30" s="706">
        <f t="shared" si="11"/>
        <v>100</v>
      </c>
      <c r="V30" s="705" t="s">
        <v>14</v>
      </c>
      <c r="W30" s="706">
        <f t="shared" si="12"/>
        <v>100</v>
      </c>
      <c r="X30" s="1355"/>
      <c r="Y30" s="3783"/>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83"/>
      <c r="Q31" s="1352">
        <f t="shared" si="8"/>
        <v>111</v>
      </c>
      <c r="R31" s="705" t="s">
        <v>14</v>
      </c>
      <c r="S31" s="706">
        <f t="shared" si="10"/>
        <v>100</v>
      </c>
      <c r="T31" s="705" t="s">
        <v>14</v>
      </c>
      <c r="U31" s="706">
        <f t="shared" si="11"/>
        <v>100</v>
      </c>
      <c r="V31" s="705" t="s">
        <v>14</v>
      </c>
      <c r="W31" s="706">
        <f t="shared" si="12"/>
        <v>100</v>
      </c>
      <c r="X31" s="1355"/>
      <c r="Y31" s="3783"/>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84" t="s">
        <v>1694</v>
      </c>
      <c r="Q32" s="1352">
        <f t="shared" si="8"/>
        <v>111</v>
      </c>
      <c r="R32" s="705" t="s">
        <v>14</v>
      </c>
      <c r="S32" s="706">
        <f t="shared" si="10"/>
        <v>100</v>
      </c>
      <c r="T32" s="705" t="s">
        <v>14</v>
      </c>
      <c r="U32" s="706">
        <f t="shared" si="11"/>
        <v>100</v>
      </c>
      <c r="V32" s="705" t="s">
        <v>14</v>
      </c>
      <c r="W32" s="706">
        <f t="shared" si="12"/>
        <v>100</v>
      </c>
      <c r="X32" s="1355"/>
      <c r="Y32" s="3785" t="s">
        <v>1694</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85"/>
      <c r="Q33" s="1352">
        <f t="shared" si="8"/>
        <v>111</v>
      </c>
      <c r="R33" s="708" t="s">
        <v>14</v>
      </c>
      <c r="S33" s="709">
        <f t="shared" si="10"/>
        <v>100</v>
      </c>
      <c r="T33" s="708" t="s">
        <v>14</v>
      </c>
      <c r="U33" s="709">
        <f t="shared" si="11"/>
        <v>100</v>
      </c>
      <c r="V33" s="708" t="s">
        <v>14</v>
      </c>
      <c r="W33" s="709">
        <f t="shared" si="12"/>
        <v>100</v>
      </c>
      <c r="X33" s="710"/>
      <c r="Y33" s="3785"/>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85"/>
      <c r="Q34" s="1352" t="str">
        <f>B34</f>
        <v>宗地面积</v>
      </c>
      <c r="R34" s="705" t="s">
        <v>14</v>
      </c>
      <c r="S34" s="706" t="e">
        <f t="shared" si="10"/>
        <v>#N/A</v>
      </c>
      <c r="T34" s="705" t="s">
        <v>14</v>
      </c>
      <c r="U34" s="706" t="e">
        <f t="shared" si="11"/>
        <v>#N/A</v>
      </c>
      <c r="V34" s="705" t="s">
        <v>14</v>
      </c>
      <c r="W34" s="706" t="e">
        <f t="shared" si="12"/>
        <v>#N/A</v>
      </c>
      <c r="X34" s="1355"/>
      <c r="Y34" s="3785"/>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5"/>
      <c r="M35" s="2709"/>
      <c r="N35" s="2709"/>
      <c r="O35" s="2767"/>
      <c r="P35" s="3785"/>
      <c r="Q35" s="1352" t="str">
        <f t="shared" ref="Q35:Q40" si="14">B35</f>
        <v>宗地形状</v>
      </c>
      <c r="R35" s="705" t="s">
        <v>14</v>
      </c>
      <c r="S35" s="706">
        <f t="shared" si="10"/>
        <v>100</v>
      </c>
      <c r="T35" s="705" t="s">
        <v>14</v>
      </c>
      <c r="U35" s="706">
        <f t="shared" si="11"/>
        <v>100</v>
      </c>
      <c r="V35" s="705" t="s">
        <v>14</v>
      </c>
      <c r="W35" s="706">
        <f t="shared" si="12"/>
        <v>100</v>
      </c>
      <c r="X35" s="1355"/>
      <c r="Y35" s="3785"/>
      <c r="Z35" s="1356" t="str">
        <f t="shared" si="13"/>
        <v>宗地形状</v>
      </c>
      <c r="AA35" s="1353">
        <f t="shared" si="3"/>
        <v>1</v>
      </c>
      <c r="AB35" s="1353">
        <f t="shared" si="4"/>
        <v>1</v>
      </c>
      <c r="AC35" s="1353">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85"/>
      <c r="Q36" s="1352" t="str">
        <f t="shared" si="14"/>
        <v>宗地开发程度</v>
      </c>
      <c r="R36" s="701" t="s">
        <v>14</v>
      </c>
      <c r="S36" s="702">
        <f t="shared" si="10"/>
        <v>100</v>
      </c>
      <c r="T36" s="701" t="s">
        <v>14</v>
      </c>
      <c r="U36" s="702">
        <f t="shared" si="11"/>
        <v>100</v>
      </c>
      <c r="V36" s="701" t="s">
        <v>14</v>
      </c>
      <c r="W36" s="702">
        <f t="shared" si="12"/>
        <v>100</v>
      </c>
      <c r="X36" s="703"/>
      <c r="Y36" s="3785"/>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5"/>
      <c r="M37" s="2709"/>
      <c r="N37" s="2709"/>
      <c r="O37" s="2767"/>
      <c r="P37" s="3785" t="s">
        <v>1694</v>
      </c>
      <c r="Q37" s="1352" t="str">
        <f t="shared" si="14"/>
        <v>工程地质条件</v>
      </c>
      <c r="R37" s="705" t="s">
        <v>14</v>
      </c>
      <c r="S37" s="706">
        <f t="shared" si="10"/>
        <v>100</v>
      </c>
      <c r="T37" s="705" t="s">
        <v>14</v>
      </c>
      <c r="U37" s="706">
        <f t="shared" si="11"/>
        <v>100</v>
      </c>
      <c r="V37" s="705" t="s">
        <v>14</v>
      </c>
      <c r="W37" s="706">
        <f t="shared" si="12"/>
        <v>100</v>
      </c>
      <c r="X37" s="1355"/>
      <c r="Y37" s="3785"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85"/>
      <c r="Q38" s="1352">
        <f t="shared" si="14"/>
        <v>111</v>
      </c>
      <c r="R38" s="705" t="s">
        <v>14</v>
      </c>
      <c r="S38" s="706">
        <f t="shared" si="10"/>
        <v>100</v>
      </c>
      <c r="T38" s="705" t="s">
        <v>14</v>
      </c>
      <c r="U38" s="706">
        <f t="shared" si="11"/>
        <v>100</v>
      </c>
      <c r="V38" s="705" t="s">
        <v>14</v>
      </c>
      <c r="W38" s="706">
        <f t="shared" si="12"/>
        <v>100</v>
      </c>
      <c r="X38" s="1355"/>
      <c r="Y38" s="37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85"/>
      <c r="Q39" s="1352">
        <f t="shared" si="14"/>
        <v>111</v>
      </c>
      <c r="R39" s="705" t="s">
        <v>14</v>
      </c>
      <c r="S39" s="706">
        <f t="shared" si="10"/>
        <v>100</v>
      </c>
      <c r="T39" s="705" t="s">
        <v>14</v>
      </c>
      <c r="U39" s="706">
        <f t="shared" si="11"/>
        <v>100</v>
      </c>
      <c r="V39" s="705" t="s">
        <v>14</v>
      </c>
      <c r="W39" s="706">
        <f t="shared" si="12"/>
        <v>100</v>
      </c>
      <c r="X39" s="1355"/>
      <c r="Y39" s="3785"/>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85"/>
      <c r="Q40" s="1352">
        <f t="shared" si="14"/>
        <v>111</v>
      </c>
      <c r="R40" s="708" t="s">
        <v>14</v>
      </c>
      <c r="S40" s="709">
        <f t="shared" si="10"/>
        <v>100</v>
      </c>
      <c r="T40" s="708" t="s">
        <v>14</v>
      </c>
      <c r="U40" s="709">
        <f t="shared" si="11"/>
        <v>100</v>
      </c>
      <c r="V40" s="708" t="s">
        <v>14</v>
      </c>
      <c r="W40" s="709">
        <f t="shared" si="12"/>
        <v>100</v>
      </c>
      <c r="X40" s="710"/>
      <c r="Y40" s="3785"/>
      <c r="Z40" s="711">
        <f t="shared" si="13"/>
        <v>111</v>
      </c>
      <c r="AA40" s="1353">
        <f t="shared" si="3"/>
        <v>1</v>
      </c>
      <c r="AB40" s="1353">
        <f t="shared" si="4"/>
        <v>1</v>
      </c>
      <c r="AC40" s="1353">
        <f t="shared" si="5"/>
        <v>1</v>
      </c>
    </row>
    <row r="41" spans="1:31" ht="15">
      <c r="A41" s="430" t="s">
        <v>1842</v>
      </c>
      <c r="B41" s="1980" t="s">
        <v>1920</v>
      </c>
      <c r="C41" s="630" t="s">
        <v>0</v>
      </c>
      <c r="D41" s="432"/>
      <c r="E41" s="433"/>
      <c r="F41" s="434"/>
      <c r="G41" s="435"/>
      <c r="H41" s="436"/>
      <c r="I41" s="433"/>
      <c r="J41" s="436"/>
      <c r="K41" s="714"/>
      <c r="L41" s="2717"/>
      <c r="M41" s="2709"/>
      <c r="N41" s="2709"/>
      <c r="O41" s="2718"/>
      <c r="P41" s="3767" t="str">
        <f>A41</f>
        <v>成交单价</v>
      </c>
      <c r="Q41" s="3767"/>
      <c r="R41" s="3780">
        <f>E41</f>
        <v>0</v>
      </c>
      <c r="S41" s="3780"/>
      <c r="T41" s="3780">
        <f>G41</f>
        <v>0</v>
      </c>
      <c r="U41" s="3780"/>
      <c r="V41" s="3780">
        <f>I41</f>
        <v>0</v>
      </c>
      <c r="W41" s="3780"/>
      <c r="X41" s="690"/>
      <c r="Y41" s="712"/>
      <c r="Z41" s="690"/>
      <c r="AA41" s="690"/>
      <c r="AB41" s="690"/>
      <c r="AC41" s="690"/>
    </row>
    <row r="42" spans="1:31" ht="15.75" thickBot="1">
      <c r="A42" s="437" t="s">
        <v>1791</v>
      </c>
      <c r="B42" s="631"/>
      <c r="C42" s="440" t="e">
        <f>R43</f>
        <v>#DIV/0!</v>
      </c>
      <c r="D42" s="2315" t="s">
        <v>2136</v>
      </c>
      <c r="E42" s="440" t="e">
        <f>R42</f>
        <v>#DIV/0!</v>
      </c>
      <c r="F42" s="2316"/>
      <c r="G42" s="439" t="e">
        <f>T42</f>
        <v>#DIV/0!</v>
      </c>
      <c r="H42" s="2316"/>
      <c r="I42" s="440" t="e">
        <f>V42</f>
        <v>#DIV/0!</v>
      </c>
      <c r="J42" s="2316"/>
      <c r="K42" s="2318">
        <f>F42+H42+J42</f>
        <v>0</v>
      </c>
      <c r="L42" s="2717"/>
      <c r="M42" s="2709"/>
      <c r="N42" s="2709"/>
      <c r="O42" s="2718"/>
      <c r="P42" s="3767" t="str">
        <f>A42</f>
        <v>比较价值（元/平方米）</v>
      </c>
      <c r="Q42" s="3767"/>
      <c r="R42" s="3786" t="e">
        <f>ROUND(PRODUCT(R41,AA7:AA40),0)</f>
        <v>#DIV/0!</v>
      </c>
      <c r="S42" s="3786"/>
      <c r="T42" s="3786" t="e">
        <f>ROUND(PRODUCT(T41,AB7:AB40),0)</f>
        <v>#DIV/0!</v>
      </c>
      <c r="U42" s="3786"/>
      <c r="V42" s="3786" t="e">
        <f>ROUND(PRODUCT(V41,AC7:AC40),0)</f>
        <v>#DIV/0!</v>
      </c>
      <c r="W42" s="3786"/>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87" t="str">
        <f>A43</f>
        <v>估价对象XX用房的比较价值（楼面单价，元/平方米）</v>
      </c>
      <c r="Q43" s="3788"/>
      <c r="R43" s="3789" t="e">
        <f>ROUND(IF(D42="简单平均",AVERAGE(R42:W42),R42*F42+T42*H42+V42*J42),0)</f>
        <v>#DIV/0!</v>
      </c>
      <c r="S43" s="3789"/>
      <c r="T43" s="3789"/>
      <c r="U43" s="3789"/>
      <c r="V43" s="3789"/>
      <c r="W43" s="3789"/>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1" t="s">
        <v>1881</v>
      </c>
      <c r="D50" s="1982" t="s">
        <v>1882</v>
      </c>
      <c r="E50" s="634" t="s">
        <v>1883</v>
      </c>
      <c r="F50" s="635" t="s">
        <v>1884</v>
      </c>
      <c r="G50" s="3768" t="s">
        <v>1885</v>
      </c>
      <c r="H50" s="3790"/>
      <c r="I50" s="1356" t="s">
        <v>1921</v>
      </c>
      <c r="J50" s="1356">
        <f>项目基本情况!F35</f>
        <v>0</v>
      </c>
      <c r="K50" s="1984"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4">
        <v>1</v>
      </c>
      <c r="E51" s="638">
        <f>'数据-汇总表'!E8+'数据-汇总表'!E9</f>
        <v>67424.87</v>
      </c>
      <c r="F51" s="639" t="e">
        <f t="shared" ref="F51:F60" si="15">ROUND(B51*E51/10000,0)</f>
        <v>#DIV/0!</v>
      </c>
      <c r="G51" s="3791"/>
      <c r="H51" s="3767"/>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0.6</v>
      </c>
      <c r="D52" s="945">
        <v>0.25</v>
      </c>
      <c r="E52" s="642"/>
      <c r="F52" s="639" t="e">
        <f t="shared" si="15"/>
        <v>#DIV/0!</v>
      </c>
      <c r="G52" s="2998" t="s">
        <v>1890</v>
      </c>
      <c r="H52" s="887" t="str">
        <f>项目基本情况!B37</f>
        <v>三级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0.3</v>
      </c>
      <c r="D53" s="945">
        <v>0.25</v>
      </c>
      <c r="E53" s="642"/>
      <c r="F53" s="639" t="e">
        <f t="shared" si="15"/>
        <v>#DIV/0!</v>
      </c>
      <c r="G53" s="2999"/>
      <c r="H53" s="887" t="str">
        <f>项目基本情况!B37</f>
        <v>三级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0.25</v>
      </c>
      <c r="D54" s="945">
        <v>0.25</v>
      </c>
      <c r="E54" s="642"/>
      <c r="F54" s="639" t="e">
        <f t="shared" si="15"/>
        <v>#DIV/0!</v>
      </c>
      <c r="G54" s="2999"/>
      <c r="H54" s="887" t="str">
        <f>项目基本情况!B37</f>
        <v>三级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0"/>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5">
        <v>0.25</v>
      </c>
      <c r="E56" s="217">
        <f>'数据-汇总表'!E11</f>
        <v>0</v>
      </c>
      <c r="F56" s="639" t="e">
        <f t="shared" si="15"/>
        <v>#DIV/0!</v>
      </c>
      <c r="G56" s="1985" t="s">
        <v>1894</v>
      </c>
      <c r="H56" s="887" t="str">
        <f>项目基本情况!C37</f>
        <v>三级</v>
      </c>
      <c r="I56" s="773">
        <f>SUMIF(修正!A57:A68,H56,修正!E57:E68)</f>
        <v>0.25</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5">
        <v>0.25</v>
      </c>
      <c r="E57" s="217">
        <f>'数据-汇总表'!E12</f>
        <v>0</v>
      </c>
      <c r="F57" s="639" t="e">
        <f t="shared" si="15"/>
        <v>#DIV/0!</v>
      </c>
      <c r="G57" s="892" t="s">
        <v>1896</v>
      </c>
      <c r="H57" s="887" t="str">
        <f>IF(G57="商业",项目基本情况!B37,IF(G57="办公",项目基本情况!C37,IF(G57="住宅",项目基本情况!D37,项目基本情况!E37)))</f>
        <v>三级</v>
      </c>
      <c r="I57" s="773">
        <f>SUMIF(修正!A57:A68,H57,修正!F57:F68)</f>
        <v>0.25</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0.15</v>
      </c>
      <c r="D58" s="945">
        <v>0.25</v>
      </c>
      <c r="E58" s="217">
        <f>'数据-汇总表'!E13</f>
        <v>11876.310000000001</v>
      </c>
      <c r="F58" s="639" t="e">
        <f t="shared" si="15"/>
        <v>#DIV/0!</v>
      </c>
      <c r="G58" s="892" t="s">
        <v>1898</v>
      </c>
      <c r="H58" s="887" t="str">
        <f>IF(G58="商业",项目基本情况!B37,IF(G58="办公",项目基本情况!C37,IF(G58="住宅",项目基本情况!D37,项目基本情况!E37)))</f>
        <v>三级</v>
      </c>
      <c r="I58" s="773">
        <f>SUMIF(修正!A57:A68,H58,修正!G57:G68)</f>
        <v>0.15</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0.15</v>
      </c>
      <c r="D59" s="945">
        <v>0.25</v>
      </c>
      <c r="E59" s="217">
        <f>'数据-汇总表'!E14</f>
        <v>0</v>
      </c>
      <c r="F59" s="639" t="e">
        <f t="shared" si="15"/>
        <v>#DIV/0!</v>
      </c>
      <c r="G59" s="1985" t="s">
        <v>1890</v>
      </c>
      <c r="H59" s="887" t="str">
        <f>项目基本情况!B37</f>
        <v>三级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5">
        <v>0.25</v>
      </c>
      <c r="E60" s="217">
        <f>'数据-汇总表'!E15</f>
        <v>0</v>
      </c>
      <c r="F60" s="639" t="e">
        <f t="shared" si="15"/>
        <v>#DIV/0!</v>
      </c>
      <c r="G60" s="1986" t="s">
        <v>1894</v>
      </c>
      <c r="H60" s="897" t="str">
        <f>项目基本情况!C37</f>
        <v>三级</v>
      </c>
      <c r="I60" s="773">
        <f>SUMIF(修正!A57:A68,H60,修正!G57:G68)</f>
        <v>0.15</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7" t="s">
        <v>1902</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25" t="s">
        <v>2082</v>
      </c>
      <c r="D1" s="3826"/>
      <c r="E1" s="3826"/>
      <c r="F1" s="3826"/>
      <c r="G1" s="3826"/>
      <c r="H1" s="3826"/>
      <c r="I1" s="3826"/>
      <c r="J1" s="3826"/>
      <c r="K1" s="3826"/>
      <c r="L1" s="3826"/>
      <c r="M1" s="3826"/>
      <c r="N1" s="3826"/>
      <c r="O1" s="3826"/>
      <c r="P1" s="3826"/>
      <c r="Q1" s="3826"/>
      <c r="R1" s="3826"/>
      <c r="S1" s="3827"/>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49"/>
      <c r="E20" s="1341"/>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22" t="s">
        <v>27</v>
      </c>
      <c r="D22" s="3823"/>
      <c r="E22" s="3823"/>
      <c r="F22" s="3823"/>
      <c r="G22" s="3823"/>
      <c r="H22" s="3823"/>
      <c r="I22" s="3823"/>
      <c r="J22" s="3823"/>
      <c r="K22" s="3823"/>
      <c r="L22" s="3823"/>
      <c r="M22" s="3823"/>
      <c r="N22" s="3823"/>
      <c r="O22" s="3823"/>
      <c r="P22" s="3823"/>
      <c r="Q22" s="3824"/>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5"/>
      <c r="C1" s="2145"/>
      <c r="D1" s="2145"/>
      <c r="E1" s="2145"/>
      <c r="F1" s="2786"/>
      <c r="G1" s="2786"/>
      <c r="H1" s="2786"/>
      <c r="I1" s="2786"/>
      <c r="J1" s="2786"/>
      <c r="K1" s="2786"/>
      <c r="L1" s="2786"/>
      <c r="M1" s="2786"/>
      <c r="N1" s="2786"/>
      <c r="O1" s="2786"/>
      <c r="P1" s="2786"/>
    </row>
    <row r="2" spans="1:16" ht="15.75">
      <c r="A2" s="2143" t="s">
        <v>2071</v>
      </c>
      <c r="B2" s="2595">
        <f ca="1">SUMIF(B6:B13,"&lt;&gt;#ref!",B6:B13)</f>
        <v>149191</v>
      </c>
      <c r="C2" s="2143" t="s">
        <v>2072</v>
      </c>
      <c r="D2" s="2143" t="s">
        <v>2073</v>
      </c>
      <c r="E2" s="2605">
        <f ca="1">SUMIF(E6:E13,"&lt;&gt;#ref!",E6:E13)</f>
        <v>103889.92999999998</v>
      </c>
      <c r="F2" s="2786"/>
      <c r="G2" s="2786"/>
      <c r="H2" s="2786"/>
      <c r="I2" s="2786"/>
      <c r="J2" s="2786"/>
      <c r="K2" s="2786"/>
      <c r="L2" s="2786"/>
      <c r="M2" s="2786"/>
      <c r="N2" s="2786"/>
      <c r="O2" s="2786"/>
      <c r="P2" s="2786"/>
    </row>
    <row r="3" spans="1:16" ht="15.75">
      <c r="A3" s="2143" t="s">
        <v>2074</v>
      </c>
      <c r="B3" s="2595">
        <f ca="1">ROUND(B2*10000/E2,0)</f>
        <v>14360</v>
      </c>
      <c r="C3" s="2143"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4"/>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149191</v>
      </c>
      <c r="C6" s="2143" t="s">
        <v>2072</v>
      </c>
      <c r="D6" s="2786"/>
      <c r="E6" s="2605">
        <f ca="1">SUMIF(INDIRECT("'"&amp;A6&amp;"'"&amp;"!C:C"),"建筑面积",INDIRECT("'"&amp;A6&amp;"'"&amp;"!D:D"))</f>
        <v>103889.92999999998</v>
      </c>
      <c r="F6" s="2786"/>
      <c r="G6" s="2786"/>
      <c r="H6" s="2786"/>
      <c r="I6" s="2786"/>
      <c r="J6" s="2786"/>
      <c r="K6" s="2786"/>
      <c r="L6" s="2786"/>
      <c r="M6" s="2786"/>
      <c r="N6" s="2786"/>
      <c r="O6" s="2786"/>
      <c r="P6" s="2786"/>
    </row>
    <row r="7" spans="1:16" ht="15.75">
      <c r="A7" s="2602"/>
      <c r="B7" s="2595" t="e">
        <f ca="1">SUMIF(INDIRECT("'"&amp;A7&amp;"'"&amp;"!A:A"),"总价",INDIRECT("'"&amp;A7&amp;"'"&amp;"!B:B"))</f>
        <v>#REF!</v>
      </c>
      <c r="C7" s="2143"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5"/>
      <c r="C2" s="3545"/>
      <c r="D2" s="3545"/>
      <c r="E2" s="3545"/>
    </row>
    <row r="3" spans="1:5" ht="18">
      <c r="A3" s="3546" t="str">
        <f>IF(项目基本情况!B9="房地产市场价值","估价结果一览表（市场价值不需“结果表-1”）","估价结果一览表")</f>
        <v>估价结果一览表（市场价值不需“结果表-1”）</v>
      </c>
      <c r="B3" s="3546"/>
      <c r="C3" s="3546"/>
      <c r="D3" s="3546"/>
      <c r="E3" s="3546"/>
    </row>
    <row r="4" spans="1:5" ht="19.5" thickBot="1">
      <c r="A4" s="1493"/>
      <c r="B4" s="3544" t="s">
        <v>917</v>
      </c>
      <c r="C4" s="3544"/>
      <c r="D4" s="3544"/>
      <c r="E4" s="1493"/>
    </row>
    <row r="5" spans="1:5" ht="16.5" thickTop="1">
      <c r="A5" s="1491"/>
      <c r="B5" s="3542" t="s">
        <v>909</v>
      </c>
      <c r="C5" s="1494" t="s">
        <v>910</v>
      </c>
      <c r="D5" s="850">
        <f ca="1">结果表!H101</f>
        <v>269287</v>
      </c>
      <c r="E5" s="1491"/>
    </row>
    <row r="6" spans="1:5" ht="15.75">
      <c r="A6" s="1491"/>
      <c r="B6" s="3542"/>
      <c r="C6" s="1494" t="s">
        <v>911</v>
      </c>
      <c r="D6" s="850" t="str">
        <f ca="1">NUMBERSTRING(INT(D5*10000),2)&amp;"元整"</f>
        <v>贰拾陆亿玖仟贰佰捌拾柒万元整</v>
      </c>
      <c r="E6" s="1491"/>
    </row>
    <row r="7" spans="1:5" ht="15.75">
      <c r="A7" s="1491"/>
      <c r="B7" s="3547"/>
      <c r="C7" s="1495" t="s">
        <v>912</v>
      </c>
      <c r="D7" s="851">
        <f ca="1">结果表!H102</f>
        <v>25920</v>
      </c>
      <c r="E7" s="1491"/>
    </row>
    <row r="8" spans="1:5" ht="15.75">
      <c r="A8" s="1491"/>
      <c r="B8" s="3548" t="str">
        <f>结果表!E103</f>
        <v>2.估价师知悉的法定优先受偿款</v>
      </c>
      <c r="C8" s="1496" t="s">
        <v>913</v>
      </c>
      <c r="D8" s="851">
        <f>结果表!H103</f>
        <v>0</v>
      </c>
      <c r="E8" s="1491"/>
    </row>
    <row r="9" spans="1:5" ht="15.75">
      <c r="A9" s="1491"/>
      <c r="B9" s="355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1" t="str">
        <f>结果表!E107</f>
        <v>3.房地产抵押价值</v>
      </c>
      <c r="C13" s="1499" t="s">
        <v>910</v>
      </c>
      <c r="D13" s="853">
        <f ca="1">结果表!H107</f>
        <v>269287</v>
      </c>
      <c r="E13" s="1491"/>
    </row>
    <row r="14" spans="1:5" ht="15.75">
      <c r="A14" s="1491"/>
      <c r="B14" s="3542"/>
      <c r="C14" s="1494" t="s">
        <v>911</v>
      </c>
      <c r="D14" s="850" t="str">
        <f ca="1">NUMBERSTRING(INT(D13*10000),2)&amp;"元整"</f>
        <v>贰拾陆亿玖仟贰佰捌拾柒万元整</v>
      </c>
      <c r="E14" s="1491"/>
    </row>
    <row r="15" spans="1:5" ht="15">
      <c r="A15" s="1491"/>
      <c r="B15" s="3547"/>
      <c r="C15" s="1495" t="s">
        <v>921</v>
      </c>
      <c r="D15" s="859">
        <f ca="1">结果表!H108</f>
        <v>25920</v>
      </c>
      <c r="E15" s="1491"/>
    </row>
    <row r="16" spans="1:5" ht="15">
      <c r="A16" s="1491"/>
      <c r="B16" s="3548" t="str">
        <f>结果表!E109</f>
        <v>——</v>
      </c>
      <c r="C16" s="1499" t="s">
        <v>922</v>
      </c>
      <c r="D16" s="1500" t="str">
        <f>结果表!H109</f>
        <v>——</v>
      </c>
      <c r="E16" s="1491"/>
    </row>
    <row r="17" spans="1:5" ht="15.75">
      <c r="A17" s="1491"/>
      <c r="B17" s="3549"/>
      <c r="C17" s="1494" t="s">
        <v>923</v>
      </c>
      <c r="D17" s="850" t="e">
        <f>NUMBERSTRING(INT(D16*10000),2)&amp;"元整"</f>
        <v>#VALUE!</v>
      </c>
      <c r="E17" s="1491"/>
    </row>
    <row r="18" spans="1:5" ht="15">
      <c r="A18" s="1491"/>
      <c r="B18" s="3550"/>
      <c r="C18" s="1495" t="s">
        <v>912</v>
      </c>
      <c r="D18" s="859" t="str">
        <f>结果表!H110</f>
        <v>——</v>
      </c>
      <c r="E18" s="1491"/>
    </row>
    <row r="19" spans="1:5" ht="15.75">
      <c r="A19" s="1491"/>
      <c r="B19" s="3541" t="str">
        <f>结果表!E111</f>
        <v>——</v>
      </c>
      <c r="C19" s="1499" t="s">
        <v>910</v>
      </c>
      <c r="D19" s="851" t="str">
        <f>结果表!H111</f>
        <v>——</v>
      </c>
      <c r="E19" s="1491"/>
    </row>
    <row r="20" spans="1:5" ht="15.75">
      <c r="A20" s="1491"/>
      <c r="B20" s="3542"/>
      <c r="C20" s="1494" t="s">
        <v>923</v>
      </c>
      <c r="D20" s="850" t="e">
        <f>NUMBERSTRING(INT(D19*10000),2)&amp;"元整"</f>
        <v>#VALUE!</v>
      </c>
      <c r="E20" s="1491"/>
    </row>
    <row r="21" spans="1:5" ht="15.75" thickBot="1">
      <c r="A21" s="1491"/>
      <c r="B21" s="354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2584</v>
      </c>
      <c r="B1" s="3064" t="s">
        <v>2585</v>
      </c>
      <c r="C1" s="3064" t="s">
        <v>2586</v>
      </c>
      <c r="D1" s="3064" t="s">
        <v>2587</v>
      </c>
      <c r="E1" s="3064" t="s">
        <v>2588</v>
      </c>
      <c r="F1" s="3064" t="s">
        <v>2589</v>
      </c>
      <c r="G1" s="3064" t="s">
        <v>2590</v>
      </c>
      <c r="H1" s="3064" t="s">
        <v>2591</v>
      </c>
      <c r="I1" s="3064" t="s">
        <v>2592</v>
      </c>
      <c r="J1" s="3064" t="s">
        <v>2593</v>
      </c>
      <c r="K1" s="3064" t="s">
        <v>2594</v>
      </c>
      <c r="L1" s="3064" t="s">
        <v>2595</v>
      </c>
      <c r="M1" s="3065" t="s">
        <v>2596</v>
      </c>
    </row>
    <row r="2" spans="1:13" ht="19.5" customHeight="1">
      <c r="A2" s="3067" t="s">
        <v>2597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2598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2599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2608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2609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2613</v>
      </c>
      <c r="B18" s="3089"/>
      <c r="C18" s="3090"/>
      <c r="D18" s="3090"/>
      <c r="E18" s="3089"/>
      <c r="F18" s="3090"/>
      <c r="G18" s="3090"/>
    </row>
    <row r="19" spans="1:13" ht="19.5" customHeight="1" thickBot="1">
      <c r="A19" s="3087" t="s">
        <v>2614</v>
      </c>
      <c r="B19" s="3092" t="s">
        <v>2615</v>
      </c>
      <c r="C19" s="3092" t="s">
        <v>2616</v>
      </c>
      <c r="D19" s="3093"/>
      <c r="E19" s="3087" t="s">
        <v>2617</v>
      </c>
      <c r="F19" s="3094"/>
      <c r="G19" s="3094"/>
    </row>
    <row r="20" spans="1:13" ht="19.5" customHeight="1">
      <c r="A20" s="3835" t="s">
        <v>2597</v>
      </c>
      <c r="B20" s="3828" t="s">
        <v>2618</v>
      </c>
      <c r="C20" s="3095" t="s">
        <v>2429</v>
      </c>
      <c r="D20" s="3096"/>
      <c r="E20" s="3097">
        <v>1</v>
      </c>
      <c r="F20" s="3098" t="s">
        <v>2430</v>
      </c>
      <c r="G20" s="3098"/>
    </row>
    <row r="21" spans="1:13" ht="19.5" customHeight="1">
      <c r="A21" s="3836"/>
      <c r="B21" s="3829"/>
      <c r="C21" s="3099" t="s">
        <v>2431</v>
      </c>
      <c r="D21" s="3100"/>
      <c r="E21" s="3101">
        <v>1</v>
      </c>
      <c r="F21" s="3098" t="s">
        <v>2432</v>
      </c>
      <c r="G21" s="3098"/>
    </row>
    <row r="22" spans="1:13" ht="19.5" customHeight="1">
      <c r="A22" s="3836"/>
      <c r="B22" s="3829"/>
      <c r="C22" s="3099" t="s">
        <v>2433</v>
      </c>
      <c r="D22" s="3100"/>
      <c r="E22" s="3101">
        <v>0.9</v>
      </c>
      <c r="F22" s="3098" t="s">
        <v>2434</v>
      </c>
      <c r="G22" s="3098"/>
    </row>
    <row r="23" spans="1:13" ht="19.5" customHeight="1">
      <c r="A23" s="3836"/>
      <c r="B23" s="3829"/>
      <c r="C23" s="3099" t="s">
        <v>2435</v>
      </c>
      <c r="D23" s="3100"/>
      <c r="E23" s="3101">
        <v>0.9</v>
      </c>
      <c r="F23" s="3098" t="s">
        <v>2436</v>
      </c>
      <c r="G23" s="3098"/>
    </row>
    <row r="24" spans="1:13" ht="19.5" customHeight="1">
      <c r="A24" s="3836"/>
      <c r="B24" s="3829"/>
      <c r="C24" s="3099" t="s">
        <v>2437</v>
      </c>
      <c r="D24" s="3100"/>
      <c r="E24" s="3101">
        <v>0.8</v>
      </c>
      <c r="F24" s="3098" t="s">
        <v>2438</v>
      </c>
      <c r="G24" s="3098"/>
    </row>
    <row r="25" spans="1:13" ht="19.5" customHeight="1" thickBot="1">
      <c r="A25" s="3837"/>
      <c r="B25" s="3830"/>
      <c r="C25" s="3102" t="s">
        <v>2439</v>
      </c>
      <c r="D25" s="3103"/>
      <c r="E25" s="3104">
        <v>0.8</v>
      </c>
      <c r="F25" s="3098" t="s">
        <v>2440</v>
      </c>
      <c r="G25" s="3098"/>
    </row>
    <row r="26" spans="1:13" ht="19.5" customHeight="1" thickBot="1">
      <c r="A26" s="3105" t="s">
        <v>2619</v>
      </c>
      <c r="B26" s="3106" t="s">
        <v>2618</v>
      </c>
      <c r="C26" s="3107" t="s">
        <v>2620</v>
      </c>
      <c r="D26" s="3108"/>
      <c r="E26" s="3109">
        <v>1</v>
      </c>
      <c r="F26" s="3098" t="s">
        <v>2441</v>
      </c>
      <c r="G26" s="3098"/>
    </row>
    <row r="27" spans="1:13" ht="19.5" customHeight="1">
      <c r="A27" s="3831" t="s">
        <v>2621</v>
      </c>
      <c r="B27" s="3828" t="s">
        <v>2602</v>
      </c>
      <c r="C27" s="3095" t="s">
        <v>2442</v>
      </c>
      <c r="D27" s="3096"/>
      <c r="E27" s="3097">
        <v>1</v>
      </c>
      <c r="F27" s="3098" t="s">
        <v>2443</v>
      </c>
      <c r="G27" s="3098"/>
    </row>
    <row r="28" spans="1:13" ht="19.5" customHeight="1">
      <c r="A28" s="3832"/>
      <c r="B28" s="3829"/>
      <c r="C28" s="3099" t="s">
        <v>2444</v>
      </c>
      <c r="D28" s="3100"/>
      <c r="E28" s="3101">
        <v>1</v>
      </c>
      <c r="F28" s="3098" t="s">
        <v>2445</v>
      </c>
      <c r="G28" s="3098"/>
    </row>
    <row r="29" spans="1:13" ht="19.5" customHeight="1">
      <c r="A29" s="3832"/>
      <c r="B29" s="3829"/>
      <c r="C29" s="3099" t="s">
        <v>2446</v>
      </c>
      <c r="D29" s="3100"/>
      <c r="E29" s="3101">
        <v>0.8</v>
      </c>
      <c r="F29" s="3098" t="s">
        <v>2447</v>
      </c>
      <c r="G29" s="3098"/>
    </row>
    <row r="30" spans="1:13" ht="19.5" customHeight="1">
      <c r="A30" s="3832"/>
      <c r="B30" s="3829"/>
      <c r="C30" s="3099" t="s">
        <v>2448</v>
      </c>
      <c r="D30" s="3100"/>
      <c r="E30" s="3101">
        <v>0.8</v>
      </c>
      <c r="F30" s="3098" t="s">
        <v>2449</v>
      </c>
      <c r="G30" s="3098"/>
    </row>
    <row r="31" spans="1:13" ht="19.5" customHeight="1">
      <c r="A31" s="3832"/>
      <c r="B31" s="3829"/>
      <c r="C31" s="3099" t="s">
        <v>2450</v>
      </c>
      <c r="D31" s="3100"/>
      <c r="E31" s="3101">
        <v>0.8</v>
      </c>
      <c r="F31" s="3098" t="s">
        <v>2451</v>
      </c>
      <c r="G31" s="3098"/>
    </row>
    <row r="32" spans="1:13" ht="19.5" customHeight="1">
      <c r="A32" s="3832"/>
      <c r="B32" s="3829"/>
      <c r="C32" s="3099" t="s">
        <v>2452</v>
      </c>
      <c r="D32" s="3100"/>
      <c r="E32" s="3101">
        <v>0.7</v>
      </c>
      <c r="F32" s="3098" t="s">
        <v>2453</v>
      </c>
      <c r="G32" s="3098"/>
    </row>
    <row r="33" spans="1:7" ht="19.5" customHeight="1">
      <c r="A33" s="3832"/>
      <c r="B33" s="3829"/>
      <c r="C33" s="3099" t="s">
        <v>2454</v>
      </c>
      <c r="D33" s="3100"/>
      <c r="E33" s="3101">
        <v>0.8</v>
      </c>
      <c r="F33" s="3098" t="s">
        <v>2455</v>
      </c>
      <c r="G33" s="3098"/>
    </row>
    <row r="34" spans="1:7" ht="19.5" customHeight="1">
      <c r="A34" s="3832"/>
      <c r="B34" s="3829"/>
      <c r="C34" s="3099" t="s">
        <v>2456</v>
      </c>
      <c r="D34" s="3100"/>
      <c r="E34" s="3101">
        <v>0.6</v>
      </c>
      <c r="F34" s="3098" t="s">
        <v>2457</v>
      </c>
      <c r="G34" s="3098"/>
    </row>
    <row r="35" spans="1:7" ht="19.5" customHeight="1">
      <c r="A35" s="3832"/>
      <c r="B35" s="3829"/>
      <c r="C35" s="3099" t="s">
        <v>2458</v>
      </c>
      <c r="D35" s="3100"/>
      <c r="E35" s="3101">
        <v>0.2</v>
      </c>
      <c r="F35" s="3098" t="s">
        <v>2459</v>
      </c>
      <c r="G35" s="3098"/>
    </row>
    <row r="36" spans="1:7" ht="19.5" customHeight="1">
      <c r="A36" s="3832"/>
      <c r="B36" s="3829"/>
      <c r="C36" s="3099" t="s">
        <v>2460</v>
      </c>
      <c r="D36" s="3100"/>
      <c r="E36" s="3101">
        <v>0.2</v>
      </c>
      <c r="F36" s="3098" t="s">
        <v>2461</v>
      </c>
      <c r="G36" s="3098"/>
    </row>
    <row r="37" spans="1:7" ht="19.5" customHeight="1">
      <c r="A37" s="3832"/>
      <c r="B37" s="3834" t="s">
        <v>2622</v>
      </c>
      <c r="C37" s="3099" t="s">
        <v>2462</v>
      </c>
      <c r="D37" s="3100"/>
      <c r="E37" s="3101">
        <v>0.6</v>
      </c>
      <c r="F37" s="3098" t="s">
        <v>2463</v>
      </c>
      <c r="G37" s="3098"/>
    </row>
    <row r="38" spans="1:7" ht="19.5" customHeight="1">
      <c r="A38" s="3832"/>
      <c r="B38" s="3829"/>
      <c r="C38" s="3099" t="s">
        <v>2464</v>
      </c>
      <c r="D38" s="3100"/>
      <c r="E38" s="3101">
        <v>0.6</v>
      </c>
      <c r="F38" s="3098" t="s">
        <v>2465</v>
      </c>
      <c r="G38" s="3098"/>
    </row>
    <row r="39" spans="1:7" ht="19.5" customHeight="1" thickBot="1">
      <c r="A39" s="3833"/>
      <c r="B39" s="3830"/>
      <c r="C39" s="3102" t="s">
        <v>2466</v>
      </c>
      <c r="D39" s="3103"/>
      <c r="E39" s="3104">
        <v>0.6</v>
      </c>
      <c r="F39" s="3098" t="s">
        <v>2467</v>
      </c>
      <c r="G39" s="3098"/>
    </row>
    <row r="40" spans="1:7" ht="19.5" customHeight="1" thickBot="1">
      <c r="A40" s="3105" t="s">
        <v>2599</v>
      </c>
      <c r="B40" s="3106" t="s">
        <v>2599</v>
      </c>
      <c r="C40" s="3107" t="s">
        <v>2623</v>
      </c>
      <c r="D40" s="3108"/>
      <c r="E40" s="3109">
        <v>1</v>
      </c>
      <c r="F40" s="3098" t="s">
        <v>2468</v>
      </c>
      <c r="G40" s="3098"/>
    </row>
    <row r="41" spans="1:7" ht="19.5" customHeight="1">
      <c r="A41" s="3835" t="s">
        <v>2600</v>
      </c>
      <c r="B41" s="3828" t="s">
        <v>2624</v>
      </c>
      <c r="C41" s="3095" t="s">
        <v>2469</v>
      </c>
      <c r="D41" s="3096"/>
      <c r="E41" s="3097">
        <v>1</v>
      </c>
      <c r="F41" s="3098" t="s">
        <v>2470</v>
      </c>
      <c r="G41" s="3098"/>
    </row>
    <row r="42" spans="1:7" ht="19.5" customHeight="1">
      <c r="A42" s="3836"/>
      <c r="B42" s="3829"/>
      <c r="C42" s="3099" t="s">
        <v>2471</v>
      </c>
      <c r="D42" s="3100"/>
      <c r="E42" s="3101">
        <v>1</v>
      </c>
      <c r="F42" s="3098" t="s">
        <v>2472</v>
      </c>
      <c r="G42" s="3098"/>
    </row>
    <row r="43" spans="1:7" ht="19.5" customHeight="1">
      <c r="A43" s="3836"/>
      <c r="B43" s="3838"/>
      <c r="C43" s="3099" t="s">
        <v>2473</v>
      </c>
      <c r="D43" s="3100"/>
      <c r="E43" s="3101">
        <v>1.5</v>
      </c>
      <c r="F43" s="3098" t="s">
        <v>2474</v>
      </c>
      <c r="G43" s="3098"/>
    </row>
    <row r="44" spans="1:7" ht="19.5" customHeight="1">
      <c r="A44" s="3836"/>
      <c r="B44" s="3110" t="s">
        <v>2625</v>
      </c>
      <c r="C44" s="3099" t="s">
        <v>2626</v>
      </c>
      <c r="D44" s="3100"/>
      <c r="E44" s="3101">
        <v>2</v>
      </c>
      <c r="F44" s="3098" t="s">
        <v>2475</v>
      </c>
      <c r="G44" s="3098"/>
    </row>
    <row r="45" spans="1:7" ht="19.5" customHeight="1">
      <c r="A45" s="3836"/>
      <c r="B45" s="3834" t="s">
        <v>2627</v>
      </c>
      <c r="C45" s="3099" t="s">
        <v>2476</v>
      </c>
      <c r="D45" s="3100"/>
      <c r="E45" s="3101">
        <v>1</v>
      </c>
      <c r="F45" s="3098" t="s">
        <v>2477</v>
      </c>
      <c r="G45" s="3098"/>
    </row>
    <row r="46" spans="1:7" ht="19.5" customHeight="1">
      <c r="A46" s="3836"/>
      <c r="B46" s="3829"/>
      <c r="C46" s="3099" t="s">
        <v>2478</v>
      </c>
      <c r="D46" s="3100"/>
      <c r="E46" s="3101">
        <v>1</v>
      </c>
      <c r="F46" s="3098" t="s">
        <v>2479</v>
      </c>
      <c r="G46" s="3098"/>
    </row>
    <row r="47" spans="1:7" ht="19.5" customHeight="1">
      <c r="A47" s="3836"/>
      <c r="B47" s="3829"/>
      <c r="C47" s="3099" t="s">
        <v>2480</v>
      </c>
      <c r="D47" s="3100"/>
      <c r="E47" s="3101">
        <v>1</v>
      </c>
      <c r="F47" s="3098" t="s">
        <v>2481</v>
      </c>
      <c r="G47" s="3098"/>
    </row>
    <row r="48" spans="1:7" ht="19.5" customHeight="1">
      <c r="A48" s="3836"/>
      <c r="B48" s="3829"/>
      <c r="C48" s="3099" t="s">
        <v>2482</v>
      </c>
      <c r="D48" s="3100"/>
      <c r="E48" s="3101">
        <v>1</v>
      </c>
      <c r="F48" s="3098" t="s">
        <v>2483</v>
      </c>
      <c r="G48" s="3098"/>
    </row>
    <row r="49" spans="1:7" ht="19.5" customHeight="1">
      <c r="A49" s="3836"/>
      <c r="B49" s="3829"/>
      <c r="C49" s="3099" t="s">
        <v>2484</v>
      </c>
      <c r="D49" s="3100"/>
      <c r="E49" s="3101">
        <v>1</v>
      </c>
      <c r="F49" s="3098" t="s">
        <v>2485</v>
      </c>
      <c r="G49" s="3098"/>
    </row>
    <row r="50" spans="1:7" ht="19.5" customHeight="1">
      <c r="A50" s="3836"/>
      <c r="B50" s="3829"/>
      <c r="C50" s="3099" t="s">
        <v>2486</v>
      </c>
      <c r="D50" s="3100"/>
      <c r="E50" s="3101">
        <v>1</v>
      </c>
      <c r="F50" s="3098" t="s">
        <v>2487</v>
      </c>
      <c r="G50" s="3098"/>
    </row>
    <row r="51" spans="1:7" ht="19.5" customHeight="1" thickBot="1">
      <c r="A51" s="3837"/>
      <c r="B51" s="3830"/>
      <c r="C51" s="3102" t="s">
        <v>2488</v>
      </c>
      <c r="D51" s="3103"/>
      <c r="E51" s="3104">
        <v>1</v>
      </c>
      <c r="F51" s="3098" t="s">
        <v>2489</v>
      </c>
      <c r="G51" s="3098"/>
    </row>
    <row r="52" spans="1:7" ht="19.5" customHeight="1">
      <c r="A52" s="3111"/>
      <c r="B52" s="3111"/>
      <c r="C52" s="3111"/>
      <c r="D52" s="3111"/>
      <c r="E52" s="3111"/>
      <c r="F52" s="3111"/>
      <c r="G52" s="3111"/>
    </row>
    <row r="54" spans="1:7" ht="19.5" customHeight="1">
      <c r="A54" s="3112"/>
      <c r="B54" s="3084" t="s">
        <v>2628</v>
      </c>
      <c r="C54" s="3084" t="s">
        <v>2628</v>
      </c>
      <c r="D54" s="3084" t="s">
        <v>2628</v>
      </c>
      <c r="E54" s="3087" t="s">
        <v>2628</v>
      </c>
      <c r="F54" s="3087" t="s">
        <v>2629</v>
      </c>
      <c r="G54" s="3087" t="s">
        <v>2630</v>
      </c>
    </row>
    <row r="55" spans="1:7" ht="19.5" customHeight="1">
      <c r="A55" s="3113"/>
      <c r="B55" s="3087" t="s">
        <v>2597</v>
      </c>
      <c r="C55" s="3087" t="s">
        <v>2597</v>
      </c>
      <c r="D55" s="3087" t="s">
        <v>2597</v>
      </c>
      <c r="E55" s="3084" t="s">
        <v>2598</v>
      </c>
      <c r="F55" s="3084" t="s">
        <v>2600</v>
      </c>
      <c r="G55" s="3084" t="s">
        <v>2631</v>
      </c>
    </row>
    <row r="56" spans="1:7" ht="19.5" customHeight="1">
      <c r="A56" s="3114"/>
      <c r="B56" s="3084">
        <v>1</v>
      </c>
      <c r="C56" s="3084">
        <v>2</v>
      </c>
      <c r="D56" s="3084">
        <v>3</v>
      </c>
      <c r="E56" s="3115" t="s">
        <v>2632</v>
      </c>
      <c r="F56" s="3115" t="s">
        <v>2632</v>
      </c>
      <c r="G56" s="3115" t="s">
        <v>2632</v>
      </c>
    </row>
    <row r="57" spans="1:7" ht="19.5" customHeight="1">
      <c r="A57" s="3116" t="s">
        <v>2585</v>
      </c>
      <c r="B57" s="3084">
        <v>0.7</v>
      </c>
      <c r="C57" s="3084">
        <v>0.4</v>
      </c>
      <c r="D57" s="3084">
        <v>0.3</v>
      </c>
      <c r="E57" s="3115">
        <v>0.3</v>
      </c>
      <c r="F57" s="3084">
        <v>0.3</v>
      </c>
      <c r="G57" s="3084">
        <v>0.2</v>
      </c>
    </row>
    <row r="58" spans="1:7" ht="19.5" customHeight="1">
      <c r="A58" s="3116" t="s">
        <v>2586</v>
      </c>
      <c r="B58" s="3084">
        <v>0.7</v>
      </c>
      <c r="C58" s="3084">
        <v>0.4</v>
      </c>
      <c r="D58" s="3084">
        <v>0.3</v>
      </c>
      <c r="E58" s="3084">
        <v>0.3</v>
      </c>
      <c r="F58" s="3084">
        <v>0.3</v>
      </c>
      <c r="G58" s="3084">
        <v>0.2</v>
      </c>
    </row>
    <row r="59" spans="1:7" ht="19.5" customHeight="1">
      <c r="A59" s="3116" t="s">
        <v>2587</v>
      </c>
      <c r="B59" s="3084">
        <v>0.6</v>
      </c>
      <c r="C59" s="3084">
        <v>0.3</v>
      </c>
      <c r="D59" s="3084">
        <v>0.25</v>
      </c>
      <c r="E59" s="3084">
        <v>0.25</v>
      </c>
      <c r="F59" s="3084">
        <v>0.25</v>
      </c>
      <c r="G59" s="3084">
        <v>0.15</v>
      </c>
    </row>
    <row r="60" spans="1:7" ht="19.5" customHeight="1">
      <c r="A60" s="3116" t="s">
        <v>2588</v>
      </c>
      <c r="B60" s="3084">
        <v>0.6</v>
      </c>
      <c r="C60" s="3084">
        <v>0.3</v>
      </c>
      <c r="D60" s="3084">
        <v>0.25</v>
      </c>
      <c r="E60" s="3084">
        <v>0.25</v>
      </c>
      <c r="F60" s="3084">
        <v>0.25</v>
      </c>
      <c r="G60" s="3084">
        <v>0.15</v>
      </c>
    </row>
    <row r="61" spans="1:7" ht="19.5" customHeight="1">
      <c r="A61" s="3116" t="s">
        <v>2589</v>
      </c>
      <c r="B61" s="3084">
        <v>0.6</v>
      </c>
      <c r="C61" s="3084">
        <v>0.3</v>
      </c>
      <c r="D61" s="3084">
        <v>0.25</v>
      </c>
      <c r="E61" s="3084">
        <v>0.25</v>
      </c>
      <c r="F61" s="3084">
        <v>0.25</v>
      </c>
      <c r="G61" s="3084">
        <v>0.15</v>
      </c>
    </row>
    <row r="62" spans="1:7" ht="19.5" customHeight="1">
      <c r="A62" s="3116" t="s">
        <v>2590</v>
      </c>
      <c r="B62" s="3084">
        <v>0.6</v>
      </c>
      <c r="C62" s="3084">
        <v>0.3</v>
      </c>
      <c r="D62" s="3084">
        <v>0.25</v>
      </c>
      <c r="E62" s="3084">
        <v>0.25</v>
      </c>
      <c r="F62" s="3084">
        <v>0.25</v>
      </c>
      <c r="G62" s="3084">
        <v>0.15</v>
      </c>
    </row>
    <row r="63" spans="1:7" ht="19.5" customHeight="1">
      <c r="A63" s="3116" t="s">
        <v>2591</v>
      </c>
      <c r="B63" s="3084">
        <v>0.6</v>
      </c>
      <c r="C63" s="3084">
        <v>0.3</v>
      </c>
      <c r="D63" s="3084">
        <v>0.25</v>
      </c>
      <c r="E63" s="3084">
        <v>0.25</v>
      </c>
      <c r="F63" s="3084">
        <v>0.25</v>
      </c>
      <c r="G63" s="3084">
        <v>0.15</v>
      </c>
    </row>
    <row r="64" spans="1:7" ht="19.5" customHeight="1">
      <c r="A64" s="3116" t="s">
        <v>2592</v>
      </c>
      <c r="B64" s="3084">
        <v>0.5</v>
      </c>
      <c r="C64" s="3084">
        <v>0.2</v>
      </c>
      <c r="D64" s="3084">
        <v>0.2</v>
      </c>
      <c r="E64" s="3084">
        <v>0.2</v>
      </c>
      <c r="F64" s="3084">
        <v>0.2</v>
      </c>
      <c r="G64" s="3084">
        <v>0.1</v>
      </c>
    </row>
    <row r="65" spans="1:7" ht="19.5" customHeight="1">
      <c r="A65" s="3116" t="s">
        <v>2593</v>
      </c>
      <c r="B65" s="3084">
        <v>0.5</v>
      </c>
      <c r="C65" s="3084">
        <v>0.2</v>
      </c>
      <c r="D65" s="3084">
        <v>0.2</v>
      </c>
      <c r="E65" s="3084">
        <v>0.2</v>
      </c>
      <c r="F65" s="3084">
        <v>0.2</v>
      </c>
      <c r="G65" s="3084">
        <v>0.1</v>
      </c>
    </row>
    <row r="66" spans="1:7" ht="19.5" customHeight="1">
      <c r="A66" s="3116" t="s">
        <v>2594</v>
      </c>
      <c r="B66" s="3084">
        <v>0.5</v>
      </c>
      <c r="C66" s="3084">
        <v>0.2</v>
      </c>
      <c r="D66" s="3084">
        <v>0.2</v>
      </c>
      <c r="E66" s="3084">
        <v>0.2</v>
      </c>
      <c r="F66" s="3084">
        <v>0.2</v>
      </c>
      <c r="G66" s="3084">
        <v>0.1</v>
      </c>
    </row>
    <row r="67" spans="1:7" ht="19.5" customHeight="1">
      <c r="A67" s="3116" t="s">
        <v>2595</v>
      </c>
      <c r="B67" s="3084">
        <v>0.5</v>
      </c>
      <c r="C67" s="3084">
        <v>0.2</v>
      </c>
      <c r="D67" s="3084">
        <v>0.2</v>
      </c>
      <c r="E67" s="3084">
        <v>0.2</v>
      </c>
      <c r="F67" s="3084">
        <v>0.2</v>
      </c>
      <c r="G67" s="3084">
        <v>0.1</v>
      </c>
    </row>
    <row r="68" spans="1:7" ht="19.5" customHeight="1">
      <c r="A68" s="3116" t="s">
        <v>2596</v>
      </c>
      <c r="B68" s="3084">
        <v>0.5</v>
      </c>
      <c r="C68" s="3084">
        <v>0.2</v>
      </c>
      <c r="D68" s="3084">
        <v>0.2</v>
      </c>
      <c r="E68" s="3084">
        <v>0.2</v>
      </c>
      <c r="F68" s="3084">
        <v>0.2</v>
      </c>
      <c r="G68" s="3084">
        <v>0.1</v>
      </c>
    </row>
    <row r="70" spans="1:7" ht="19.5" customHeight="1">
      <c r="A70" s="3117"/>
      <c r="B70" s="3118"/>
      <c r="C70" s="3118"/>
      <c r="D70" s="3118" t="s">
        <v>2633</v>
      </c>
      <c r="E70" s="3118"/>
      <c r="F70" s="3118"/>
    </row>
    <row r="71" spans="1:7" ht="19.5" customHeight="1">
      <c r="A71" s="3110" t="s">
        <v>2634</v>
      </c>
      <c r="B71" s="3110" t="s">
        <v>2635</v>
      </c>
      <c r="C71" s="3110" t="s">
        <v>2636</v>
      </c>
      <c r="D71" s="3110" t="s">
        <v>2637</v>
      </c>
      <c r="E71" s="3110" t="s">
        <v>2638</v>
      </c>
      <c r="F71" s="3110" t="s">
        <v>2639</v>
      </c>
    </row>
    <row r="72" spans="1:7" ht="13.5">
      <c r="A72" s="3110"/>
      <c r="B72" s="3110"/>
      <c r="C72" s="3110" t="s">
        <v>2640</v>
      </c>
      <c r="D72" s="3110"/>
      <c r="E72" s="3110" t="s">
        <v>2611</v>
      </c>
      <c r="F72" s="3110" t="s">
        <v>2611</v>
      </c>
    </row>
    <row r="73" spans="1:7" ht="13.5">
      <c r="A73" s="3110">
        <v>1</v>
      </c>
      <c r="B73" s="3834" t="s">
        <v>2641</v>
      </c>
      <c r="C73" s="3084" t="s">
        <v>2642</v>
      </c>
      <c r="D73" s="3084" t="s">
        <v>2643</v>
      </c>
      <c r="E73" s="3110">
        <v>0.2</v>
      </c>
      <c r="F73" s="3110">
        <v>25</v>
      </c>
    </row>
    <row r="74" spans="1:7" ht="24">
      <c r="A74" s="3110">
        <v>2</v>
      </c>
      <c r="B74" s="3829"/>
      <c r="C74" s="3084" t="s">
        <v>2644</v>
      </c>
      <c r="D74" s="3084" t="s">
        <v>2645</v>
      </c>
      <c r="E74" s="3110">
        <v>0.2</v>
      </c>
      <c r="F74" s="3110">
        <v>25</v>
      </c>
    </row>
    <row r="75" spans="1:7" ht="24">
      <c r="A75" s="3110">
        <v>3</v>
      </c>
      <c r="B75" s="3829"/>
      <c r="C75" s="3084" t="s">
        <v>2646</v>
      </c>
      <c r="D75" s="3084" t="s">
        <v>2647</v>
      </c>
      <c r="E75" s="3110">
        <v>0.2</v>
      </c>
      <c r="F75" s="3110">
        <v>25</v>
      </c>
    </row>
    <row r="76" spans="1:7" ht="13.5">
      <c r="A76" s="3110">
        <v>4</v>
      </c>
      <c r="B76" s="3829"/>
      <c r="C76" s="3084" t="s">
        <v>2648</v>
      </c>
      <c r="D76" s="3084" t="s">
        <v>2649</v>
      </c>
      <c r="E76" s="3110">
        <v>0.15</v>
      </c>
      <c r="F76" s="3110">
        <v>20</v>
      </c>
    </row>
    <row r="77" spans="1:7" ht="24">
      <c r="A77" s="3110">
        <v>5</v>
      </c>
      <c r="B77" s="3829"/>
      <c r="C77" s="3084" t="s">
        <v>2650</v>
      </c>
      <c r="D77" s="3084" t="s">
        <v>2651</v>
      </c>
      <c r="E77" s="3110">
        <v>0.15</v>
      </c>
      <c r="F77" s="3110">
        <v>20</v>
      </c>
    </row>
    <row r="78" spans="1:7" ht="24">
      <c r="A78" s="3110">
        <v>6</v>
      </c>
      <c r="B78" s="3829"/>
      <c r="C78" s="3084" t="s">
        <v>2652</v>
      </c>
      <c r="D78" s="3084" t="s">
        <v>2653</v>
      </c>
      <c r="E78" s="3110">
        <v>0.15</v>
      </c>
      <c r="F78" s="3110">
        <v>20</v>
      </c>
    </row>
    <row r="79" spans="1:7" ht="24">
      <c r="A79" s="3110">
        <v>7</v>
      </c>
      <c r="B79" s="3829"/>
      <c r="C79" s="3084" t="s">
        <v>2654</v>
      </c>
      <c r="D79" s="3084" t="s">
        <v>2655</v>
      </c>
      <c r="E79" s="3110">
        <v>0.15</v>
      </c>
      <c r="F79" s="3110">
        <v>20</v>
      </c>
    </row>
    <row r="80" spans="1:7" ht="24">
      <c r="A80" s="3110">
        <v>8</v>
      </c>
      <c r="B80" s="3829"/>
      <c r="C80" s="3084" t="s">
        <v>2656</v>
      </c>
      <c r="D80" s="3084" t="s">
        <v>2657</v>
      </c>
      <c r="E80" s="3110">
        <v>0.1</v>
      </c>
      <c r="F80" s="3110">
        <v>15</v>
      </c>
    </row>
    <row r="81" spans="1:6" ht="24">
      <c r="A81" s="3110">
        <v>9</v>
      </c>
      <c r="B81" s="3829"/>
      <c r="C81" s="3084" t="s">
        <v>2658</v>
      </c>
      <c r="D81" s="3084" t="s">
        <v>2659</v>
      </c>
      <c r="E81" s="3110">
        <v>0.1</v>
      </c>
      <c r="F81" s="3110">
        <v>15</v>
      </c>
    </row>
    <row r="82" spans="1:6" ht="24">
      <c r="A82" s="3110">
        <v>10</v>
      </c>
      <c r="B82" s="3829"/>
      <c r="C82" s="3084" t="s">
        <v>2660</v>
      </c>
      <c r="D82" s="3084" t="s">
        <v>2661</v>
      </c>
      <c r="E82" s="3110">
        <v>0.1</v>
      </c>
      <c r="F82" s="3110">
        <v>15</v>
      </c>
    </row>
    <row r="83" spans="1:6" ht="24">
      <c r="A83" s="3110">
        <v>11</v>
      </c>
      <c r="B83" s="3829"/>
      <c r="C83" s="3084" t="s">
        <v>2662</v>
      </c>
      <c r="D83" s="3084" t="s">
        <v>2663</v>
      </c>
      <c r="E83" s="3110">
        <v>0.1</v>
      </c>
      <c r="F83" s="3110">
        <v>15</v>
      </c>
    </row>
    <row r="84" spans="1:6" ht="24">
      <c r="A84" s="3110">
        <v>12</v>
      </c>
      <c r="B84" s="3829"/>
      <c r="C84" s="3084" t="s">
        <v>2664</v>
      </c>
      <c r="D84" s="3084" t="s">
        <v>2665</v>
      </c>
      <c r="E84" s="3110">
        <v>0.1</v>
      </c>
      <c r="F84" s="3110">
        <v>15</v>
      </c>
    </row>
    <row r="85" spans="1:6" ht="13.5">
      <c r="A85" s="3110">
        <v>13</v>
      </c>
      <c r="B85" s="3829"/>
      <c r="C85" s="3084" t="s">
        <v>2666</v>
      </c>
      <c r="D85" s="3084" t="s">
        <v>2667</v>
      </c>
      <c r="E85" s="3110">
        <v>0.1</v>
      </c>
      <c r="F85" s="3110">
        <v>15</v>
      </c>
    </row>
    <row r="86" spans="1:6" ht="13.5">
      <c r="A86" s="3110">
        <v>14</v>
      </c>
      <c r="B86" s="3829"/>
      <c r="C86" s="3084" t="s">
        <v>2668</v>
      </c>
      <c r="D86" s="3084" t="s">
        <v>2669</v>
      </c>
      <c r="E86" s="3110">
        <v>0.1</v>
      </c>
      <c r="F86" s="3110">
        <v>15</v>
      </c>
    </row>
    <row r="87" spans="1:6" ht="13.5">
      <c r="A87" s="3110">
        <v>15</v>
      </c>
      <c r="B87" s="3829"/>
      <c r="C87" s="3084" t="s">
        <v>2670</v>
      </c>
      <c r="D87" s="3084" t="s">
        <v>2671</v>
      </c>
      <c r="E87" s="3110">
        <v>0.1</v>
      </c>
      <c r="F87" s="3110">
        <v>15</v>
      </c>
    </row>
    <row r="88" spans="1:6" ht="24">
      <c r="A88" s="3110">
        <v>16</v>
      </c>
      <c r="B88" s="3829"/>
      <c r="C88" s="3084" t="s">
        <v>2672</v>
      </c>
      <c r="D88" s="3084" t="s">
        <v>2673</v>
      </c>
      <c r="E88" s="3110">
        <v>0.1</v>
      </c>
      <c r="F88" s="3110">
        <v>15</v>
      </c>
    </row>
    <row r="89" spans="1:6" ht="24">
      <c r="A89" s="3110">
        <v>17</v>
      </c>
      <c r="B89" s="3838"/>
      <c r="C89" s="3084" t="s">
        <v>2674</v>
      </c>
      <c r="D89" s="3084" t="s">
        <v>2675</v>
      </c>
      <c r="E89" s="3110">
        <v>0.1</v>
      </c>
      <c r="F89" s="3110">
        <v>15</v>
      </c>
    </row>
    <row r="90" spans="1:6" ht="13.5">
      <c r="A90" s="3110">
        <v>18</v>
      </c>
      <c r="B90" s="3834" t="s">
        <v>2676</v>
      </c>
      <c r="C90" s="3084" t="s">
        <v>2677</v>
      </c>
      <c r="D90" s="3084" t="s">
        <v>2678</v>
      </c>
      <c r="E90" s="3110">
        <v>0.2</v>
      </c>
      <c r="F90" s="3110">
        <v>25</v>
      </c>
    </row>
    <row r="91" spans="1:6" ht="24">
      <c r="A91" s="3110">
        <v>19</v>
      </c>
      <c r="B91" s="3829"/>
      <c r="C91" s="3084" t="s">
        <v>2679</v>
      </c>
      <c r="D91" s="3084" t="s">
        <v>2680</v>
      </c>
      <c r="E91" s="3110">
        <v>0.2</v>
      </c>
      <c r="F91" s="3110">
        <v>25</v>
      </c>
    </row>
    <row r="92" spans="1:6" ht="13.5">
      <c r="A92" s="3110">
        <v>20</v>
      </c>
      <c r="B92" s="3829"/>
      <c r="C92" s="3084" t="s">
        <v>2681</v>
      </c>
      <c r="D92" s="3084" t="s">
        <v>2682</v>
      </c>
      <c r="E92" s="3110">
        <v>0.15</v>
      </c>
      <c r="F92" s="3110">
        <v>20</v>
      </c>
    </row>
    <row r="93" spans="1:6" ht="13.5">
      <c r="A93" s="3110">
        <v>21</v>
      </c>
      <c r="B93" s="3829"/>
      <c r="C93" s="3084" t="s">
        <v>2683</v>
      </c>
      <c r="D93" s="3084" t="s">
        <v>2684</v>
      </c>
      <c r="E93" s="3110">
        <v>0.15</v>
      </c>
      <c r="F93" s="3110">
        <v>20</v>
      </c>
    </row>
    <row r="94" spans="1:6" ht="13.5">
      <c r="A94" s="3110">
        <v>22</v>
      </c>
      <c r="B94" s="3829"/>
      <c r="C94" s="3084" t="s">
        <v>2685</v>
      </c>
      <c r="D94" s="3084" t="s">
        <v>2686</v>
      </c>
      <c r="E94" s="3110">
        <v>0.15</v>
      </c>
      <c r="F94" s="3110">
        <v>20</v>
      </c>
    </row>
    <row r="95" spans="1:6" ht="36">
      <c r="A95" s="3110">
        <v>23</v>
      </c>
      <c r="B95" s="3829"/>
      <c r="C95" s="3084" t="s">
        <v>2687</v>
      </c>
      <c r="D95" s="3084" t="s">
        <v>2688</v>
      </c>
      <c r="E95" s="3110">
        <v>0.15</v>
      </c>
      <c r="F95" s="3110">
        <v>20</v>
      </c>
    </row>
    <row r="96" spans="1:6" ht="13.5">
      <c r="A96" s="3110">
        <v>24</v>
      </c>
      <c r="B96" s="3829"/>
      <c r="C96" s="3084" t="s">
        <v>2689</v>
      </c>
      <c r="D96" s="3084" t="s">
        <v>2690</v>
      </c>
      <c r="E96" s="3110">
        <v>0.1</v>
      </c>
      <c r="F96" s="3110">
        <v>15</v>
      </c>
    </row>
    <row r="97" spans="1:6" ht="13.5">
      <c r="A97" s="3110">
        <v>25</v>
      </c>
      <c r="B97" s="3829"/>
      <c r="C97" s="3084" t="s">
        <v>2691</v>
      </c>
      <c r="D97" s="3084" t="s">
        <v>2692</v>
      </c>
      <c r="E97" s="3110">
        <v>0.1</v>
      </c>
      <c r="F97" s="3110">
        <v>15</v>
      </c>
    </row>
    <row r="98" spans="1:6" ht="24">
      <c r="A98" s="3110">
        <v>26</v>
      </c>
      <c r="B98" s="3829"/>
      <c r="C98" s="3084" t="s">
        <v>2693</v>
      </c>
      <c r="D98" s="3084" t="s">
        <v>2694</v>
      </c>
      <c r="E98" s="3110">
        <v>0.1</v>
      </c>
      <c r="F98" s="3110">
        <v>15</v>
      </c>
    </row>
    <row r="99" spans="1:6" ht="24">
      <c r="A99" s="3110">
        <v>27</v>
      </c>
      <c r="B99" s="3829"/>
      <c r="C99" s="3084" t="s">
        <v>2695</v>
      </c>
      <c r="D99" s="3084" t="s">
        <v>2696</v>
      </c>
      <c r="E99" s="3110">
        <v>0.1</v>
      </c>
      <c r="F99" s="3110">
        <v>15</v>
      </c>
    </row>
    <row r="100" spans="1:6" ht="13.5">
      <c r="A100" s="3110">
        <v>28</v>
      </c>
      <c r="B100" s="3829"/>
      <c r="C100" s="3084" t="s">
        <v>2697</v>
      </c>
      <c r="D100" s="3084" t="s">
        <v>2698</v>
      </c>
      <c r="E100" s="3110">
        <v>0.1</v>
      </c>
      <c r="F100" s="3110">
        <v>15</v>
      </c>
    </row>
    <row r="101" spans="1:6" ht="13.5">
      <c r="A101" s="3110">
        <v>29</v>
      </c>
      <c r="B101" s="3829"/>
      <c r="C101" s="3084" t="s">
        <v>2699</v>
      </c>
      <c r="D101" s="3084" t="s">
        <v>2700</v>
      </c>
      <c r="E101" s="3110">
        <v>0.1</v>
      </c>
      <c r="F101" s="3110">
        <v>15</v>
      </c>
    </row>
    <row r="102" spans="1:6" ht="13.5">
      <c r="A102" s="3110">
        <v>30</v>
      </c>
      <c r="B102" s="3829"/>
      <c r="C102" s="3084" t="s">
        <v>2701</v>
      </c>
      <c r="D102" s="3084" t="s">
        <v>2702</v>
      </c>
      <c r="E102" s="3110">
        <v>0.1</v>
      </c>
      <c r="F102" s="3110">
        <v>15</v>
      </c>
    </row>
    <row r="103" spans="1:6" ht="24">
      <c r="A103" s="3110">
        <v>31</v>
      </c>
      <c r="B103" s="3829"/>
      <c r="C103" s="3084" t="s">
        <v>2703</v>
      </c>
      <c r="D103" s="3084" t="s">
        <v>2704</v>
      </c>
      <c r="E103" s="3110">
        <v>0.1</v>
      </c>
      <c r="F103" s="3110">
        <v>15</v>
      </c>
    </row>
    <row r="104" spans="1:6" ht="24">
      <c r="A104" s="3110">
        <v>32</v>
      </c>
      <c r="B104" s="3829"/>
      <c r="C104" s="3084" t="s">
        <v>2705</v>
      </c>
      <c r="D104" s="3084" t="s">
        <v>2706</v>
      </c>
      <c r="E104" s="3110">
        <v>0.1</v>
      </c>
      <c r="F104" s="3110">
        <v>15</v>
      </c>
    </row>
    <row r="105" spans="1:6" ht="24">
      <c r="A105" s="3110">
        <v>33</v>
      </c>
      <c r="B105" s="3829"/>
      <c r="C105" s="3084" t="s">
        <v>2707</v>
      </c>
      <c r="D105" s="3084" t="s">
        <v>2708</v>
      </c>
      <c r="E105" s="3110">
        <v>0.1</v>
      </c>
      <c r="F105" s="3110">
        <v>15</v>
      </c>
    </row>
    <row r="106" spans="1:6" ht="24">
      <c r="A106" s="3110">
        <v>34</v>
      </c>
      <c r="B106" s="3838"/>
      <c r="C106" s="3084" t="s">
        <v>2709</v>
      </c>
      <c r="D106" s="3084" t="s">
        <v>2710</v>
      </c>
      <c r="E106" s="3110">
        <v>0.1</v>
      </c>
      <c r="F106" s="3110">
        <v>15</v>
      </c>
    </row>
    <row r="107" spans="1:6" ht="24">
      <c r="A107" s="3110">
        <v>35</v>
      </c>
      <c r="B107" s="3834" t="s">
        <v>2711</v>
      </c>
      <c r="C107" s="3110" t="s">
        <v>2712</v>
      </c>
      <c r="D107" s="3084" t="s">
        <v>2713</v>
      </c>
      <c r="E107" s="3110">
        <v>0.15</v>
      </c>
      <c r="F107" s="3110">
        <v>20</v>
      </c>
    </row>
    <row r="108" spans="1:6" ht="13.5">
      <c r="A108" s="3110">
        <v>36</v>
      </c>
      <c r="B108" s="3829"/>
      <c r="C108" s="3110" t="s">
        <v>2714</v>
      </c>
      <c r="D108" s="3084" t="s">
        <v>2715</v>
      </c>
      <c r="E108" s="3110">
        <v>0.15</v>
      </c>
      <c r="F108" s="3110">
        <v>20</v>
      </c>
    </row>
    <row r="109" spans="1:6" ht="13.5">
      <c r="A109" s="3110">
        <v>37</v>
      </c>
      <c r="B109" s="3829"/>
      <c r="C109" s="3110" t="s">
        <v>2716</v>
      </c>
      <c r="D109" s="3084" t="s">
        <v>2717</v>
      </c>
      <c r="E109" s="3110">
        <v>0.15</v>
      </c>
      <c r="F109" s="3110">
        <v>20</v>
      </c>
    </row>
    <row r="110" spans="1:6" ht="13.5">
      <c r="A110" s="3110">
        <v>38</v>
      </c>
      <c r="B110" s="3829"/>
      <c r="C110" s="3110" t="s">
        <v>2718</v>
      </c>
      <c r="D110" s="3084" t="s">
        <v>2719</v>
      </c>
      <c r="E110" s="3110">
        <v>0.1</v>
      </c>
      <c r="F110" s="3110">
        <v>15</v>
      </c>
    </row>
    <row r="111" spans="1:6" ht="24">
      <c r="A111" s="3110">
        <v>39</v>
      </c>
      <c r="B111" s="3829"/>
      <c r="C111" s="3110" t="s">
        <v>2720</v>
      </c>
      <c r="D111" s="3084" t="s">
        <v>2721</v>
      </c>
      <c r="E111" s="3110">
        <v>0.1</v>
      </c>
      <c r="F111" s="3110">
        <v>15</v>
      </c>
    </row>
    <row r="112" spans="1:6" ht="24">
      <c r="A112" s="3110">
        <v>40</v>
      </c>
      <c r="B112" s="3838"/>
      <c r="C112" s="3110" t="s">
        <v>2722</v>
      </c>
      <c r="D112" s="3084" t="s">
        <v>2723</v>
      </c>
      <c r="E112" s="3110">
        <v>0.1</v>
      </c>
      <c r="F112" s="3110">
        <v>15</v>
      </c>
    </row>
    <row r="113" spans="1:6" ht="13.5">
      <c r="A113" s="3110">
        <v>41</v>
      </c>
      <c r="B113" s="3839" t="s">
        <v>2724</v>
      </c>
      <c r="C113" s="3110" t="s">
        <v>2725</v>
      </c>
      <c r="D113" s="3084" t="s">
        <v>2726</v>
      </c>
      <c r="E113" s="3110">
        <v>0.1</v>
      </c>
      <c r="F113" s="3110">
        <v>15</v>
      </c>
    </row>
    <row r="114" spans="1:6" ht="13.5">
      <c r="A114" s="3110">
        <v>42</v>
      </c>
      <c r="B114" s="3839"/>
      <c r="C114" s="3110" t="s">
        <v>2727</v>
      </c>
      <c r="D114" s="3084" t="s">
        <v>2728</v>
      </c>
      <c r="E114" s="3110">
        <v>0.1</v>
      </c>
      <c r="F114" s="3110">
        <v>15</v>
      </c>
    </row>
    <row r="115" spans="1:6" ht="24">
      <c r="A115" s="3110">
        <v>43</v>
      </c>
      <c r="B115" s="3839"/>
      <c r="C115" s="3110" t="s">
        <v>2729</v>
      </c>
      <c r="D115" s="3084" t="s">
        <v>2730</v>
      </c>
      <c r="E115" s="3110">
        <v>0.1</v>
      </c>
      <c r="F115" s="3110">
        <v>15</v>
      </c>
    </row>
    <row r="116" spans="1:6" ht="13.5">
      <c r="A116" s="3110">
        <v>44</v>
      </c>
      <c r="B116" s="3834" t="s">
        <v>2731</v>
      </c>
      <c r="C116" s="3110" t="s">
        <v>2732</v>
      </c>
      <c r="D116" s="3084" t="s">
        <v>2733</v>
      </c>
      <c r="E116" s="3110">
        <v>0.1</v>
      </c>
      <c r="F116" s="3110">
        <v>15</v>
      </c>
    </row>
    <row r="117" spans="1:6" ht="24">
      <c r="A117" s="3110">
        <v>45</v>
      </c>
      <c r="B117" s="3838"/>
      <c r="C117" s="3084" t="s">
        <v>2734</v>
      </c>
      <c r="D117" s="3084" t="s">
        <v>2735</v>
      </c>
      <c r="E117" s="3110">
        <v>0.1</v>
      </c>
      <c r="F117" s="3110">
        <v>15</v>
      </c>
    </row>
    <row r="118" spans="1:6" ht="24">
      <c r="A118" s="3110">
        <v>46</v>
      </c>
      <c r="B118" s="3834" t="s">
        <v>2736</v>
      </c>
      <c r="C118" s="3110" t="s">
        <v>2737</v>
      </c>
      <c r="D118" s="3084" t="s">
        <v>2738</v>
      </c>
      <c r="E118" s="3110">
        <v>0.1</v>
      </c>
      <c r="F118" s="3110">
        <v>15</v>
      </c>
    </row>
    <row r="119" spans="1:6" ht="24">
      <c r="A119" s="3110">
        <v>47</v>
      </c>
      <c r="B119" s="3838"/>
      <c r="C119" s="3110" t="s">
        <v>2739</v>
      </c>
      <c r="D119" s="3084" t="s">
        <v>2740</v>
      </c>
      <c r="E119" s="3110">
        <v>0.1</v>
      </c>
      <c r="F119" s="3110">
        <v>15</v>
      </c>
    </row>
    <row r="120" spans="1:6" ht="13.5">
      <c r="A120" s="3110">
        <v>48</v>
      </c>
      <c r="B120" s="3834" t="s">
        <v>2741</v>
      </c>
      <c r="C120" s="3110" t="s">
        <v>2742</v>
      </c>
      <c r="D120" s="3084" t="s">
        <v>2743</v>
      </c>
      <c r="E120" s="3110">
        <v>0.1</v>
      </c>
      <c r="F120" s="3110">
        <v>15</v>
      </c>
    </row>
    <row r="121" spans="1:6" ht="13.5">
      <c r="A121" s="3110">
        <v>49</v>
      </c>
      <c r="B121" s="3838"/>
      <c r="C121" s="3110" t="s">
        <v>2744</v>
      </c>
      <c r="D121" s="3084" t="s">
        <v>2745</v>
      </c>
      <c r="E121" s="3110">
        <v>0.1</v>
      </c>
      <c r="F121" s="3110">
        <v>15</v>
      </c>
    </row>
    <row r="122" spans="1:6" ht="24">
      <c r="A122" s="3110">
        <v>50</v>
      </c>
      <c r="B122" s="3839" t="s">
        <v>2746</v>
      </c>
      <c r="C122" s="3110" t="s">
        <v>2747</v>
      </c>
      <c r="D122" s="3084" t="s">
        <v>2748</v>
      </c>
      <c r="E122" s="3110">
        <v>0.1</v>
      </c>
      <c r="F122" s="3110">
        <v>15</v>
      </c>
    </row>
    <row r="123" spans="1:6" ht="24">
      <c r="A123" s="3110">
        <v>51</v>
      </c>
      <c r="B123" s="3839"/>
      <c r="C123" s="3110" t="s">
        <v>2749</v>
      </c>
      <c r="D123" s="3084" t="s">
        <v>2750</v>
      </c>
      <c r="E123" s="3110">
        <v>0.1</v>
      </c>
      <c r="F123" s="3110">
        <v>15</v>
      </c>
    </row>
    <row r="124" spans="1:6" ht="24">
      <c r="A124" s="3110">
        <v>52</v>
      </c>
      <c r="B124" s="3839" t="s">
        <v>2751</v>
      </c>
      <c r="C124" s="3110" t="s">
        <v>2752</v>
      </c>
      <c r="D124" s="3084" t="s">
        <v>2753</v>
      </c>
      <c r="E124" s="3110">
        <v>0.1</v>
      </c>
      <c r="F124" s="3110">
        <v>15</v>
      </c>
    </row>
    <row r="125" spans="1:6" ht="24">
      <c r="A125" s="3110">
        <v>53</v>
      </c>
      <c r="B125" s="3839"/>
      <c r="C125" s="3110" t="s">
        <v>2754</v>
      </c>
      <c r="D125" s="3084" t="s">
        <v>2755</v>
      </c>
      <c r="E125" s="3110">
        <v>0.1</v>
      </c>
      <c r="F125" s="3110">
        <v>15</v>
      </c>
    </row>
    <row r="126" spans="1:6" ht="13.5">
      <c r="A126" s="3110">
        <v>54</v>
      </c>
      <c r="B126" s="3110" t="s">
        <v>2756</v>
      </c>
      <c r="C126" s="3110" t="s">
        <v>2757</v>
      </c>
      <c r="D126" s="3084" t="s">
        <v>2758</v>
      </c>
      <c r="E126" s="3110">
        <v>0.1</v>
      </c>
      <c r="F126" s="3110">
        <v>15</v>
      </c>
    </row>
    <row r="127" spans="1:6" ht="13.5">
      <c r="A127" s="3110">
        <v>55</v>
      </c>
      <c r="B127" s="3839" t="s">
        <v>2759</v>
      </c>
      <c r="C127" s="3110" t="s">
        <v>2760</v>
      </c>
      <c r="D127" s="3084" t="s">
        <v>2761</v>
      </c>
      <c r="E127" s="3110">
        <v>0.1</v>
      </c>
      <c r="F127" s="3110">
        <v>15</v>
      </c>
    </row>
    <row r="128" spans="1:6" ht="13.5">
      <c r="A128" s="3110">
        <v>56</v>
      </c>
      <c r="B128" s="3839"/>
      <c r="C128" s="3110" t="s">
        <v>2762</v>
      </c>
      <c r="D128" s="3084" t="s">
        <v>2763</v>
      </c>
      <c r="E128" s="3110">
        <v>0.1</v>
      </c>
      <c r="F128" s="3110">
        <v>15</v>
      </c>
    </row>
    <row r="129" spans="1:6" ht="24">
      <c r="A129" s="3110">
        <v>57</v>
      </c>
      <c r="B129" s="3839"/>
      <c r="C129" s="3110" t="s">
        <v>2764</v>
      </c>
      <c r="D129" s="3084" t="s">
        <v>2765</v>
      </c>
      <c r="E129" s="3110">
        <v>0.1</v>
      </c>
      <c r="F129" s="3110">
        <v>15</v>
      </c>
    </row>
    <row r="130" spans="1:6" ht="24">
      <c r="A130" s="3110">
        <v>58</v>
      </c>
      <c r="B130" s="3839" t="s">
        <v>2766</v>
      </c>
      <c r="C130" s="3110" t="s">
        <v>2767</v>
      </c>
      <c r="D130" s="3084" t="s">
        <v>2768</v>
      </c>
      <c r="E130" s="3110">
        <v>0.1</v>
      </c>
      <c r="F130" s="3110">
        <v>15</v>
      </c>
    </row>
    <row r="131" spans="1:6" ht="13.5">
      <c r="A131" s="3110">
        <v>59</v>
      </c>
      <c r="B131" s="3839"/>
      <c r="C131" s="3110" t="s">
        <v>2769</v>
      </c>
      <c r="D131" s="3084" t="s">
        <v>2770</v>
      </c>
      <c r="E131" s="3110">
        <v>0.1</v>
      </c>
      <c r="F131" s="3110">
        <v>15</v>
      </c>
    </row>
    <row r="132" spans="1:6" ht="13.5">
      <c r="A132" s="3110">
        <v>60</v>
      </c>
      <c r="B132" s="3834" t="s">
        <v>2771</v>
      </c>
      <c r="C132" s="3110" t="s">
        <v>2772</v>
      </c>
      <c r="D132" s="3084" t="s">
        <v>2773</v>
      </c>
      <c r="E132" s="3110">
        <v>0.1</v>
      </c>
      <c r="F132" s="3110">
        <v>15</v>
      </c>
    </row>
    <row r="133" spans="1:6" ht="13.5">
      <c r="A133" s="3110">
        <v>61</v>
      </c>
      <c r="B133" s="3838"/>
      <c r="C133" s="3110" t="s">
        <v>2774</v>
      </c>
      <c r="D133" s="3084" t="s">
        <v>2775</v>
      </c>
      <c r="E133" s="3110">
        <v>0.1</v>
      </c>
      <c r="F133" s="3110">
        <v>15</v>
      </c>
    </row>
    <row r="134" spans="1:6" ht="24">
      <c r="A134" s="3110">
        <v>62</v>
      </c>
      <c r="B134" s="3110" t="s">
        <v>2776</v>
      </c>
      <c r="C134" s="3110" t="s">
        <v>2777</v>
      </c>
      <c r="D134" s="3084" t="s">
        <v>2778</v>
      </c>
      <c r="E134" s="3110">
        <v>0.1</v>
      </c>
      <c r="F134" s="3110">
        <v>15</v>
      </c>
    </row>
    <row r="135" spans="1:6" ht="13.5">
      <c r="A135" s="3110">
        <v>63</v>
      </c>
      <c r="B135" s="3839" t="s">
        <v>2779</v>
      </c>
      <c r="C135" s="3110" t="s">
        <v>2780</v>
      </c>
      <c r="D135" s="3084" t="s">
        <v>2781</v>
      </c>
      <c r="E135" s="3110">
        <v>0.1</v>
      </c>
      <c r="F135" s="3110">
        <v>15</v>
      </c>
    </row>
    <row r="136" spans="1:6" ht="13.5">
      <c r="A136" s="3110">
        <v>64</v>
      </c>
      <c r="B136" s="3839"/>
      <c r="C136" s="3110" t="s">
        <v>2782</v>
      </c>
      <c r="D136" s="3084" t="s">
        <v>2783</v>
      </c>
      <c r="E136" s="3110">
        <v>0.1</v>
      </c>
      <c r="F136" s="3110">
        <v>15</v>
      </c>
    </row>
    <row r="137" spans="1:6" ht="13.5">
      <c r="A137" s="3110">
        <v>65</v>
      </c>
      <c r="B137" s="3110" t="s">
        <v>2784</v>
      </c>
      <c r="C137" s="3110" t="s">
        <v>2785</v>
      </c>
      <c r="D137" s="3084" t="s">
        <v>2786</v>
      </c>
      <c r="E137" s="3110">
        <v>0.1</v>
      </c>
      <c r="F137" s="3110">
        <v>15</v>
      </c>
    </row>
    <row r="138" spans="1:6" ht="13.5">
      <c r="A138" s="3110"/>
      <c r="B138" s="3110"/>
      <c r="C138" s="3110"/>
      <c r="D138" s="3110"/>
      <c r="E138" s="3110" t="s">
        <v>2787</v>
      </c>
      <c r="F138" s="3110"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2788</v>
      </c>
      <c r="B1" s="3119"/>
      <c r="C1" s="3119"/>
      <c r="D1" s="3119"/>
      <c r="E1" s="3119"/>
      <c r="F1" s="3119"/>
      <c r="G1" s="3119"/>
      <c r="H1" s="3119"/>
      <c r="I1" s="3119"/>
      <c r="J1" s="3119"/>
      <c r="K1" s="3119"/>
      <c r="L1" s="3119"/>
      <c r="M1" s="3119"/>
      <c r="N1" s="749"/>
    </row>
    <row r="2" spans="1:20">
      <c r="A2" s="3120" t="s">
        <v>2789</v>
      </c>
      <c r="B2" s="3121" t="s">
        <v>2585</v>
      </c>
      <c r="C2" s="3121" t="s">
        <v>2586</v>
      </c>
      <c r="D2" s="3121" t="s">
        <v>2587</v>
      </c>
      <c r="E2" s="3121" t="s">
        <v>2588</v>
      </c>
      <c r="F2" s="3121" t="s">
        <v>2589</v>
      </c>
      <c r="G2" s="3121" t="s">
        <v>2590</v>
      </c>
      <c r="H2" s="3122" t="s">
        <v>2591</v>
      </c>
      <c r="I2" s="3122" t="s">
        <v>2592</v>
      </c>
      <c r="J2" s="3123" t="s">
        <v>2593</v>
      </c>
      <c r="K2" s="3123" t="s">
        <v>2594</v>
      </c>
      <c r="L2" s="3123" t="s">
        <v>2595</v>
      </c>
      <c r="M2" s="3124" t="s">
        <v>2596</v>
      </c>
      <c r="Q2" s="3134" t="s">
        <v>2794</v>
      </c>
      <c r="R2" s="3134" t="s">
        <v>2795</v>
      </c>
      <c r="S2" s="3134" t="s">
        <v>2796</v>
      </c>
      <c r="T2" s="3134" t="s">
        <v>2797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2790</v>
      </c>
      <c r="B93" s="3119"/>
      <c r="C93" s="3119"/>
      <c r="D93" s="3119"/>
      <c r="E93" s="3119"/>
      <c r="F93" s="3119"/>
      <c r="G93" s="3119"/>
      <c r="H93" s="3119"/>
      <c r="I93" s="3119"/>
      <c r="J93" s="3119"/>
      <c r="K93" s="3119"/>
      <c r="L93" s="3119"/>
      <c r="M93" s="3119"/>
    </row>
    <row r="94" spans="1:20">
      <c r="A94" s="3120" t="s">
        <v>2789</v>
      </c>
      <c r="B94" s="3121" t="s">
        <v>2585</v>
      </c>
      <c r="C94" s="3121" t="s">
        <v>2586</v>
      </c>
      <c r="D94" s="3121" t="s">
        <v>2587</v>
      </c>
      <c r="E94" s="3121" t="s">
        <v>2588</v>
      </c>
      <c r="F94" s="3121" t="s">
        <v>2589</v>
      </c>
      <c r="G94" s="3121" t="s">
        <v>2590</v>
      </c>
      <c r="H94" s="3122" t="s">
        <v>2591</v>
      </c>
      <c r="I94" s="3122" t="s">
        <v>2592</v>
      </c>
      <c r="J94" s="3123" t="s">
        <v>2593</v>
      </c>
      <c r="K94" s="3123" t="s">
        <v>2594</v>
      </c>
      <c r="L94" s="3123" t="s">
        <v>2595</v>
      </c>
      <c r="M94" s="3124" t="s">
        <v>2596</v>
      </c>
      <c r="N94" s="750" t="e">
        <f>SUMPRODUCT((A95:A184=ROUNDDOWN(基准地价修正!G3,1))*(B94:M94=基准地价修正!G2)*(B95:M184))</f>
        <v>#DIV/0!</v>
      </c>
      <c r="Q94" s="3134" t="s">
        <v>2794</v>
      </c>
      <c r="R94" s="3134" t="s">
        <v>2795</v>
      </c>
      <c r="S94" s="3134" t="s">
        <v>2796</v>
      </c>
      <c r="T94" s="3134" t="s">
        <v>2797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2791</v>
      </c>
      <c r="B185" s="3119"/>
      <c r="C185" s="3119"/>
      <c r="D185" s="3119"/>
      <c r="E185" s="3119"/>
      <c r="F185" s="3119"/>
      <c r="G185" s="3119"/>
      <c r="H185" s="3119"/>
      <c r="I185" s="3119"/>
      <c r="J185" s="3119"/>
      <c r="K185" s="3119"/>
      <c r="L185" s="3119"/>
      <c r="M185" s="3119"/>
    </row>
    <row r="186" spans="1:20">
      <c r="A186" s="3120" t="s">
        <v>2789</v>
      </c>
      <c r="B186" s="3121" t="s">
        <v>2585</v>
      </c>
      <c r="C186" s="3121" t="s">
        <v>2586</v>
      </c>
      <c r="D186" s="3121" t="s">
        <v>2587</v>
      </c>
      <c r="E186" s="3121" t="s">
        <v>2588</v>
      </c>
      <c r="F186" s="3121" t="s">
        <v>2589</v>
      </c>
      <c r="G186" s="3121" t="s">
        <v>2590</v>
      </c>
      <c r="H186" s="3122" t="s">
        <v>2591</v>
      </c>
      <c r="I186" s="3122" t="s">
        <v>2592</v>
      </c>
      <c r="J186" s="3123" t="s">
        <v>2593</v>
      </c>
      <c r="K186" s="3123" t="s">
        <v>2594</v>
      </c>
      <c r="L186" s="3123" t="s">
        <v>2595</v>
      </c>
      <c r="M186" s="3124" t="s">
        <v>2596</v>
      </c>
      <c r="Q186" s="3134" t="s">
        <v>2794</v>
      </c>
      <c r="R186" s="3134" t="s">
        <v>2795</v>
      </c>
      <c r="S186" s="3134" t="s">
        <v>2796</v>
      </c>
      <c r="T186" s="3134" t="s">
        <v>2797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2792</v>
      </c>
      <c r="B277" s="3119"/>
      <c r="C277" s="3119"/>
      <c r="D277" s="3119"/>
      <c r="E277" s="3119"/>
      <c r="F277" s="3119"/>
      <c r="G277" s="3119"/>
      <c r="H277" s="3119"/>
      <c r="I277" s="3119"/>
      <c r="J277" s="3119"/>
      <c r="K277" s="3119"/>
      <c r="L277" s="3119"/>
      <c r="M277" s="3119"/>
    </row>
    <row r="278" spans="1:21">
      <c r="A278" s="3120" t="s">
        <v>2789</v>
      </c>
      <c r="B278" s="3121" t="s">
        <v>2585</v>
      </c>
      <c r="C278" s="3121" t="s">
        <v>2586</v>
      </c>
      <c r="D278" s="3121" t="s">
        <v>2587</v>
      </c>
      <c r="E278" s="3121" t="s">
        <v>2588</v>
      </c>
      <c r="F278" s="3121" t="s">
        <v>2589</v>
      </c>
      <c r="G278" s="3121" t="s">
        <v>2590</v>
      </c>
      <c r="H278" s="3122" t="s">
        <v>2591</v>
      </c>
      <c r="I278" s="3122" t="s">
        <v>2592</v>
      </c>
      <c r="J278" s="3123" t="s">
        <v>2593</v>
      </c>
      <c r="K278" s="3123" t="s">
        <v>2594</v>
      </c>
      <c r="L278" s="3123" t="s">
        <v>2595</v>
      </c>
      <c r="M278" s="3124" t="s">
        <v>2596</v>
      </c>
      <c r="Q278" s="3134" t="s">
        <v>2794</v>
      </c>
      <c r="R278" s="3134" t="s">
        <v>2795</v>
      </c>
      <c r="S278" s="3134" t="s">
        <v>2798</v>
      </c>
      <c r="T278" s="3134" t="s">
        <v>2799</v>
      </c>
      <c r="U278" s="3134" t="s">
        <v>2797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2793</v>
      </c>
      <c r="B369" s="3132"/>
      <c r="C369" s="3132"/>
      <c r="D369" s="3132"/>
      <c r="E369" s="3132"/>
      <c r="F369" s="3132"/>
      <c r="G369" s="3132"/>
      <c r="H369" s="3132"/>
      <c r="I369" s="3132"/>
      <c r="J369" s="3132"/>
      <c r="K369" s="3132"/>
      <c r="L369" s="3132"/>
      <c r="M369" s="3132"/>
    </row>
    <row r="370" spans="1:20">
      <c r="A370" s="3120" t="s">
        <v>2789</v>
      </c>
      <c r="B370" s="3121" t="s">
        <v>2585</v>
      </c>
      <c r="C370" s="3121" t="s">
        <v>2586</v>
      </c>
      <c r="D370" s="3121" t="s">
        <v>2587</v>
      </c>
      <c r="E370" s="3121" t="s">
        <v>2588</v>
      </c>
      <c r="F370" s="3121" t="s">
        <v>2589</v>
      </c>
      <c r="G370" s="3121" t="s">
        <v>2590</v>
      </c>
      <c r="H370" s="3122" t="s">
        <v>2591</v>
      </c>
      <c r="I370" s="3122" t="s">
        <v>2592</v>
      </c>
      <c r="J370" s="3123" t="s">
        <v>2593</v>
      </c>
      <c r="K370" s="3123" t="s">
        <v>2594</v>
      </c>
      <c r="L370" s="3123" t="s">
        <v>2595</v>
      </c>
      <c r="M370" s="3124" t="s">
        <v>2596</v>
      </c>
      <c r="N370" s="750" t="e">
        <f>SUMPRODUCT((A371:A460=ROUNDDOWN(基准地价修正!G3,1))*(B370:M370=基准地价修正!G2)*(B371:M460))</f>
        <v>#DIV/0!</v>
      </c>
      <c r="Q370" s="3134" t="s">
        <v>2794</v>
      </c>
      <c r="R370" s="3134" t="s">
        <v>2795</v>
      </c>
      <c r="S370" s="3134" t="s">
        <v>2796</v>
      </c>
      <c r="T370" s="3134" t="s">
        <v>2797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112374</v>
      </c>
      <c r="C2" s="2" t="s">
        <v>106</v>
      </c>
      <c r="D2" s="199"/>
      <c r="E2" s="199"/>
      <c r="F2" s="199"/>
      <c r="G2" s="199"/>
    </row>
    <row r="3" spans="1:7" s="200" customFormat="1" ht="18" customHeight="1" thickBot="1">
      <c r="A3" s="203" t="s">
        <v>58</v>
      </c>
      <c r="B3" s="204">
        <f ca="1">ROUND(B2*10000/'数据-汇总表'!E3,0)</f>
        <v>10817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2078</v>
      </c>
      <c r="D10" s="845">
        <f>'数据-汇总表'!E6</f>
        <v>103889.93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2078</v>
      </c>
      <c r="D19" s="849">
        <f>'数据-汇总表'!E3</f>
        <v>103889.93</v>
      </c>
      <c r="E19" s="211">
        <f>'数据-取费表'!B31</f>
        <v>200</v>
      </c>
      <c r="F19" s="231"/>
      <c r="G19" s="1" t="s">
        <v>436</v>
      </c>
    </row>
    <row r="20" spans="1:7" s="214" customFormat="1" ht="13.5" customHeight="1">
      <c r="A20" s="777" t="s">
        <v>419</v>
      </c>
      <c r="B20" s="210" t="s">
        <v>77</v>
      </c>
      <c r="C20" s="232">
        <f>ROUND((C5+C19)*F20,0)</f>
        <v>454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2455</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223</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5323</v>
      </c>
      <c r="D27" s="235">
        <f>C29</f>
        <v>4.5999999999999999E-3</v>
      </c>
      <c r="E27" s="236" t="s">
        <v>99</v>
      </c>
      <c r="F27" s="246">
        <f>'数据-取费表'!Q16</f>
        <v>0.23</v>
      </c>
      <c r="G27" s="247" t="s">
        <v>431</v>
      </c>
    </row>
    <row r="28" spans="1:7" s="214" customFormat="1" ht="13.5" customHeight="1">
      <c r="A28" s="780" t="s">
        <v>349</v>
      </c>
      <c r="B28" s="248" t="s">
        <v>424</v>
      </c>
      <c r="C28" s="249">
        <f>ROUND((C5+C19+C20)*F27*'数据-取费表'!B21/'数据-取费表'!B20,0)</f>
        <v>5323</v>
      </c>
      <c r="D28" s="235"/>
      <c r="E28" s="236"/>
      <c r="F28" s="246"/>
      <c r="G28" s="247"/>
    </row>
    <row r="29" spans="1:7" s="214" customFormat="1" ht="13.5" customHeight="1">
      <c r="A29" s="780" t="s">
        <v>347</v>
      </c>
      <c r="B29" s="248" t="s">
        <v>425</v>
      </c>
      <c r="C29" s="238">
        <f>ROUND(C21*F27*'数据-取费表'!B21/'数据-取费表'!B20,4)</f>
        <v>4.5999999999999999E-3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61666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55951</v>
      </c>
      <c r="D34" s="217"/>
      <c r="E34" s="220"/>
      <c r="F34" s="257">
        <f>IF('数据-取费表'!B24=0,1,'数据-取费表'!N16)</f>
        <v>1</v>
      </c>
      <c r="G34" s="219" t="s">
        <v>89</v>
      </c>
    </row>
    <row r="35" spans="1:7" ht="13.5" customHeight="1">
      <c r="A35" s="780" t="s">
        <v>351</v>
      </c>
      <c r="B35" s="215" t="s">
        <v>33</v>
      </c>
      <c r="C35" s="220">
        <f>ROUND(C34*F35,0)</f>
        <v>2798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2078</v>
      </c>
      <c r="D37" s="217">
        <f>'数据-汇总表'!E3</f>
        <v>103889.93</v>
      </c>
      <c r="E37" s="249">
        <f>'数据-取费表'!B35</f>
        <v>200</v>
      </c>
      <c r="F37" s="259"/>
      <c r="G37" s="261" t="s">
        <v>92</v>
      </c>
    </row>
    <row r="38" spans="1:7" ht="13.5" customHeight="1">
      <c r="A38" s="780" t="s">
        <v>354</v>
      </c>
      <c r="B38" s="215" t="s">
        <v>36</v>
      </c>
      <c r="C38" s="220">
        <f>ROUND(C34*F38,0)</f>
        <v>839</v>
      </c>
      <c r="D38" s="220"/>
      <c r="E38" s="220"/>
      <c r="F38" s="259">
        <f>'数据-取费表'!B36</f>
        <v>1.4999999999999999E-2</v>
      </c>
      <c r="G38" s="219" t="s">
        <v>90</v>
      </c>
    </row>
    <row r="39" spans="1:7" s="214" customFormat="1" ht="13.5" customHeight="1">
      <c r="A39" s="777" t="s">
        <v>338</v>
      </c>
      <c r="B39" s="210" t="s">
        <v>77</v>
      </c>
      <c r="C39" s="232">
        <f>ROUND(C33*F20,0)</f>
        <v>1233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3283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3219</v>
      </c>
      <c r="D42" s="238"/>
      <c r="E42" s="238"/>
      <c r="F42" s="239"/>
      <c r="G42" s="3723" t="s">
        <v>94</v>
      </c>
    </row>
    <row r="43" spans="1:7" ht="13.5" customHeight="1">
      <c r="A43" s="780" t="s">
        <v>347</v>
      </c>
      <c r="B43" s="215" t="s">
        <v>426</v>
      </c>
      <c r="C43" s="238">
        <f ca="1">ROUND(IF('数据-取费表'!B22&lt;=1,C39*F22*'数据-取费表'!B21/2,C39*(POWER((1+F22),'数据-取费表'!B21/2)-1)),0)</f>
        <v>64</v>
      </c>
      <c r="D43" s="238"/>
      <c r="E43" s="238"/>
      <c r="F43" s="239"/>
      <c r="G43" s="3724"/>
    </row>
    <row r="44" spans="1:7" ht="13.5" customHeight="1">
      <c r="A44" s="780" t="s">
        <v>348</v>
      </c>
      <c r="B44" s="215" t="s">
        <v>428</v>
      </c>
      <c r="C44" s="238">
        <f ca="1">ROUND(IF('数据-取费表'!B22&lt;=1,C40*F22*'数据-取费表'!B21/2,C40*(POWER((1+F22),'数据-取费表'!B21/2)-1)),4)</f>
        <v>1E-3</v>
      </c>
      <c r="D44" s="238"/>
      <c r="E44" s="238"/>
      <c r="F44" s="239"/>
      <c r="G44" s="3725"/>
    </row>
    <row r="45" spans="1:7" s="214" customFormat="1" ht="13.5" customHeight="1">
      <c r="A45" s="777" t="s">
        <v>341</v>
      </c>
      <c r="B45" s="244" t="s">
        <v>85</v>
      </c>
      <c r="C45" s="245">
        <f>C46</f>
        <v>14467</v>
      </c>
      <c r="D45" s="235">
        <f>C47</f>
        <v>4.5999999999999999E-3</v>
      </c>
      <c r="E45" s="236" t="s">
        <v>102</v>
      </c>
      <c r="F45" s="246"/>
      <c r="G45" s="247" t="s">
        <v>434</v>
      </c>
    </row>
    <row r="46" spans="1:7" s="214" customFormat="1" ht="13.5" customHeight="1">
      <c r="A46" s="780" t="s">
        <v>349</v>
      </c>
      <c r="B46" s="248" t="s">
        <v>427</v>
      </c>
      <c r="C46" s="249">
        <f>ROUND((C33+C39)*F27,0)</f>
        <v>14467</v>
      </c>
      <c r="D46" s="263"/>
      <c r="E46" s="236"/>
      <c r="F46" s="246"/>
      <c r="G46" s="247"/>
    </row>
    <row r="47" spans="1:7" s="214" customFormat="1" ht="13.5" customHeight="1">
      <c r="A47" s="780" t="s">
        <v>347</v>
      </c>
      <c r="B47" s="248" t="s">
        <v>429</v>
      </c>
      <c r="C47" s="238">
        <f>ROUND(C40*F27,4)</f>
        <v>4.5999999999999999E-3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87560</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78804</v>
      </c>
      <c r="D51" s="232"/>
      <c r="E51" s="232"/>
      <c r="F51" s="264"/>
      <c r="G51" s="234" t="s">
        <v>37</v>
      </c>
    </row>
    <row r="52" spans="1:7" s="208" customFormat="1" ht="16.5" thickBot="1">
      <c r="A52" s="265" t="s">
        <v>38</v>
      </c>
      <c r="B52" s="266"/>
      <c r="C52" s="267">
        <f ca="1">C31+C51</f>
        <v>112374</v>
      </c>
      <c r="D52" s="266"/>
      <c r="E52" s="266"/>
      <c r="F52" s="266"/>
      <c r="G52" s="268"/>
    </row>
    <row r="55" spans="1:7" ht="15">
      <c r="B55" s="270" t="s">
        <v>39</v>
      </c>
      <c r="C55" s="271"/>
    </row>
    <row r="56" spans="1:7">
      <c r="B56" s="273" t="s">
        <v>40</v>
      </c>
      <c r="C56" s="274">
        <f ca="1">ROUND(C51/C52,3)</f>
        <v>0.70099999999999996</v>
      </c>
    </row>
    <row r="57" spans="1:7">
      <c r="B57" s="273" t="s">
        <v>41</v>
      </c>
      <c r="C57" s="275">
        <f ca="1">1-C56</f>
        <v>0.29900000000000004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42" t="s">
        <v>2831</v>
      </c>
      <c r="B1" s="3842"/>
      <c r="C1" s="3842"/>
      <c r="D1" s="3842"/>
      <c r="E1" s="3842"/>
      <c r="F1" s="3842"/>
      <c r="G1" s="3843"/>
      <c r="I1" s="3215" t="s">
        <v>2832</v>
      </c>
      <c r="J1" s="3216" t="s">
        <v>2833</v>
      </c>
      <c r="K1" s="3216" t="s">
        <v>2834</v>
      </c>
      <c r="L1" s="3216" t="s">
        <v>2835</v>
      </c>
      <c r="M1" s="3216" t="s">
        <v>2836</v>
      </c>
      <c r="N1" s="3216" t="s">
        <v>2837</v>
      </c>
      <c r="O1" s="3216" t="s">
        <v>2838</v>
      </c>
      <c r="P1" s="3216" t="s">
        <v>2839</v>
      </c>
      <c r="Q1" s="3216" t="s">
        <v>2840</v>
      </c>
      <c r="R1" s="3216" t="s">
        <v>2841</v>
      </c>
      <c r="S1" s="3216" t="s">
        <v>2842</v>
      </c>
      <c r="T1" s="3217" t="s">
        <v>2843</v>
      </c>
    </row>
    <row r="2" spans="1:20" ht="12" thickBot="1">
      <c r="A2" s="3219" t="s">
        <v>2844</v>
      </c>
      <c r="B2" s="3219"/>
      <c r="C2" s="3219"/>
      <c r="D2" s="3219"/>
      <c r="E2" s="3219"/>
      <c r="F2" s="3219"/>
      <c r="G2" s="3220" t="s">
        <v>2845</v>
      </c>
      <c r="I2" s="3221" t="s">
        <v>2846</v>
      </c>
      <c r="J2" s="3221" t="s">
        <v>2847</v>
      </c>
      <c r="K2" s="3221" t="s">
        <v>2848</v>
      </c>
      <c r="L2" s="3221" t="s">
        <v>2849</v>
      </c>
      <c r="M2" s="3221" t="s">
        <v>2850</v>
      </c>
      <c r="N2" s="3221" t="s">
        <v>2851</v>
      </c>
      <c r="O2" s="3221" t="s">
        <v>2852</v>
      </c>
      <c r="P2" s="3221" t="s">
        <v>2853</v>
      </c>
      <c r="Q2" s="3221" t="s">
        <v>2854</v>
      </c>
      <c r="R2" s="3221" t="s">
        <v>2855</v>
      </c>
      <c r="S2" s="3221" t="s">
        <v>2856</v>
      </c>
      <c r="T2" s="3221" t="s">
        <v>2857</v>
      </c>
    </row>
    <row r="3" spans="1:20" s="3227" customFormat="1">
      <c r="A3" s="3840" t="s">
        <v>2858</v>
      </c>
      <c r="B3" s="3222"/>
      <c r="C3" s="3223" t="s">
        <v>2801</v>
      </c>
      <c r="D3" s="3223" t="s">
        <v>2859</v>
      </c>
      <c r="E3" s="3223" t="s">
        <v>2803</v>
      </c>
      <c r="F3" s="3223" t="s">
        <v>2860</v>
      </c>
      <c r="G3" s="3223" t="s">
        <v>2621</v>
      </c>
      <c r="H3" s="3224"/>
      <c r="I3" s="3225" t="s">
        <v>2861</v>
      </c>
      <c r="J3" s="3226" t="s">
        <v>128</v>
      </c>
      <c r="K3" s="3226" t="s">
        <v>129</v>
      </c>
      <c r="L3" s="3225" t="s">
        <v>130</v>
      </c>
      <c r="M3" s="3225" t="s">
        <v>131</v>
      </c>
      <c r="N3" s="3225" t="s">
        <v>132</v>
      </c>
      <c r="O3" s="3225" t="s">
        <v>133</v>
      </c>
      <c r="P3" s="3225" t="s">
        <v>134</v>
      </c>
      <c r="Q3" s="3225" t="s">
        <v>135</v>
      </c>
      <c r="R3" s="3225" t="s">
        <v>136</v>
      </c>
      <c r="S3" s="3225" t="s">
        <v>2862</v>
      </c>
      <c r="T3" s="3225" t="s">
        <v>2863</v>
      </c>
    </row>
    <row r="4" spans="1:20" s="3227" customFormat="1" ht="12" thickBot="1">
      <c r="A4" s="3841"/>
      <c r="B4" s="3228" t="s">
        <v>2864</v>
      </c>
      <c r="C4" s="3228" t="s">
        <v>2865</v>
      </c>
      <c r="D4" s="3228" t="s">
        <v>2865</v>
      </c>
      <c r="E4" s="3228" t="s">
        <v>2865</v>
      </c>
      <c r="F4" s="3229" t="s">
        <v>2865</v>
      </c>
      <c r="G4" s="3229" t="s">
        <v>2865</v>
      </c>
      <c r="H4" s="3224"/>
      <c r="I4" s="3226" t="s">
        <v>137</v>
      </c>
      <c r="J4" s="3226" t="s">
        <v>111</v>
      </c>
      <c r="K4" s="3226" t="s">
        <v>138</v>
      </c>
      <c r="L4" s="3225" t="s">
        <v>139</v>
      </c>
      <c r="M4" s="3225" t="s">
        <v>140</v>
      </c>
      <c r="N4" s="3225" t="s">
        <v>141</v>
      </c>
      <c r="O4" s="3225" t="s">
        <v>142</v>
      </c>
      <c r="P4" s="3225" t="s">
        <v>143</v>
      </c>
      <c r="Q4" s="3225" t="s">
        <v>2866</v>
      </c>
      <c r="R4" s="3225" t="s">
        <v>2867</v>
      </c>
      <c r="S4" s="3225" t="s">
        <v>2868</v>
      </c>
      <c r="T4" s="3225" t="s">
        <v>2869</v>
      </c>
    </row>
    <row r="5" spans="1:20">
      <c r="A5" s="3230" t="s">
        <v>2832</v>
      </c>
      <c r="B5" s="3221" t="s">
        <v>2846</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2870</v>
      </c>
      <c r="R5" s="3225" t="s">
        <v>2871</v>
      </c>
      <c r="S5" s="3225" t="s">
        <v>153</v>
      </c>
      <c r="T5" s="3225" t="s">
        <v>2872</v>
      </c>
    </row>
    <row r="6" spans="1:20" ht="12" thickBot="1">
      <c r="A6" s="3225" t="s">
        <v>144</v>
      </c>
      <c r="B6" s="3225" t="s">
        <v>2861</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2873</v>
      </c>
      <c r="Q6" s="3225" t="s">
        <v>2874</v>
      </c>
      <c r="R6" s="3225" t="s">
        <v>161</v>
      </c>
      <c r="S6" s="3225" t="s">
        <v>2875</v>
      </c>
      <c r="T6" s="3225" t="s">
        <v>2876</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2877</v>
      </c>
      <c r="Q7" s="3225" t="s">
        <v>2878</v>
      </c>
      <c r="R7" s="3225" t="s">
        <v>2879</v>
      </c>
      <c r="S7" s="3225" t="s">
        <v>2880</v>
      </c>
      <c r="T7" s="3225" t="s">
        <v>2881</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2882</v>
      </c>
      <c r="Q8" s="3225" t="s">
        <v>174</v>
      </c>
      <c r="R8" s="3225" t="s">
        <v>2883</v>
      </c>
      <c r="S8" s="3225" t="s">
        <v>2884</v>
      </c>
      <c r="T8" s="3232" t="s">
        <v>2885</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2886</v>
      </c>
      <c r="Q9" s="3225" t="s">
        <v>182</v>
      </c>
      <c r="R9" s="3225" t="s">
        <v>183</v>
      </c>
      <c r="S9" s="3225" t="s">
        <v>200</v>
      </c>
    </row>
    <row r="10" spans="1:20">
      <c r="A10" s="3230" t="s">
        <v>184</v>
      </c>
      <c r="B10" s="3221" t="s">
        <v>2847</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2887</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2888</v>
      </c>
      <c r="P11" s="3225" t="s">
        <v>191</v>
      </c>
      <c r="Q11" s="3225" t="s">
        <v>199</v>
      </c>
      <c r="R11" s="3225" t="s">
        <v>2889</v>
      </c>
      <c r="S11" s="3225" t="s">
        <v>2890</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2891</v>
      </c>
      <c r="P12" s="3225" t="s">
        <v>2892</v>
      </c>
      <c r="Q12" s="3225" t="s">
        <v>2893</v>
      </c>
      <c r="R12" s="3225" t="s">
        <v>2894</v>
      </c>
      <c r="S12" s="3225" t="s">
        <v>2895</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2896</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2897</v>
      </c>
      <c r="K14" s="3226" t="s">
        <v>215</v>
      </c>
      <c r="L14" s="3225" t="s">
        <v>216</v>
      </c>
      <c r="M14" s="3225" t="s">
        <v>217</v>
      </c>
      <c r="N14" s="3225" t="s">
        <v>218</v>
      </c>
      <c r="O14" s="3225" t="s">
        <v>240</v>
      </c>
      <c r="P14" s="3225" t="s">
        <v>213</v>
      </c>
      <c r="Q14" s="3225" t="s">
        <v>2898</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2899</v>
      </c>
      <c r="P15" s="3225" t="s">
        <v>2900</v>
      </c>
      <c r="Q15" s="3225" t="s">
        <v>242</v>
      </c>
      <c r="R15" s="3225" t="s">
        <v>2901</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2902</v>
      </c>
      <c r="P16" s="3225" t="s">
        <v>227</v>
      </c>
      <c r="Q16" s="3225" t="s">
        <v>250</v>
      </c>
      <c r="R16" s="3225" t="s">
        <v>207</v>
      </c>
      <c r="S16" s="3225" t="s">
        <v>2903</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2904</v>
      </c>
      <c r="P17" s="3225" t="s">
        <v>2905</v>
      </c>
      <c r="Q17" s="3225" t="s">
        <v>256</v>
      </c>
      <c r="R17" s="3225" t="s">
        <v>2906</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2907</v>
      </c>
      <c r="P18" s="3225" t="s">
        <v>241</v>
      </c>
      <c r="Q18" s="3225" t="s">
        <v>2908</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2909</v>
      </c>
      <c r="P19" s="3225" t="s">
        <v>249</v>
      </c>
      <c r="Q19" s="3225" t="s">
        <v>2910</v>
      </c>
      <c r="R19" s="3225" t="s">
        <v>265</v>
      </c>
      <c r="S19" s="3225" t="s">
        <v>2911</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2912</v>
      </c>
      <c r="P20" s="3225" t="s">
        <v>2913</v>
      </c>
      <c r="Q20" s="3225" t="s">
        <v>290</v>
      </c>
      <c r="R20" s="3225" t="s">
        <v>2914</v>
      </c>
      <c r="S20" s="3225" t="s">
        <v>277</v>
      </c>
    </row>
    <row r="21" spans="1:19" ht="14.25" customHeight="1" thickBot="1">
      <c r="A21" s="3225" t="s">
        <v>184</v>
      </c>
      <c r="B21" s="3226" t="s">
        <v>208</v>
      </c>
      <c r="C21" s="3225">
        <v>32370</v>
      </c>
      <c r="D21" s="3225">
        <v>26730</v>
      </c>
      <c r="E21" s="3225">
        <v>26640</v>
      </c>
      <c r="F21" s="3225"/>
      <c r="G21" s="3225">
        <v>19440</v>
      </c>
      <c r="J21" s="3232" t="s">
        <v>2915</v>
      </c>
      <c r="K21" s="3226" t="s">
        <v>267</v>
      </c>
      <c r="L21" s="3225" t="s">
        <v>268</v>
      </c>
      <c r="M21" s="3225" t="s">
        <v>269</v>
      </c>
      <c r="N21" s="3225" t="s">
        <v>270</v>
      </c>
      <c r="O21" s="3225" t="s">
        <v>264</v>
      </c>
      <c r="P21" s="3225" t="s">
        <v>283</v>
      </c>
      <c r="Q21" s="3225" t="s">
        <v>293</v>
      </c>
      <c r="R21" s="3225" t="s">
        <v>2916</v>
      </c>
      <c r="S21" s="3232" t="s">
        <v>2917</v>
      </c>
    </row>
    <row r="22" spans="1:19" ht="14.25" customHeight="1">
      <c r="A22" s="3225" t="s">
        <v>184</v>
      </c>
      <c r="B22" s="3226" t="s">
        <v>2897</v>
      </c>
      <c r="C22" s="3225">
        <v>29830</v>
      </c>
      <c r="D22" s="3225">
        <v>27600</v>
      </c>
      <c r="E22" s="3225">
        <v>28150</v>
      </c>
      <c r="F22" s="3225"/>
      <c r="G22" s="3225">
        <v>20080</v>
      </c>
      <c r="K22" s="3226" t="s">
        <v>2918</v>
      </c>
      <c r="L22" s="3225" t="s">
        <v>272</v>
      </c>
      <c r="M22" s="3225" t="s">
        <v>273</v>
      </c>
      <c r="N22" s="3225" t="s">
        <v>274</v>
      </c>
      <c r="O22" s="3225" t="s">
        <v>2919</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2920</v>
      </c>
      <c r="L23" s="3225" t="s">
        <v>278</v>
      </c>
      <c r="M23" s="3225" t="s">
        <v>279</v>
      </c>
      <c r="N23" s="3225" t="s">
        <v>2921</v>
      </c>
      <c r="O23" s="3225" t="s">
        <v>2922</v>
      </c>
      <c r="P23" s="3225" t="s">
        <v>289</v>
      </c>
      <c r="Q23" s="3225" t="s">
        <v>298</v>
      </c>
      <c r="R23" s="3225" t="s">
        <v>2923</v>
      </c>
    </row>
    <row r="24" spans="1:19" ht="14.25" customHeight="1">
      <c r="A24" s="3225" t="s">
        <v>184</v>
      </c>
      <c r="B24" s="3226" t="s">
        <v>230</v>
      </c>
      <c r="C24" s="3225">
        <v>27930</v>
      </c>
      <c r="D24" s="3225">
        <v>32260</v>
      </c>
      <c r="E24" s="3225">
        <v>32120</v>
      </c>
      <c r="F24" s="3225"/>
      <c r="G24" s="3225">
        <v>23470</v>
      </c>
      <c r="K24" s="3226" t="s">
        <v>2924</v>
      </c>
      <c r="L24" s="3225" t="s">
        <v>281</v>
      </c>
      <c r="M24" s="3225" t="s">
        <v>282</v>
      </c>
      <c r="N24" s="3225" t="s">
        <v>2925</v>
      </c>
      <c r="O24" s="3225" t="s">
        <v>285</v>
      </c>
      <c r="P24" s="3225" t="s">
        <v>2926</v>
      </c>
      <c r="Q24" s="3234" t="s">
        <v>2927</v>
      </c>
      <c r="R24" s="3225" t="s">
        <v>2928</v>
      </c>
    </row>
    <row r="25" spans="1:19" ht="14.25" customHeight="1">
      <c r="A25" s="3225" t="s">
        <v>184</v>
      </c>
      <c r="B25" s="3226" t="s">
        <v>235</v>
      </c>
      <c r="C25" s="3225">
        <v>32230</v>
      </c>
      <c r="D25" s="3225">
        <v>29640</v>
      </c>
      <c r="E25" s="3225">
        <v>29510</v>
      </c>
      <c r="F25" s="3225"/>
      <c r="G25" s="3225">
        <v>21560</v>
      </c>
      <c r="K25" s="3226" t="s">
        <v>2929</v>
      </c>
      <c r="L25" s="3225" t="s">
        <v>2930</v>
      </c>
      <c r="M25" s="3225" t="s">
        <v>284</v>
      </c>
      <c r="N25" s="3225" t="s">
        <v>292</v>
      </c>
      <c r="O25" s="3225" t="s">
        <v>288</v>
      </c>
      <c r="P25" s="3225" t="s">
        <v>275</v>
      </c>
      <c r="Q25" s="3234" t="s">
        <v>271</v>
      </c>
      <c r="R25" s="3225" t="s">
        <v>2931</v>
      </c>
    </row>
    <row r="26" spans="1:19" ht="14.25" customHeight="1" thickBot="1">
      <c r="A26" s="3225" t="s">
        <v>184</v>
      </c>
      <c r="B26" s="3226" t="s">
        <v>244</v>
      </c>
      <c r="C26" s="3225">
        <v>31690</v>
      </c>
      <c r="D26" s="3225">
        <v>27650</v>
      </c>
      <c r="E26" s="3225">
        <v>28200</v>
      </c>
      <c r="F26" s="3225"/>
      <c r="G26" s="3225">
        <v>20110</v>
      </c>
      <c r="K26" s="3231" t="s">
        <v>2932</v>
      </c>
      <c r="L26" s="3225" t="s">
        <v>2933</v>
      </c>
      <c r="M26" s="3225" t="s">
        <v>287</v>
      </c>
      <c r="N26" s="3225" t="s">
        <v>294</v>
      </c>
      <c r="O26" s="3225" t="s">
        <v>2934</v>
      </c>
      <c r="P26" s="3225" t="s">
        <v>2935</v>
      </c>
      <c r="Q26" s="3234" t="s">
        <v>276</v>
      </c>
      <c r="R26" s="3225" t="s">
        <v>2936</v>
      </c>
    </row>
    <row r="27" spans="1:19" ht="14.25" customHeight="1">
      <c r="A27" s="3225" t="s">
        <v>184</v>
      </c>
      <c r="B27" s="3226" t="s">
        <v>251</v>
      </c>
      <c r="C27" s="3225">
        <v>29610</v>
      </c>
      <c r="D27" s="3225">
        <v>27770</v>
      </c>
      <c r="E27" s="3225">
        <v>28300</v>
      </c>
      <c r="F27" s="3225"/>
      <c r="G27" s="3225">
        <v>20210</v>
      </c>
      <c r="L27" s="3225" t="s">
        <v>2937</v>
      </c>
      <c r="M27" s="3225" t="s">
        <v>291</v>
      </c>
      <c r="N27" s="3225" t="s">
        <v>297</v>
      </c>
      <c r="O27" s="3225" t="s">
        <v>2938</v>
      </c>
      <c r="P27" s="3225" t="s">
        <v>2939</v>
      </c>
      <c r="Q27" s="3225" t="s">
        <v>2940</v>
      </c>
      <c r="R27" s="3225" t="s">
        <v>2941</v>
      </c>
    </row>
    <row r="28" spans="1:19" ht="14.25" customHeight="1">
      <c r="A28" s="3225" t="s">
        <v>184</v>
      </c>
      <c r="B28" s="3226" t="s">
        <v>259</v>
      </c>
      <c r="C28" s="3225"/>
      <c r="D28" s="3225">
        <v>31520</v>
      </c>
      <c r="E28" s="3225">
        <v>31410</v>
      </c>
      <c r="F28" s="3225"/>
      <c r="G28" s="3225">
        <v>22940</v>
      </c>
      <c r="L28" s="3225" t="s">
        <v>2942</v>
      </c>
      <c r="M28" s="3225" t="s">
        <v>2943</v>
      </c>
      <c r="N28" s="3225" t="s">
        <v>2944</v>
      </c>
      <c r="O28" s="3225" t="s">
        <v>2945</v>
      </c>
      <c r="P28" s="3225" t="s">
        <v>2946</v>
      </c>
      <c r="Q28" s="3225" t="s">
        <v>2947</v>
      </c>
      <c r="R28" s="3225" t="s">
        <v>2948</v>
      </c>
    </row>
    <row r="29" spans="1:19" ht="14.25" customHeight="1" thickBot="1">
      <c r="A29" s="3233" t="s">
        <v>184</v>
      </c>
      <c r="B29" s="3235" t="s">
        <v>2915</v>
      </c>
      <c r="C29" s="3236"/>
      <c r="D29" s="3236">
        <v>29460</v>
      </c>
      <c r="E29" s="3236">
        <v>28640</v>
      </c>
      <c r="F29" s="3236"/>
      <c r="G29" s="3236">
        <v>21430</v>
      </c>
      <c r="L29" s="3225" t="s">
        <v>2949</v>
      </c>
      <c r="M29" s="3225" t="s">
        <v>2950</v>
      </c>
      <c r="N29" s="3225" t="s">
        <v>2951</v>
      </c>
      <c r="O29" s="3225" t="s">
        <v>2952</v>
      </c>
      <c r="P29" s="3225" t="s">
        <v>2953</v>
      </c>
      <c r="Q29" s="3225" t="s">
        <v>2954</v>
      </c>
      <c r="R29" s="3225" t="s">
        <v>280</v>
      </c>
    </row>
    <row r="30" spans="1:19" ht="14.25" customHeight="1">
      <c r="A30" s="3230" t="s">
        <v>296</v>
      </c>
      <c r="B30" s="3221" t="s">
        <v>2848</v>
      </c>
      <c r="C30" s="3221">
        <v>26890</v>
      </c>
      <c r="D30" s="3221">
        <v>26770</v>
      </c>
      <c r="E30" s="3221">
        <v>25700</v>
      </c>
      <c r="F30" s="3221">
        <v>8180</v>
      </c>
      <c r="G30" s="3237">
        <v>18740</v>
      </c>
      <c r="L30" s="3225" t="s">
        <v>2955</v>
      </c>
      <c r="M30" s="3225" t="s">
        <v>2956</v>
      </c>
      <c r="N30" s="3225" t="s">
        <v>2957</v>
      </c>
      <c r="O30" s="3225" t="s">
        <v>2958</v>
      </c>
      <c r="P30" s="3225" t="s">
        <v>2959</v>
      </c>
      <c r="Q30" s="3225" t="s">
        <v>2960</v>
      </c>
      <c r="R30" s="3225" t="s">
        <v>2961</v>
      </c>
    </row>
    <row r="31" spans="1:19" ht="14.25" customHeight="1">
      <c r="A31" s="3225" t="s">
        <v>296</v>
      </c>
      <c r="B31" s="3226" t="s">
        <v>129</v>
      </c>
      <c r="C31" s="3225">
        <v>24550</v>
      </c>
      <c r="D31" s="3225">
        <v>23990</v>
      </c>
      <c r="E31" s="3225">
        <v>22930</v>
      </c>
      <c r="F31" s="3225">
        <v>7470</v>
      </c>
      <c r="G31" s="3238">
        <v>16790</v>
      </c>
      <c r="L31" s="3225" t="s">
        <v>2962</v>
      </c>
      <c r="M31" s="3225" t="s">
        <v>2963</v>
      </c>
      <c r="N31" s="3225" t="s">
        <v>2964</v>
      </c>
      <c r="O31" s="3225" t="s">
        <v>2965</v>
      </c>
      <c r="P31" s="3225" t="s">
        <v>2966</v>
      </c>
      <c r="Q31" s="3225" t="s">
        <v>2967</v>
      </c>
      <c r="R31" s="3225" t="s">
        <v>2968</v>
      </c>
    </row>
    <row r="32" spans="1:19" ht="14.25" customHeight="1" thickBot="1">
      <c r="A32" s="3225" t="s">
        <v>296</v>
      </c>
      <c r="B32" s="3226" t="s">
        <v>138</v>
      </c>
      <c r="C32" s="3225">
        <v>27210</v>
      </c>
      <c r="D32" s="3225">
        <v>23240</v>
      </c>
      <c r="E32" s="3225">
        <v>23260</v>
      </c>
      <c r="F32" s="3225">
        <v>7130</v>
      </c>
      <c r="G32" s="3238">
        <v>16270</v>
      </c>
      <c r="L32" s="3225" t="s">
        <v>2969</v>
      </c>
      <c r="M32" s="3225" t="s">
        <v>2970</v>
      </c>
      <c r="N32" s="3225" t="s">
        <v>300</v>
      </c>
      <c r="O32" s="3225" t="s">
        <v>2971</v>
      </c>
      <c r="P32" s="3225" t="s">
        <v>299</v>
      </c>
      <c r="Q32" s="3225" t="s">
        <v>2972</v>
      </c>
      <c r="R32" s="3232" t="s">
        <v>2973</v>
      </c>
    </row>
    <row r="33" spans="1:17" ht="14.25" customHeight="1" thickBot="1">
      <c r="A33" s="3225" t="s">
        <v>296</v>
      </c>
      <c r="B33" s="3226" t="s">
        <v>147</v>
      </c>
      <c r="C33" s="3225">
        <v>27300</v>
      </c>
      <c r="D33" s="3225">
        <v>22980</v>
      </c>
      <c r="E33" s="3225">
        <v>24260</v>
      </c>
      <c r="F33" s="3225">
        <v>5860</v>
      </c>
      <c r="G33" s="3238">
        <v>16090</v>
      </c>
      <c r="L33" s="3232" t="s">
        <v>2974</v>
      </c>
      <c r="M33" s="3225" t="s">
        <v>2975</v>
      </c>
      <c r="N33" s="3225" t="s">
        <v>301</v>
      </c>
      <c r="O33" s="3225" t="s">
        <v>2976</v>
      </c>
      <c r="P33" s="3225" t="s">
        <v>2977</v>
      </c>
      <c r="Q33" s="3225" t="s">
        <v>2978</v>
      </c>
    </row>
    <row r="34" spans="1:17" ht="14.25" customHeight="1">
      <c r="A34" s="3225" t="s">
        <v>296</v>
      </c>
      <c r="B34" s="3226" t="s">
        <v>156</v>
      </c>
      <c r="C34" s="3225">
        <v>23090</v>
      </c>
      <c r="D34" s="3225">
        <v>23390</v>
      </c>
      <c r="E34" s="3225">
        <v>23510</v>
      </c>
      <c r="F34" s="3225">
        <v>6700</v>
      </c>
      <c r="G34" s="3238">
        <v>16370</v>
      </c>
      <c r="M34" s="3225" t="s">
        <v>2979</v>
      </c>
      <c r="N34" s="3225" t="s">
        <v>302</v>
      </c>
      <c r="O34" s="3225" t="s">
        <v>2980</v>
      </c>
      <c r="P34" s="3225" t="s">
        <v>2981</v>
      </c>
      <c r="Q34" s="3225" t="s">
        <v>2982</v>
      </c>
    </row>
    <row r="35" spans="1:17" ht="14.25" customHeight="1">
      <c r="A35" s="3225" t="s">
        <v>296</v>
      </c>
      <c r="B35" s="3226" t="s">
        <v>163</v>
      </c>
      <c r="C35" s="3225">
        <v>27270</v>
      </c>
      <c r="D35" s="3225">
        <v>24270</v>
      </c>
      <c r="E35" s="3225">
        <v>24950</v>
      </c>
      <c r="F35" s="3225">
        <v>6600</v>
      </c>
      <c r="G35" s="3238">
        <v>16990</v>
      </c>
      <c r="M35" s="3225" t="s">
        <v>2983</v>
      </c>
      <c r="N35" s="3225" t="s">
        <v>2984</v>
      </c>
      <c r="O35" s="3225" t="s">
        <v>2985</v>
      </c>
      <c r="P35" s="3225" t="s">
        <v>2986</v>
      </c>
      <c r="Q35" s="3225" t="s">
        <v>2987</v>
      </c>
    </row>
    <row r="36" spans="1:17" ht="14.25" customHeight="1">
      <c r="A36" s="3225" t="s">
        <v>296</v>
      </c>
      <c r="B36" s="3226" t="s">
        <v>169</v>
      </c>
      <c r="C36" s="3225">
        <v>23490</v>
      </c>
      <c r="D36" s="3225">
        <v>23020</v>
      </c>
      <c r="E36" s="3225">
        <v>25230</v>
      </c>
      <c r="F36" s="3225">
        <v>6780</v>
      </c>
      <c r="G36" s="3238">
        <v>16120</v>
      </c>
      <c r="M36" s="3225" t="s">
        <v>2988</v>
      </c>
      <c r="N36" s="3225" t="s">
        <v>2989</v>
      </c>
      <c r="O36" s="3225" t="s">
        <v>2990</v>
      </c>
      <c r="P36" s="3225" t="s">
        <v>2991</v>
      </c>
      <c r="Q36" s="3225" t="s">
        <v>2992</v>
      </c>
    </row>
    <row r="37" spans="1:17" ht="14.25" customHeight="1">
      <c r="A37" s="3225" t="s">
        <v>296</v>
      </c>
      <c r="B37" s="3226" t="s">
        <v>176</v>
      </c>
      <c r="C37" s="3225">
        <v>24380</v>
      </c>
      <c r="D37" s="3225">
        <v>22240</v>
      </c>
      <c r="E37" s="3225">
        <v>25980</v>
      </c>
      <c r="F37" s="3225">
        <v>8160</v>
      </c>
      <c r="G37" s="3238">
        <v>15570</v>
      </c>
      <c r="M37" s="3225" t="s">
        <v>2993</v>
      </c>
      <c r="N37" s="3225" t="s">
        <v>2994</v>
      </c>
      <c r="O37" s="3225" t="s">
        <v>2995</v>
      </c>
      <c r="P37" s="3225" t="s">
        <v>2996</v>
      </c>
      <c r="Q37" s="3225" t="s">
        <v>2997</v>
      </c>
    </row>
    <row r="38" spans="1:17" ht="14.25" customHeight="1">
      <c r="A38" s="3225" t="s">
        <v>296</v>
      </c>
      <c r="B38" s="3226" t="s">
        <v>186</v>
      </c>
      <c r="C38" s="3225">
        <v>23120</v>
      </c>
      <c r="D38" s="3225">
        <v>24630</v>
      </c>
      <c r="E38" s="3225">
        <v>25030</v>
      </c>
      <c r="F38" s="3225">
        <v>7710</v>
      </c>
      <c r="G38" s="3238">
        <v>17240</v>
      </c>
      <c r="M38" s="3225" t="s">
        <v>2998</v>
      </c>
      <c r="N38" s="3225" t="s">
        <v>2999</v>
      </c>
      <c r="O38" s="3225" t="s">
        <v>3000</v>
      </c>
      <c r="P38" s="3225" t="s">
        <v>3001</v>
      </c>
      <c r="Q38" s="3225" t="s">
        <v>3002</v>
      </c>
    </row>
    <row r="39" spans="1:17" ht="14.25" customHeight="1">
      <c r="A39" s="3225" t="s">
        <v>296</v>
      </c>
      <c r="B39" s="3226" t="s">
        <v>195</v>
      </c>
      <c r="C39" s="3225">
        <v>22330</v>
      </c>
      <c r="D39" s="3225">
        <v>21140</v>
      </c>
      <c r="E39" s="3225">
        <v>23970</v>
      </c>
      <c r="F39" s="3225">
        <v>7940</v>
      </c>
      <c r="G39" s="3238">
        <v>14790</v>
      </c>
      <c r="M39" s="3225" t="s">
        <v>3003</v>
      </c>
      <c r="N39" s="3225" t="s">
        <v>3004</v>
      </c>
      <c r="O39" s="3225" t="s">
        <v>3005</v>
      </c>
      <c r="P39" s="3225" t="s">
        <v>3006</v>
      </c>
      <c r="Q39" s="3225" t="s">
        <v>3007</v>
      </c>
    </row>
    <row r="40" spans="1:17" ht="14.25" customHeight="1">
      <c r="A40" s="3225" t="s">
        <v>296</v>
      </c>
      <c r="B40" s="3226" t="s">
        <v>202</v>
      </c>
      <c r="C40" s="3225">
        <v>24740</v>
      </c>
      <c r="D40" s="3225">
        <v>24690</v>
      </c>
      <c r="E40" s="3225">
        <v>22610</v>
      </c>
      <c r="F40" s="3225"/>
      <c r="G40" s="3238">
        <v>17280</v>
      </c>
      <c r="M40" s="3225" t="s">
        <v>3008</v>
      </c>
      <c r="N40" s="3225" t="s">
        <v>3009</v>
      </c>
      <c r="O40" s="3225" t="s">
        <v>3010</v>
      </c>
      <c r="P40" s="3225" t="s">
        <v>3011</v>
      </c>
      <c r="Q40" s="3225" t="s">
        <v>3012</v>
      </c>
    </row>
    <row r="41" spans="1:17" ht="14.25" customHeight="1" thickBot="1">
      <c r="A41" s="3225" t="s">
        <v>296</v>
      </c>
      <c r="B41" s="3226" t="s">
        <v>209</v>
      </c>
      <c r="C41" s="3225">
        <v>21220</v>
      </c>
      <c r="D41" s="3225">
        <v>21120</v>
      </c>
      <c r="E41" s="3225">
        <v>22590</v>
      </c>
      <c r="F41" s="3225"/>
      <c r="G41" s="3238">
        <v>14780</v>
      </c>
      <c r="M41" s="3232" t="s">
        <v>3013</v>
      </c>
      <c r="N41" s="3225" t="s">
        <v>3014</v>
      </c>
      <c r="O41" s="3225" t="s">
        <v>3015</v>
      </c>
      <c r="P41" s="3225" t="s">
        <v>3016</v>
      </c>
      <c r="Q41" s="3225" t="s">
        <v>3017</v>
      </c>
    </row>
    <row r="42" spans="1:17" ht="14.25" customHeight="1">
      <c r="A42" s="3225" t="s">
        <v>296</v>
      </c>
      <c r="B42" s="3226" t="s">
        <v>215</v>
      </c>
      <c r="C42" s="3225">
        <v>24800</v>
      </c>
      <c r="D42" s="3225">
        <v>22280</v>
      </c>
      <c r="E42" s="3225">
        <v>24350</v>
      </c>
      <c r="F42" s="3225"/>
      <c r="G42" s="3238">
        <v>15590</v>
      </c>
      <c r="N42" s="3225" t="s">
        <v>3018</v>
      </c>
      <c r="O42" s="3225" t="s">
        <v>3019</v>
      </c>
      <c r="P42" s="3225" t="s">
        <v>3020</v>
      </c>
      <c r="Q42" s="3225" t="s">
        <v>3021</v>
      </c>
    </row>
    <row r="43" spans="1:17" ht="14.25" customHeight="1">
      <c r="A43" s="3225" t="s">
        <v>3022</v>
      </c>
      <c r="B43" s="3226" t="s">
        <v>223</v>
      </c>
      <c r="C43" s="3225">
        <v>21210</v>
      </c>
      <c r="D43" s="3225">
        <v>21160</v>
      </c>
      <c r="E43" s="3225">
        <v>22650</v>
      </c>
      <c r="F43" s="3225"/>
      <c r="G43" s="3238">
        <v>14800</v>
      </c>
      <c r="N43" s="3225" t="s">
        <v>3023</v>
      </c>
      <c r="O43" s="3225" t="s">
        <v>3024</v>
      </c>
      <c r="P43" s="3225" t="s">
        <v>3025</v>
      </c>
      <c r="Q43" s="3225" t="s">
        <v>3026</v>
      </c>
    </row>
    <row r="44" spans="1:17" ht="14.25" customHeight="1" thickBot="1">
      <c r="A44" s="3225" t="s">
        <v>296</v>
      </c>
      <c r="B44" s="3226" t="s">
        <v>231</v>
      </c>
      <c r="C44" s="3225">
        <v>22370</v>
      </c>
      <c r="D44" s="3225">
        <v>23140</v>
      </c>
      <c r="E44" s="3225">
        <v>25090</v>
      </c>
      <c r="F44" s="3225"/>
      <c r="G44" s="3238">
        <v>16190</v>
      </c>
      <c r="N44" s="3225" t="s">
        <v>3027</v>
      </c>
      <c r="O44" s="3225" t="s">
        <v>3028</v>
      </c>
      <c r="P44" s="3232" t="s">
        <v>3029</v>
      </c>
      <c r="Q44" s="3225" t="s">
        <v>3030</v>
      </c>
    </row>
    <row r="45" spans="1:17" ht="14.25" customHeight="1" thickBot="1">
      <c r="A45" s="3225" t="s">
        <v>296</v>
      </c>
      <c r="B45" s="3226" t="s">
        <v>236</v>
      </c>
      <c r="C45" s="3225">
        <v>21240</v>
      </c>
      <c r="D45" s="3225">
        <v>27050</v>
      </c>
      <c r="E45" s="3225">
        <v>28000</v>
      </c>
      <c r="F45" s="3225"/>
      <c r="G45" s="3238">
        <v>18940</v>
      </c>
      <c r="N45" s="3225" t="s">
        <v>3031</v>
      </c>
      <c r="O45" s="3232" t="s">
        <v>3032</v>
      </c>
      <c r="Q45" s="3225" t="s">
        <v>3033</v>
      </c>
    </row>
    <row r="46" spans="1:17" ht="14.25" customHeight="1">
      <c r="A46" s="3225" t="s">
        <v>296</v>
      </c>
      <c r="B46" s="3226" t="s">
        <v>245</v>
      </c>
      <c r="C46" s="3225">
        <v>23240</v>
      </c>
      <c r="D46" s="3225">
        <v>23000</v>
      </c>
      <c r="E46" s="3225">
        <v>24980</v>
      </c>
      <c r="F46" s="3225"/>
      <c r="G46" s="3238">
        <v>16100</v>
      </c>
      <c r="N46" s="3225" t="s">
        <v>3034</v>
      </c>
      <c r="Q46" s="3225" t="s">
        <v>3035</v>
      </c>
    </row>
    <row r="47" spans="1:17" ht="14.25" customHeight="1">
      <c r="A47" s="3225" t="s">
        <v>296</v>
      </c>
      <c r="B47" s="3226" t="s">
        <v>252</v>
      </c>
      <c r="C47" s="3225">
        <v>27150</v>
      </c>
      <c r="D47" s="3225">
        <v>23310</v>
      </c>
      <c r="E47" s="3225">
        <v>25150</v>
      </c>
      <c r="F47" s="3225"/>
      <c r="G47" s="3238">
        <v>16310</v>
      </c>
      <c r="N47" s="3225" t="s">
        <v>3036</v>
      </c>
      <c r="Q47" s="3225" t="s">
        <v>3037</v>
      </c>
    </row>
    <row r="48" spans="1:17" ht="14.25" customHeight="1">
      <c r="A48" s="3225" t="s">
        <v>296</v>
      </c>
      <c r="B48" s="3226" t="s">
        <v>260</v>
      </c>
      <c r="C48" s="3225">
        <v>23100</v>
      </c>
      <c r="D48" s="3225">
        <v>21110</v>
      </c>
      <c r="E48" s="3225">
        <v>23080</v>
      </c>
      <c r="F48" s="3225"/>
      <c r="G48" s="3238">
        <v>14780</v>
      </c>
      <c r="N48" s="3225" t="s">
        <v>3038</v>
      </c>
      <c r="Q48" s="3225" t="s">
        <v>3039</v>
      </c>
    </row>
    <row r="49" spans="1:17" ht="14.25" customHeight="1">
      <c r="A49" s="3225" t="s">
        <v>296</v>
      </c>
      <c r="B49" s="3226" t="s">
        <v>267</v>
      </c>
      <c r="C49" s="3225">
        <v>23400</v>
      </c>
      <c r="D49" s="3225">
        <v>22920</v>
      </c>
      <c r="E49" s="3225">
        <v>24900</v>
      </c>
      <c r="F49" s="3225"/>
      <c r="G49" s="3238">
        <v>16040</v>
      </c>
      <c r="N49" s="3225" t="s">
        <v>3040</v>
      </c>
      <c r="Q49" s="3225" t="s">
        <v>3041</v>
      </c>
    </row>
    <row r="50" spans="1:17" ht="14.25" customHeight="1">
      <c r="A50" s="3225" t="s">
        <v>296</v>
      </c>
      <c r="B50" s="3226" t="s">
        <v>2918</v>
      </c>
      <c r="C50" s="3225">
        <v>21200</v>
      </c>
      <c r="D50" s="3225">
        <v>26540</v>
      </c>
      <c r="E50" s="3225">
        <v>23200</v>
      </c>
      <c r="F50" s="3225"/>
      <c r="G50" s="3238">
        <v>18580</v>
      </c>
      <c r="N50" s="3225" t="s">
        <v>3042</v>
      </c>
      <c r="Q50" s="3226" t="s">
        <v>3043</v>
      </c>
    </row>
    <row r="51" spans="1:17" ht="14.25" customHeight="1" thickBot="1">
      <c r="A51" s="3225" t="s">
        <v>296</v>
      </c>
      <c r="B51" s="3226" t="s">
        <v>2920</v>
      </c>
      <c r="C51" s="3225">
        <v>23000</v>
      </c>
      <c r="D51" s="3225">
        <v>23460</v>
      </c>
      <c r="E51" s="3225">
        <v>25290</v>
      </c>
      <c r="F51" s="3225"/>
      <c r="G51" s="3238">
        <v>16420</v>
      </c>
      <c r="N51" s="3225" t="s">
        <v>3044</v>
      </c>
      <c r="Q51" s="3232" t="s">
        <v>3045</v>
      </c>
    </row>
    <row r="52" spans="1:17" ht="14.25" customHeight="1">
      <c r="A52" s="3225" t="s">
        <v>296</v>
      </c>
      <c r="B52" s="3226" t="s">
        <v>2924</v>
      </c>
      <c r="C52" s="3225">
        <v>26660</v>
      </c>
      <c r="D52" s="3225">
        <v>22350</v>
      </c>
      <c r="E52" s="3225">
        <v>22920</v>
      </c>
      <c r="F52" s="3225"/>
      <c r="G52" s="3238">
        <v>15640</v>
      </c>
      <c r="N52" s="3225" t="s">
        <v>3046</v>
      </c>
    </row>
    <row r="53" spans="1:17" ht="14.25" customHeight="1">
      <c r="A53" s="3225" t="s">
        <v>296</v>
      </c>
      <c r="B53" s="3226" t="s">
        <v>2929</v>
      </c>
      <c r="C53" s="3225">
        <v>23580</v>
      </c>
      <c r="D53" s="3225"/>
      <c r="E53" s="3225">
        <v>24280</v>
      </c>
      <c r="F53" s="3225"/>
      <c r="G53" s="3238"/>
      <c r="N53" s="3225" t="s">
        <v>3047</v>
      </c>
    </row>
    <row r="54" spans="1:17" ht="14.25" customHeight="1" thickBot="1">
      <c r="A54" s="3239" t="s">
        <v>296</v>
      </c>
      <c r="B54" s="3231" t="s">
        <v>2932</v>
      </c>
      <c r="C54" s="3232">
        <v>22460</v>
      </c>
      <c r="D54" s="3232"/>
      <c r="E54" s="3232"/>
      <c r="F54" s="3232"/>
      <c r="G54" s="3240"/>
      <c r="N54" s="3225" t="s">
        <v>3048</v>
      </c>
    </row>
    <row r="55" spans="1:17" ht="14.25" customHeight="1">
      <c r="A55" s="3230" t="s">
        <v>110</v>
      </c>
      <c r="B55" s="3221" t="s">
        <v>3049</v>
      </c>
      <c r="C55" s="3225">
        <v>21970</v>
      </c>
      <c r="D55" s="3225">
        <v>20370</v>
      </c>
      <c r="E55" s="3225">
        <v>20180</v>
      </c>
      <c r="F55" s="3225">
        <v>5730</v>
      </c>
      <c r="G55" s="3225">
        <v>13820</v>
      </c>
      <c r="N55" s="3225" t="s">
        <v>3050</v>
      </c>
    </row>
    <row r="56" spans="1:17" ht="14.25" customHeight="1">
      <c r="A56" s="3225" t="s">
        <v>110</v>
      </c>
      <c r="B56" s="3225" t="s">
        <v>130</v>
      </c>
      <c r="C56" s="3225">
        <v>20470</v>
      </c>
      <c r="D56" s="3225">
        <v>20700</v>
      </c>
      <c r="E56" s="3225">
        <v>20380</v>
      </c>
      <c r="F56" s="3225">
        <v>4760</v>
      </c>
      <c r="G56" s="3225">
        <v>14050</v>
      </c>
      <c r="N56" s="3225" t="s">
        <v>3051</v>
      </c>
    </row>
    <row r="57" spans="1:17" ht="14.25" customHeight="1">
      <c r="A57" s="3225" t="s">
        <v>110</v>
      </c>
      <c r="B57" s="3225" t="s">
        <v>139</v>
      </c>
      <c r="C57" s="3225">
        <v>20790</v>
      </c>
      <c r="D57" s="3225">
        <v>21370</v>
      </c>
      <c r="E57" s="3225">
        <v>20890</v>
      </c>
      <c r="F57" s="3225">
        <v>4910</v>
      </c>
      <c r="G57" s="3225">
        <v>14510</v>
      </c>
      <c r="N57" s="3225" t="s">
        <v>3052</v>
      </c>
    </row>
    <row r="58" spans="1:17" ht="14.25" customHeight="1">
      <c r="A58" s="3225" t="s">
        <v>110</v>
      </c>
      <c r="B58" s="3225" t="s">
        <v>148</v>
      </c>
      <c r="C58" s="3225">
        <v>21460</v>
      </c>
      <c r="D58" s="3225">
        <v>20920</v>
      </c>
      <c r="E58" s="3225">
        <v>23410</v>
      </c>
      <c r="F58" s="3225">
        <v>5100</v>
      </c>
      <c r="G58" s="3225">
        <v>14200</v>
      </c>
      <c r="N58" s="3225" t="s">
        <v>3053</v>
      </c>
    </row>
    <row r="59" spans="1:17" ht="14.25" customHeight="1">
      <c r="A59" s="3225" t="s">
        <v>110</v>
      </c>
      <c r="B59" s="3225" t="s">
        <v>157</v>
      </c>
      <c r="C59" s="3225">
        <v>21000</v>
      </c>
      <c r="D59" s="3225">
        <v>21550</v>
      </c>
      <c r="E59" s="3225">
        <v>21150</v>
      </c>
      <c r="F59" s="3225">
        <v>5250</v>
      </c>
      <c r="G59" s="3225">
        <v>14630</v>
      </c>
      <c r="N59" s="3225" t="s">
        <v>3054</v>
      </c>
    </row>
    <row r="60" spans="1:17" ht="14.25" customHeight="1">
      <c r="A60" s="3225" t="s">
        <v>110</v>
      </c>
      <c r="B60" s="3225" t="s">
        <v>164</v>
      </c>
      <c r="C60" s="3225">
        <v>21640</v>
      </c>
      <c r="D60" s="3225">
        <v>21260</v>
      </c>
      <c r="E60" s="3225">
        <v>24040</v>
      </c>
      <c r="F60" s="3225">
        <v>4470</v>
      </c>
      <c r="G60" s="3225">
        <v>14430</v>
      </c>
      <c r="N60" s="3225" t="s">
        <v>3055</v>
      </c>
    </row>
    <row r="61" spans="1:17" ht="14.25" customHeight="1">
      <c r="A61" s="3225" t="s">
        <v>110</v>
      </c>
      <c r="B61" s="3225" t="s">
        <v>170</v>
      </c>
      <c r="C61" s="3225">
        <v>21330</v>
      </c>
      <c r="D61" s="3225">
        <v>18640</v>
      </c>
      <c r="E61" s="3225">
        <v>21190</v>
      </c>
      <c r="F61" s="3225">
        <v>4180</v>
      </c>
      <c r="G61" s="3225">
        <v>12650</v>
      </c>
      <c r="N61" s="3225" t="s">
        <v>3056</v>
      </c>
    </row>
    <row r="62" spans="1:17" ht="14.25" customHeight="1">
      <c r="A62" s="3225" t="s">
        <v>110</v>
      </c>
      <c r="B62" s="3225" t="s">
        <v>177</v>
      </c>
      <c r="C62" s="3225">
        <v>18710</v>
      </c>
      <c r="D62" s="3225">
        <v>19400</v>
      </c>
      <c r="E62" s="3225">
        <v>23750</v>
      </c>
      <c r="F62" s="3225">
        <v>4860</v>
      </c>
      <c r="G62" s="3225">
        <v>13170</v>
      </c>
      <c r="N62" s="3225" t="s">
        <v>3057</v>
      </c>
    </row>
    <row r="63" spans="1:17" ht="14.25" customHeight="1">
      <c r="A63" s="3225" t="s">
        <v>110</v>
      </c>
      <c r="B63" s="3225" t="s">
        <v>187</v>
      </c>
      <c r="C63" s="3225">
        <v>19480</v>
      </c>
      <c r="D63" s="3225">
        <v>16830</v>
      </c>
      <c r="E63" s="3225">
        <v>21590</v>
      </c>
      <c r="F63" s="3225">
        <v>4560</v>
      </c>
      <c r="G63" s="3225">
        <v>11420</v>
      </c>
      <c r="N63" s="3225" t="s">
        <v>3058</v>
      </c>
    </row>
    <row r="64" spans="1:17" ht="14.25" customHeight="1" thickBot="1">
      <c r="A64" s="3225" t="s">
        <v>110</v>
      </c>
      <c r="B64" s="3225" t="s">
        <v>196</v>
      </c>
      <c r="C64" s="3225">
        <v>16920</v>
      </c>
      <c r="D64" s="3225">
        <v>19190</v>
      </c>
      <c r="E64" s="3225">
        <v>22200</v>
      </c>
      <c r="F64" s="3225">
        <v>4390</v>
      </c>
      <c r="G64" s="3225">
        <v>13030</v>
      </c>
      <c r="N64" s="3232" t="s">
        <v>3059</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2930</v>
      </c>
      <c r="C78" s="3225">
        <v>19820</v>
      </c>
      <c r="D78" s="3225">
        <v>19780</v>
      </c>
      <c r="E78" s="3225">
        <v>18560</v>
      </c>
      <c r="F78" s="3225"/>
      <c r="G78" s="3225">
        <v>13430</v>
      </c>
    </row>
    <row r="79" spans="1:7" s="3214" customFormat="1" ht="14.25" customHeight="1">
      <c r="A79" s="3225" t="s">
        <v>110</v>
      </c>
      <c r="B79" s="3225" t="s">
        <v>2933</v>
      </c>
      <c r="C79" s="3225">
        <v>21660</v>
      </c>
      <c r="D79" s="3225">
        <v>18000</v>
      </c>
      <c r="E79" s="3225">
        <v>22570</v>
      </c>
      <c r="F79" s="3225"/>
      <c r="G79" s="3225">
        <v>12220</v>
      </c>
    </row>
    <row r="80" spans="1:7" s="3214" customFormat="1" ht="14.25" customHeight="1">
      <c r="A80" s="3225" t="s">
        <v>110</v>
      </c>
      <c r="B80" s="3225" t="s">
        <v>2937</v>
      </c>
      <c r="C80" s="3225">
        <v>19850</v>
      </c>
      <c r="D80" s="3225"/>
      <c r="E80" s="3225">
        <v>21700</v>
      </c>
      <c r="F80" s="3225"/>
      <c r="G80" s="3225"/>
    </row>
    <row r="81" spans="1:7" s="3214" customFormat="1" ht="14.25" customHeight="1">
      <c r="A81" s="3225" t="s">
        <v>110</v>
      </c>
      <c r="B81" s="3225" t="s">
        <v>2942</v>
      </c>
      <c r="C81" s="3225">
        <v>18080</v>
      </c>
      <c r="D81" s="3225"/>
      <c r="E81" s="3225">
        <v>20900</v>
      </c>
      <c r="F81" s="3225"/>
      <c r="G81" s="3225"/>
    </row>
    <row r="82" spans="1:7" s="3214" customFormat="1" ht="14.25" customHeight="1">
      <c r="A82" s="3225" t="s">
        <v>110</v>
      </c>
      <c r="B82" s="3225" t="s">
        <v>2949</v>
      </c>
      <c r="C82" s="3225"/>
      <c r="D82" s="3225"/>
      <c r="E82" s="3225">
        <v>20840</v>
      </c>
      <c r="F82" s="3225"/>
      <c r="G82" s="3225"/>
    </row>
    <row r="83" spans="1:7" s="3214" customFormat="1" ht="14.25" customHeight="1">
      <c r="A83" s="3225" t="s">
        <v>110</v>
      </c>
      <c r="B83" s="3225" t="s">
        <v>3060</v>
      </c>
      <c r="C83" s="3225"/>
      <c r="D83" s="3225"/>
      <c r="E83" s="3225"/>
      <c r="F83" s="3225">
        <v>4770</v>
      </c>
      <c r="G83" s="3225"/>
    </row>
    <row r="84" spans="1:7" s="3214" customFormat="1" ht="14.25" customHeight="1">
      <c r="A84" s="3225" t="s">
        <v>110</v>
      </c>
      <c r="B84" s="3225" t="s">
        <v>3061</v>
      </c>
      <c r="C84" s="3225"/>
      <c r="D84" s="3225"/>
      <c r="E84" s="3225"/>
      <c r="F84" s="3225">
        <v>4600</v>
      </c>
      <c r="G84" s="3225"/>
    </row>
    <row r="85" spans="1:7" s="3214" customFormat="1" ht="14.25" customHeight="1">
      <c r="A85" s="3225" t="s">
        <v>110</v>
      </c>
      <c r="B85" s="3225" t="s">
        <v>3062</v>
      </c>
      <c r="C85" s="3225"/>
      <c r="D85" s="3225"/>
      <c r="E85" s="3225"/>
      <c r="F85" s="3225">
        <v>4680</v>
      </c>
      <c r="G85" s="3225"/>
    </row>
    <row r="86" spans="1:7" s="3214" customFormat="1" ht="14.25" customHeight="1" thickBot="1">
      <c r="A86" s="3233" t="s">
        <v>110</v>
      </c>
      <c r="B86" s="3235" t="s">
        <v>3063</v>
      </c>
      <c r="C86" s="3236">
        <v>16610</v>
      </c>
      <c r="D86" s="3236">
        <v>16540</v>
      </c>
      <c r="E86" s="3236">
        <v>18850</v>
      </c>
      <c r="F86" s="3236"/>
      <c r="G86" s="3236">
        <v>11220</v>
      </c>
    </row>
    <row r="87" spans="1:7" s="3214" customFormat="1" ht="14.25" customHeight="1">
      <c r="A87" s="3230" t="s">
        <v>303</v>
      </c>
      <c r="B87" s="3221" t="s">
        <v>3064</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2943</v>
      </c>
      <c r="C113" s="3225">
        <v>15520</v>
      </c>
      <c r="D113" s="3225">
        <v>15450</v>
      </c>
      <c r="E113" s="3225"/>
      <c r="F113" s="3225"/>
      <c r="G113" s="3238">
        <v>10210</v>
      </c>
    </row>
    <row r="114" spans="1:7" s="3214" customFormat="1" ht="14.25" customHeight="1">
      <c r="A114" s="3225" t="s">
        <v>303</v>
      </c>
      <c r="B114" s="3225" t="s">
        <v>2950</v>
      </c>
      <c r="C114" s="3225">
        <v>13110</v>
      </c>
      <c r="D114" s="3225">
        <v>13050</v>
      </c>
      <c r="E114" s="3225"/>
      <c r="F114" s="3225"/>
      <c r="G114" s="3238">
        <v>8620</v>
      </c>
    </row>
    <row r="115" spans="1:7" s="3214" customFormat="1" ht="14.25" customHeight="1">
      <c r="A115" s="3225" t="s">
        <v>303</v>
      </c>
      <c r="B115" s="3225" t="s">
        <v>2956</v>
      </c>
      <c r="C115" s="3225">
        <v>12460</v>
      </c>
      <c r="D115" s="3225">
        <v>12390</v>
      </c>
      <c r="E115" s="3225"/>
      <c r="F115" s="3225"/>
      <c r="G115" s="3238">
        <v>8190</v>
      </c>
    </row>
    <row r="116" spans="1:7" s="3214" customFormat="1" ht="14.25" customHeight="1">
      <c r="A116" s="3225" t="s">
        <v>303</v>
      </c>
      <c r="B116" s="3225" t="s">
        <v>2963</v>
      </c>
      <c r="C116" s="3225">
        <v>13580</v>
      </c>
      <c r="D116" s="3225">
        <v>13520</v>
      </c>
      <c r="E116" s="3225"/>
      <c r="F116" s="3225"/>
      <c r="G116" s="3238">
        <v>8930</v>
      </c>
    </row>
    <row r="117" spans="1:7" s="3214" customFormat="1" ht="14.25" customHeight="1">
      <c r="A117" s="3225" t="s">
        <v>303</v>
      </c>
      <c r="B117" s="3225" t="s">
        <v>2970</v>
      </c>
      <c r="C117" s="3225">
        <v>17120</v>
      </c>
      <c r="D117" s="3225">
        <v>17040</v>
      </c>
      <c r="E117" s="3225"/>
      <c r="F117" s="3225"/>
      <c r="G117" s="3238">
        <v>11260</v>
      </c>
    </row>
    <row r="118" spans="1:7" s="3214" customFormat="1" ht="14.25" customHeight="1">
      <c r="A118" s="3225" t="s">
        <v>303</v>
      </c>
      <c r="B118" s="3225" t="s">
        <v>2975</v>
      </c>
      <c r="C118" s="3225">
        <v>14860</v>
      </c>
      <c r="D118" s="3225">
        <v>14790</v>
      </c>
      <c r="E118" s="3225"/>
      <c r="F118" s="3225"/>
      <c r="G118" s="3238">
        <v>9780</v>
      </c>
    </row>
    <row r="119" spans="1:7" s="3214" customFormat="1" ht="14.25" customHeight="1">
      <c r="A119" s="3225" t="s">
        <v>303</v>
      </c>
      <c r="B119" s="3225" t="s">
        <v>2979</v>
      </c>
      <c r="C119" s="3225">
        <v>16470</v>
      </c>
      <c r="D119" s="3225">
        <v>16400</v>
      </c>
      <c r="E119" s="3225"/>
      <c r="F119" s="3225"/>
      <c r="G119" s="3238">
        <v>10840</v>
      </c>
    </row>
    <row r="120" spans="1:7" s="3214" customFormat="1" ht="14.25" customHeight="1">
      <c r="A120" s="3225" t="s">
        <v>303</v>
      </c>
      <c r="B120" s="3225" t="s">
        <v>3065</v>
      </c>
      <c r="C120" s="3225"/>
      <c r="D120" s="3225"/>
      <c r="E120" s="3225"/>
      <c r="F120" s="3225">
        <v>4160</v>
      </c>
      <c r="G120" s="3238"/>
    </row>
    <row r="121" spans="1:7" s="3214" customFormat="1" ht="14.25" customHeight="1">
      <c r="A121" s="3225" t="s">
        <v>303</v>
      </c>
      <c r="B121" s="3225" t="s">
        <v>3066</v>
      </c>
      <c r="C121" s="3225"/>
      <c r="D121" s="3225"/>
      <c r="E121" s="3225"/>
      <c r="F121" s="3225">
        <v>3880</v>
      </c>
      <c r="G121" s="3238"/>
    </row>
    <row r="122" spans="1:7" s="3214" customFormat="1" ht="14.25" customHeight="1">
      <c r="A122" s="3225" t="s">
        <v>303</v>
      </c>
      <c r="B122" s="3225" t="s">
        <v>3067</v>
      </c>
      <c r="C122" s="3225">
        <v>13750</v>
      </c>
      <c r="D122" s="3225">
        <v>13680</v>
      </c>
      <c r="E122" s="3225">
        <v>16460</v>
      </c>
      <c r="F122" s="3225">
        <v>2880</v>
      </c>
      <c r="G122" s="3238">
        <v>9040</v>
      </c>
    </row>
    <row r="123" spans="1:7" s="3214" customFormat="1" ht="14.25" customHeight="1">
      <c r="A123" s="3225" t="s">
        <v>303</v>
      </c>
      <c r="B123" s="3225" t="s">
        <v>2998</v>
      </c>
      <c r="C123" s="3225">
        <v>13590</v>
      </c>
      <c r="D123" s="3225">
        <v>13520</v>
      </c>
      <c r="E123" s="3225">
        <v>16290</v>
      </c>
      <c r="F123" s="3225">
        <v>2790</v>
      </c>
      <c r="G123" s="3238">
        <v>8930</v>
      </c>
    </row>
    <row r="124" spans="1:7" s="3214" customFormat="1" ht="14.25" customHeight="1">
      <c r="A124" s="3225" t="s">
        <v>303</v>
      </c>
      <c r="B124" s="3225" t="s">
        <v>3003</v>
      </c>
      <c r="C124" s="3225">
        <v>13400</v>
      </c>
      <c r="D124" s="3225">
        <v>13320</v>
      </c>
      <c r="E124" s="3225">
        <v>16100</v>
      </c>
      <c r="F124" s="3225">
        <v>2320</v>
      </c>
      <c r="G124" s="3238">
        <v>8800</v>
      </c>
    </row>
    <row r="125" spans="1:7" s="3214" customFormat="1" ht="14.25" customHeight="1">
      <c r="A125" s="3225" t="s">
        <v>303</v>
      </c>
      <c r="B125" s="3225" t="s">
        <v>3008</v>
      </c>
      <c r="C125" s="3225">
        <v>12860</v>
      </c>
      <c r="D125" s="3225">
        <v>12790</v>
      </c>
      <c r="E125" s="3225">
        <v>15370</v>
      </c>
      <c r="F125" s="3225">
        <v>2280</v>
      </c>
      <c r="G125" s="3238">
        <v>8450</v>
      </c>
    </row>
    <row r="126" spans="1:7" s="3214" customFormat="1" ht="14.25" customHeight="1" thickBot="1">
      <c r="A126" s="3239" t="s">
        <v>303</v>
      </c>
      <c r="B126" s="3232" t="s">
        <v>3013</v>
      </c>
      <c r="C126" s="3232">
        <v>12960</v>
      </c>
      <c r="D126" s="3232">
        <v>12890</v>
      </c>
      <c r="E126" s="3232">
        <v>15530</v>
      </c>
      <c r="F126" s="3232">
        <v>2910</v>
      </c>
      <c r="G126" s="3240">
        <v>8520</v>
      </c>
    </row>
    <row r="127" spans="1:7" s="3214" customFormat="1" ht="14.25" customHeight="1">
      <c r="A127" s="3230" t="s">
        <v>29</v>
      </c>
      <c r="B127" s="3221" t="s">
        <v>3068</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3069</v>
      </c>
      <c r="C148" s="3225">
        <v>10370</v>
      </c>
      <c r="D148" s="3225">
        <v>10310</v>
      </c>
      <c r="E148" s="3225">
        <v>12970</v>
      </c>
      <c r="F148" s="3225"/>
      <c r="G148" s="3225">
        <v>6630</v>
      </c>
    </row>
    <row r="149" spans="1:7" s="3214" customFormat="1" ht="14.25" customHeight="1">
      <c r="A149" s="3225" t="s">
        <v>29</v>
      </c>
      <c r="B149" s="3225" t="s">
        <v>3070</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2944</v>
      </c>
      <c r="C153" s="3225">
        <v>10880</v>
      </c>
      <c r="D153" s="3225">
        <v>10820</v>
      </c>
      <c r="E153" s="3225">
        <v>13660</v>
      </c>
      <c r="F153" s="3225">
        <v>2260</v>
      </c>
      <c r="G153" s="3225">
        <v>6970</v>
      </c>
    </row>
    <row r="154" spans="1:7" s="3214" customFormat="1" ht="14.25" customHeight="1">
      <c r="A154" s="3225" t="s">
        <v>29</v>
      </c>
      <c r="B154" s="3225" t="s">
        <v>3071</v>
      </c>
      <c r="C154" s="3225">
        <v>11220</v>
      </c>
      <c r="D154" s="3225">
        <v>11160</v>
      </c>
      <c r="E154" s="3225">
        <v>14130</v>
      </c>
      <c r="F154" s="3225">
        <v>2230</v>
      </c>
      <c r="G154" s="3225">
        <v>7180</v>
      </c>
    </row>
    <row r="155" spans="1:7" s="3214" customFormat="1" ht="14.25" customHeight="1">
      <c r="A155" s="3225" t="s">
        <v>29</v>
      </c>
      <c r="B155" s="3225" t="s">
        <v>2957</v>
      </c>
      <c r="C155" s="3225">
        <v>10430</v>
      </c>
      <c r="D155" s="3225">
        <v>10380</v>
      </c>
      <c r="E155" s="3225">
        <v>13140</v>
      </c>
      <c r="F155" s="3225">
        <v>2080</v>
      </c>
      <c r="G155" s="3225">
        <v>6650</v>
      </c>
    </row>
    <row r="156" spans="1:7" s="3214" customFormat="1" ht="14.25" customHeight="1">
      <c r="A156" s="3225" t="s">
        <v>29</v>
      </c>
      <c r="B156" s="3225" t="s">
        <v>3072</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3073</v>
      </c>
      <c r="C160" s="3225">
        <v>11180</v>
      </c>
      <c r="D160" s="3225">
        <v>11140</v>
      </c>
      <c r="E160" s="3225">
        <v>14050</v>
      </c>
      <c r="F160" s="3225">
        <v>2270</v>
      </c>
      <c r="G160" s="3225">
        <v>7170</v>
      </c>
    </row>
    <row r="161" spans="1:7" s="3214" customFormat="1" ht="14.25" customHeight="1">
      <c r="A161" s="3225" t="s">
        <v>29</v>
      </c>
      <c r="B161" s="3225" t="s">
        <v>2989</v>
      </c>
      <c r="C161" s="3225">
        <v>11160</v>
      </c>
      <c r="D161" s="3225">
        <v>11120</v>
      </c>
      <c r="E161" s="3225">
        <v>14020</v>
      </c>
      <c r="F161" s="3225">
        <v>2150</v>
      </c>
      <c r="G161" s="3225">
        <v>7160</v>
      </c>
    </row>
    <row r="162" spans="1:7" s="3214" customFormat="1" ht="14.25" customHeight="1">
      <c r="A162" s="3225" t="s">
        <v>29</v>
      </c>
      <c r="B162" s="3225" t="s">
        <v>2994</v>
      </c>
      <c r="C162" s="3225">
        <v>9620</v>
      </c>
      <c r="D162" s="3225">
        <v>9570</v>
      </c>
      <c r="E162" s="3225">
        <v>12320</v>
      </c>
      <c r="F162" s="3225">
        <v>2010</v>
      </c>
      <c r="G162" s="3225">
        <v>6160</v>
      </c>
    </row>
    <row r="163" spans="1:7" s="3214" customFormat="1" ht="14.25" customHeight="1">
      <c r="A163" s="3225" t="s">
        <v>29</v>
      </c>
      <c r="B163" s="3225" t="s">
        <v>2999</v>
      </c>
      <c r="C163" s="3225">
        <v>9320</v>
      </c>
      <c r="D163" s="3225">
        <v>9270</v>
      </c>
      <c r="E163" s="3225">
        <v>11790</v>
      </c>
      <c r="F163" s="3225">
        <v>1920</v>
      </c>
      <c r="G163" s="3225">
        <v>5960</v>
      </c>
    </row>
    <row r="164" spans="1:7" s="3214" customFormat="1" ht="14.25" customHeight="1">
      <c r="A164" s="3225" t="s">
        <v>29</v>
      </c>
      <c r="B164" s="3225" t="s">
        <v>3004</v>
      </c>
      <c r="C164" s="3225"/>
      <c r="D164" s="3225"/>
      <c r="E164" s="3225"/>
      <c r="F164" s="3225">
        <v>1980</v>
      </c>
      <c r="G164" s="3225"/>
    </row>
    <row r="165" spans="1:7" s="3214" customFormat="1" ht="14.25" customHeight="1">
      <c r="A165" s="3225" t="s">
        <v>29</v>
      </c>
      <c r="B165" s="3225" t="s">
        <v>3074</v>
      </c>
      <c r="C165" s="3225">
        <v>11060</v>
      </c>
      <c r="D165" s="3225">
        <v>11030</v>
      </c>
      <c r="E165" s="3225">
        <v>13850</v>
      </c>
      <c r="F165" s="3225">
        <v>2170</v>
      </c>
      <c r="G165" s="3225">
        <v>7090</v>
      </c>
    </row>
    <row r="166" spans="1:7" s="3214" customFormat="1" ht="14.25" customHeight="1">
      <c r="A166" s="3225" t="s">
        <v>29</v>
      </c>
      <c r="B166" s="3225" t="s">
        <v>3014</v>
      </c>
      <c r="C166" s="3225">
        <v>11050</v>
      </c>
      <c r="D166" s="3225">
        <v>11010</v>
      </c>
      <c r="E166" s="3225">
        <v>13920</v>
      </c>
      <c r="F166" s="3225">
        <v>2140</v>
      </c>
      <c r="G166" s="3225">
        <v>7080</v>
      </c>
    </row>
    <row r="167" spans="1:7" s="3214" customFormat="1" ht="14.25" customHeight="1">
      <c r="A167" s="3225" t="s">
        <v>29</v>
      </c>
      <c r="B167" s="3225" t="s">
        <v>3018</v>
      </c>
      <c r="C167" s="3225">
        <v>10930</v>
      </c>
      <c r="D167" s="3225">
        <v>10890</v>
      </c>
      <c r="E167" s="3225">
        <v>13790</v>
      </c>
      <c r="F167" s="3225">
        <v>2010</v>
      </c>
      <c r="G167" s="3225">
        <v>7000</v>
      </c>
    </row>
    <row r="168" spans="1:7" s="3214" customFormat="1" ht="14.25" customHeight="1">
      <c r="A168" s="3225" t="s">
        <v>29</v>
      </c>
      <c r="B168" s="3225" t="s">
        <v>3023</v>
      </c>
      <c r="C168" s="3225">
        <v>9420</v>
      </c>
      <c r="D168" s="3225">
        <v>9380</v>
      </c>
      <c r="E168" s="3225">
        <v>11970</v>
      </c>
      <c r="F168" s="3225"/>
      <c r="G168" s="3225">
        <v>6040</v>
      </c>
    </row>
    <row r="169" spans="1:7" s="3214" customFormat="1" ht="14.25" customHeight="1">
      <c r="A169" s="3225" t="s">
        <v>29</v>
      </c>
      <c r="B169" s="3225" t="s">
        <v>3075</v>
      </c>
      <c r="C169" s="3225"/>
      <c r="D169" s="3225"/>
      <c r="E169" s="3225"/>
      <c r="F169" s="3225">
        <v>2880</v>
      </c>
      <c r="G169" s="3225"/>
    </row>
    <row r="170" spans="1:7" s="3214" customFormat="1" ht="14.25" customHeight="1">
      <c r="A170" s="3225" t="s">
        <v>29</v>
      </c>
      <c r="B170" s="3225" t="s">
        <v>3031</v>
      </c>
      <c r="C170" s="3225"/>
      <c r="D170" s="3225"/>
      <c r="E170" s="3225"/>
      <c r="F170" s="3225">
        <v>2880</v>
      </c>
      <c r="G170" s="3225"/>
    </row>
    <row r="171" spans="1:7" s="3214" customFormat="1" ht="14.25" customHeight="1">
      <c r="A171" s="3225" t="s">
        <v>29</v>
      </c>
      <c r="B171" s="3225" t="s">
        <v>3034</v>
      </c>
      <c r="C171" s="3225"/>
      <c r="D171" s="3225"/>
      <c r="E171" s="3225"/>
      <c r="F171" s="3225">
        <v>2880</v>
      </c>
      <c r="G171" s="3225"/>
    </row>
    <row r="172" spans="1:7" s="3214" customFormat="1" ht="14.25" customHeight="1">
      <c r="A172" s="3225" t="s">
        <v>29</v>
      </c>
      <c r="B172" s="3225" t="s">
        <v>3036</v>
      </c>
      <c r="C172" s="3225"/>
      <c r="D172" s="3225"/>
      <c r="E172" s="3225"/>
      <c r="F172" s="3225">
        <v>2880</v>
      </c>
      <c r="G172" s="3225"/>
    </row>
    <row r="173" spans="1:7" s="3214" customFormat="1" ht="14.25" customHeight="1">
      <c r="A173" s="3225" t="s">
        <v>29</v>
      </c>
      <c r="B173" s="3225" t="s">
        <v>3038</v>
      </c>
      <c r="C173" s="3225"/>
      <c r="D173" s="3225"/>
      <c r="E173" s="3225"/>
      <c r="F173" s="3225">
        <v>2150</v>
      </c>
      <c r="G173" s="3225"/>
    </row>
    <row r="174" spans="1:7" s="3214" customFormat="1" ht="14.25" customHeight="1">
      <c r="A174" s="3225" t="s">
        <v>29</v>
      </c>
      <c r="B174" s="3225" t="s">
        <v>3040</v>
      </c>
      <c r="C174" s="3225"/>
      <c r="D174" s="3225"/>
      <c r="E174" s="3225"/>
      <c r="F174" s="3225">
        <v>2030</v>
      </c>
      <c r="G174" s="3225"/>
    </row>
    <row r="175" spans="1:7" s="3214" customFormat="1" ht="14.25" customHeight="1">
      <c r="A175" s="3225" t="s">
        <v>29</v>
      </c>
      <c r="B175" s="3225" t="s">
        <v>3042</v>
      </c>
      <c r="C175" s="3225"/>
      <c r="D175" s="3225"/>
      <c r="E175" s="3225"/>
      <c r="F175" s="3225">
        <v>2780</v>
      </c>
      <c r="G175" s="3225"/>
    </row>
    <row r="176" spans="1:7" s="3214" customFormat="1" ht="14.25" customHeight="1">
      <c r="A176" s="3225" t="s">
        <v>29</v>
      </c>
      <c r="B176" s="3225" t="s">
        <v>3044</v>
      </c>
      <c r="C176" s="3225"/>
      <c r="D176" s="3225"/>
      <c r="E176" s="3225"/>
      <c r="F176" s="3225">
        <v>2780</v>
      </c>
      <c r="G176" s="3225"/>
    </row>
    <row r="177" spans="1:7" s="3214" customFormat="1" ht="14.25" customHeight="1">
      <c r="A177" s="3225" t="s">
        <v>29</v>
      </c>
      <c r="B177" s="3225" t="s">
        <v>3076</v>
      </c>
      <c r="C177" s="3225"/>
      <c r="D177" s="3225"/>
      <c r="E177" s="3225"/>
      <c r="F177" s="3225">
        <v>2780</v>
      </c>
      <c r="G177" s="3225"/>
    </row>
    <row r="178" spans="1:7" s="3214" customFormat="1" ht="14.25" customHeight="1">
      <c r="A178" s="3225" t="s">
        <v>29</v>
      </c>
      <c r="B178" s="3225" t="s">
        <v>3077</v>
      </c>
      <c r="C178" s="3225"/>
      <c r="D178" s="3225"/>
      <c r="E178" s="3225"/>
      <c r="F178" s="3225">
        <v>2060</v>
      </c>
      <c r="G178" s="3225"/>
    </row>
    <row r="179" spans="1:7" s="3214" customFormat="1" ht="14.25" customHeight="1">
      <c r="A179" s="3225" t="s">
        <v>29</v>
      </c>
      <c r="B179" s="3225" t="s">
        <v>3078</v>
      </c>
      <c r="C179" s="3225"/>
      <c r="D179" s="3225"/>
      <c r="E179" s="3225"/>
      <c r="F179" s="3225">
        <v>2120</v>
      </c>
      <c r="G179" s="3225"/>
    </row>
    <row r="180" spans="1:7" s="3214" customFormat="1" ht="14.25" customHeight="1">
      <c r="A180" s="3225" t="s">
        <v>29</v>
      </c>
      <c r="B180" s="3225" t="s">
        <v>3050</v>
      </c>
      <c r="C180" s="3225"/>
      <c r="D180" s="3225"/>
      <c r="E180" s="3225"/>
      <c r="F180" s="3225">
        <v>2340</v>
      </c>
      <c r="G180" s="3225"/>
    </row>
    <row r="181" spans="1:7" s="3214" customFormat="1" ht="14.25" customHeight="1">
      <c r="A181" s="3225" t="s">
        <v>29</v>
      </c>
      <c r="B181" s="3225" t="s">
        <v>3051</v>
      </c>
      <c r="C181" s="3225"/>
      <c r="D181" s="3225"/>
      <c r="E181" s="3225"/>
      <c r="F181" s="3225">
        <v>2340</v>
      </c>
      <c r="G181" s="3225"/>
    </row>
    <row r="182" spans="1:7" s="3214" customFormat="1" ht="14.25" customHeight="1">
      <c r="A182" s="3225" t="s">
        <v>29</v>
      </c>
      <c r="B182" s="3225" t="s">
        <v>3052</v>
      </c>
      <c r="C182" s="3225"/>
      <c r="D182" s="3225"/>
      <c r="E182" s="3225"/>
      <c r="F182" s="3225">
        <v>2340</v>
      </c>
      <c r="G182" s="3225"/>
    </row>
    <row r="183" spans="1:7" s="3214" customFormat="1" ht="14.25" customHeight="1">
      <c r="A183" s="3225" t="s">
        <v>29</v>
      </c>
      <c r="B183" s="3225" t="s">
        <v>3053</v>
      </c>
      <c r="C183" s="3225"/>
      <c r="D183" s="3225"/>
      <c r="E183" s="3225"/>
      <c r="F183" s="3225">
        <v>2340</v>
      </c>
      <c r="G183" s="3225"/>
    </row>
    <row r="184" spans="1:7" s="3214" customFormat="1" ht="14.25" customHeight="1">
      <c r="A184" s="3225" t="s">
        <v>29</v>
      </c>
      <c r="B184" s="3225" t="s">
        <v>3054</v>
      </c>
      <c r="C184" s="3225"/>
      <c r="D184" s="3225"/>
      <c r="E184" s="3225"/>
      <c r="F184" s="3225">
        <v>2340</v>
      </c>
      <c r="G184" s="3225"/>
    </row>
    <row r="185" spans="1:7" s="3214" customFormat="1" ht="14.25" customHeight="1">
      <c r="A185" s="3225" t="s">
        <v>29</v>
      </c>
      <c r="B185" s="3225" t="s">
        <v>3055</v>
      </c>
      <c r="C185" s="3225"/>
      <c r="D185" s="3225"/>
      <c r="E185" s="3225"/>
      <c r="F185" s="3225">
        <v>2530</v>
      </c>
      <c r="G185" s="3225"/>
    </row>
    <row r="186" spans="1:7" s="3214" customFormat="1" ht="14.25" customHeight="1">
      <c r="A186" s="3225" t="s">
        <v>29</v>
      </c>
      <c r="B186" s="3225" t="s">
        <v>3056</v>
      </c>
      <c r="C186" s="3225"/>
      <c r="D186" s="3225"/>
      <c r="E186" s="3225"/>
      <c r="F186" s="3225">
        <v>2550</v>
      </c>
      <c r="G186" s="3225"/>
    </row>
    <row r="187" spans="1:7" s="3214" customFormat="1" ht="14.25" customHeight="1">
      <c r="A187" s="3225" t="s">
        <v>29</v>
      </c>
      <c r="B187" s="3225" t="s">
        <v>3057</v>
      </c>
      <c r="C187" s="3225"/>
      <c r="D187" s="3225"/>
      <c r="E187" s="3225"/>
      <c r="F187" s="3225">
        <v>2070</v>
      </c>
      <c r="G187" s="3225"/>
    </row>
    <row r="188" spans="1:7" s="3214" customFormat="1" ht="14.25" customHeight="1">
      <c r="A188" s="3225" t="s">
        <v>29</v>
      </c>
      <c r="B188" s="3225" t="s">
        <v>3058</v>
      </c>
      <c r="C188" s="3225"/>
      <c r="D188" s="3225"/>
      <c r="E188" s="3225"/>
      <c r="F188" s="3225">
        <v>2340</v>
      </c>
      <c r="G188" s="3225"/>
    </row>
    <row r="189" spans="1:7" s="3214" customFormat="1" ht="14.25" customHeight="1" thickBot="1">
      <c r="A189" s="3233" t="s">
        <v>29</v>
      </c>
      <c r="B189" s="3236" t="s">
        <v>3059</v>
      </c>
      <c r="C189" s="3236"/>
      <c r="D189" s="3236"/>
      <c r="E189" s="3236"/>
      <c r="F189" s="3236">
        <v>2050</v>
      </c>
      <c r="G189" s="3236"/>
    </row>
    <row r="190" spans="1:7" s="3214" customFormat="1" ht="14.25" customHeight="1">
      <c r="A190" s="3230" t="s">
        <v>304</v>
      </c>
      <c r="B190" s="3221" t="s">
        <v>3079</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3080</v>
      </c>
      <c r="C199" s="3225">
        <v>8690</v>
      </c>
      <c r="D199" s="3225">
        <v>8630</v>
      </c>
      <c r="E199" s="3225">
        <v>11350</v>
      </c>
      <c r="F199" s="3225">
        <v>1600</v>
      </c>
      <c r="G199" s="3238">
        <v>5450</v>
      </c>
    </row>
    <row r="200" spans="1:7" s="3214" customFormat="1" ht="14.25" customHeight="1">
      <c r="A200" s="3225" t="s">
        <v>304</v>
      </c>
      <c r="B200" s="3225" t="s">
        <v>2891</v>
      </c>
      <c r="C200" s="3225"/>
      <c r="D200" s="3225"/>
      <c r="E200" s="3225"/>
      <c r="F200" s="3225">
        <v>1510</v>
      </c>
      <c r="G200" s="3238"/>
    </row>
    <row r="201" spans="1:7" s="3214" customFormat="1" ht="14.25" customHeight="1">
      <c r="A201" s="3225" t="s">
        <v>304</v>
      </c>
      <c r="B201" s="3225" t="s">
        <v>3081</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3082</v>
      </c>
      <c r="C203" s="3225">
        <v>8130</v>
      </c>
      <c r="D203" s="3225">
        <v>8070</v>
      </c>
      <c r="E203" s="3225">
        <v>10820</v>
      </c>
      <c r="F203" s="3225">
        <v>1690</v>
      </c>
      <c r="G203" s="3238">
        <v>5100</v>
      </c>
    </row>
    <row r="204" spans="1:7" s="3214" customFormat="1" ht="14.25" customHeight="1">
      <c r="A204" s="3225" t="s">
        <v>304</v>
      </c>
      <c r="B204" s="3225" t="s">
        <v>2902</v>
      </c>
      <c r="C204" s="3225">
        <v>8350</v>
      </c>
      <c r="D204" s="3225">
        <v>8290</v>
      </c>
      <c r="E204" s="3225">
        <v>11080</v>
      </c>
      <c r="F204" s="3225">
        <v>1450</v>
      </c>
      <c r="G204" s="3238">
        <v>5240</v>
      </c>
    </row>
    <row r="205" spans="1:7" s="3214" customFormat="1" ht="14.25" customHeight="1">
      <c r="A205" s="3225" t="s">
        <v>304</v>
      </c>
      <c r="B205" s="3225" t="s">
        <v>2904</v>
      </c>
      <c r="C205" s="3225">
        <v>7190</v>
      </c>
      <c r="D205" s="3225">
        <v>7130</v>
      </c>
      <c r="E205" s="3225">
        <v>9490</v>
      </c>
      <c r="F205" s="3225">
        <v>1470</v>
      </c>
      <c r="G205" s="3238">
        <v>4510</v>
      </c>
    </row>
    <row r="206" spans="1:7" s="3214" customFormat="1" ht="14.25" customHeight="1">
      <c r="A206" s="3225" t="s">
        <v>304</v>
      </c>
      <c r="B206" s="3225" t="s">
        <v>2907</v>
      </c>
      <c r="C206" s="3225">
        <v>7000</v>
      </c>
      <c r="D206" s="3225">
        <v>6950</v>
      </c>
      <c r="E206" s="3225">
        <v>9170</v>
      </c>
      <c r="F206" s="3225">
        <v>1400</v>
      </c>
      <c r="G206" s="3238">
        <v>4380</v>
      </c>
    </row>
    <row r="207" spans="1:7" s="3214" customFormat="1" ht="14.25" customHeight="1">
      <c r="A207" s="3225" t="s">
        <v>304</v>
      </c>
      <c r="B207" s="3225" t="s">
        <v>2909</v>
      </c>
      <c r="C207" s="3225">
        <v>6950</v>
      </c>
      <c r="D207" s="3225">
        <v>6900</v>
      </c>
      <c r="E207" s="3225">
        <v>9110</v>
      </c>
      <c r="F207" s="3225">
        <v>1790</v>
      </c>
      <c r="G207" s="3238">
        <v>4360</v>
      </c>
    </row>
    <row r="208" spans="1:7" s="3214" customFormat="1" ht="14.25" customHeight="1">
      <c r="A208" s="3225" t="s">
        <v>304</v>
      </c>
      <c r="B208" s="3225" t="s">
        <v>3083</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2919</v>
      </c>
      <c r="C210" s="3225">
        <v>8710</v>
      </c>
      <c r="D210" s="3225">
        <v>8660</v>
      </c>
      <c r="E210" s="3225">
        <v>11440</v>
      </c>
      <c r="F210" s="3225">
        <v>1740</v>
      </c>
      <c r="G210" s="3238">
        <v>5470</v>
      </c>
    </row>
    <row r="211" spans="1:7" s="3214" customFormat="1" ht="14.25" customHeight="1">
      <c r="A211" s="3225" t="s">
        <v>304</v>
      </c>
      <c r="B211" s="3225" t="s">
        <v>3084</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3085</v>
      </c>
      <c r="C214" s="3225">
        <v>8090</v>
      </c>
      <c r="D214" s="3225">
        <v>8030</v>
      </c>
      <c r="E214" s="3225">
        <v>10780</v>
      </c>
      <c r="F214" s="3225">
        <v>1570</v>
      </c>
      <c r="G214" s="3238">
        <v>5070</v>
      </c>
    </row>
    <row r="215" spans="1:7" s="3214" customFormat="1" ht="14.25" customHeight="1">
      <c r="A215" s="3225" t="s">
        <v>304</v>
      </c>
      <c r="B215" s="3225" t="s">
        <v>3086</v>
      </c>
      <c r="C215" s="3225">
        <v>7950</v>
      </c>
      <c r="D215" s="3225">
        <v>7900</v>
      </c>
      <c r="E215" s="3225">
        <v>10560</v>
      </c>
      <c r="F215" s="3225">
        <v>1630</v>
      </c>
      <c r="G215" s="3238">
        <v>4990</v>
      </c>
    </row>
    <row r="216" spans="1:7" s="3214" customFormat="1" ht="14.25" customHeight="1">
      <c r="A216" s="3225" t="s">
        <v>304</v>
      </c>
      <c r="B216" s="3225" t="s">
        <v>3087</v>
      </c>
      <c r="C216" s="3225">
        <v>8490</v>
      </c>
      <c r="D216" s="3225">
        <v>8440</v>
      </c>
      <c r="E216" s="3225">
        <v>11260</v>
      </c>
      <c r="F216" s="3225">
        <v>1690</v>
      </c>
      <c r="G216" s="3238">
        <v>5330</v>
      </c>
    </row>
    <row r="217" spans="1:7" s="3214" customFormat="1" ht="14.25" customHeight="1">
      <c r="A217" s="3225" t="s">
        <v>304</v>
      </c>
      <c r="B217" s="3225" t="s">
        <v>2952</v>
      </c>
      <c r="C217" s="3225">
        <v>8200</v>
      </c>
      <c r="D217" s="3225">
        <v>8150</v>
      </c>
      <c r="E217" s="3225">
        <v>10910</v>
      </c>
      <c r="F217" s="3225">
        <v>1670</v>
      </c>
      <c r="G217" s="3238">
        <v>5150</v>
      </c>
    </row>
    <row r="218" spans="1:7" s="3214" customFormat="1" ht="14.25" customHeight="1">
      <c r="A218" s="3225" t="s">
        <v>304</v>
      </c>
      <c r="B218" s="3225" t="s">
        <v>3088</v>
      </c>
      <c r="C218" s="3225"/>
      <c r="D218" s="3225"/>
      <c r="E218" s="3225"/>
      <c r="F218" s="3225">
        <v>2040</v>
      </c>
      <c r="G218" s="3238"/>
    </row>
    <row r="219" spans="1:7" s="3214" customFormat="1" ht="14.25" customHeight="1">
      <c r="A219" s="3225" t="s">
        <v>304</v>
      </c>
      <c r="B219" s="3225" t="s">
        <v>3089</v>
      </c>
      <c r="C219" s="3225"/>
      <c r="D219" s="3225"/>
      <c r="E219" s="3225"/>
      <c r="F219" s="3225">
        <v>2040</v>
      </c>
      <c r="G219" s="3238"/>
    </row>
    <row r="220" spans="1:7" s="3214" customFormat="1" ht="14.25" customHeight="1">
      <c r="A220" s="3225" t="s">
        <v>304</v>
      </c>
      <c r="B220" s="3225" t="s">
        <v>3090</v>
      </c>
      <c r="C220" s="3225"/>
      <c r="D220" s="3225"/>
      <c r="E220" s="3225"/>
      <c r="F220" s="3225">
        <v>2040</v>
      </c>
      <c r="G220" s="3238"/>
    </row>
    <row r="221" spans="1:7" s="3214" customFormat="1" ht="14.25" customHeight="1">
      <c r="A221" s="3225" t="s">
        <v>304</v>
      </c>
      <c r="B221" s="3225" t="s">
        <v>3091</v>
      </c>
      <c r="C221" s="3225"/>
      <c r="D221" s="3225"/>
      <c r="E221" s="3225"/>
      <c r="F221" s="3225">
        <v>2040</v>
      </c>
      <c r="G221" s="3238"/>
    </row>
    <row r="222" spans="1:7" s="3214" customFormat="1" ht="14.25" customHeight="1">
      <c r="A222" s="3225" t="s">
        <v>304</v>
      </c>
      <c r="B222" s="3225" t="s">
        <v>3092</v>
      </c>
      <c r="C222" s="3225"/>
      <c r="D222" s="3225"/>
      <c r="E222" s="3225"/>
      <c r="F222" s="3225">
        <v>2040</v>
      </c>
      <c r="G222" s="3238"/>
    </row>
    <row r="223" spans="1:7" s="3214" customFormat="1" ht="14.25" customHeight="1">
      <c r="A223" s="3225" t="s">
        <v>304</v>
      </c>
      <c r="B223" s="3225" t="s">
        <v>3093</v>
      </c>
      <c r="C223" s="3225"/>
      <c r="D223" s="3225"/>
      <c r="E223" s="3225"/>
      <c r="F223" s="3225">
        <v>1930</v>
      </c>
      <c r="G223" s="3238"/>
    </row>
    <row r="224" spans="1:7" s="3214" customFormat="1" ht="14.25" customHeight="1">
      <c r="A224" s="3225" t="s">
        <v>304</v>
      </c>
      <c r="B224" s="3225" t="s">
        <v>3094</v>
      </c>
      <c r="C224" s="3225"/>
      <c r="D224" s="3225"/>
      <c r="E224" s="3225"/>
      <c r="F224" s="3225">
        <v>1930</v>
      </c>
      <c r="G224" s="3238"/>
    </row>
    <row r="225" spans="1:7" s="3214" customFormat="1" ht="14.25" customHeight="1">
      <c r="A225" s="3225" t="s">
        <v>304</v>
      </c>
      <c r="B225" s="3225" t="s">
        <v>3095</v>
      </c>
      <c r="C225" s="3225"/>
      <c r="D225" s="3225"/>
      <c r="E225" s="3225"/>
      <c r="F225" s="3225">
        <v>1930</v>
      </c>
      <c r="G225" s="3238"/>
    </row>
    <row r="226" spans="1:7" s="3214" customFormat="1" ht="14.25" customHeight="1">
      <c r="A226" s="3225" t="s">
        <v>304</v>
      </c>
      <c r="B226" s="3225" t="s">
        <v>3096</v>
      </c>
      <c r="C226" s="3225"/>
      <c r="D226" s="3225"/>
      <c r="E226" s="3225"/>
      <c r="F226" s="3225">
        <v>1700</v>
      </c>
      <c r="G226" s="3238"/>
    </row>
    <row r="227" spans="1:7" s="3214" customFormat="1" ht="14.25" customHeight="1">
      <c r="A227" s="3225" t="s">
        <v>304</v>
      </c>
      <c r="B227" s="3225" t="s">
        <v>3097</v>
      </c>
      <c r="C227" s="3225"/>
      <c r="D227" s="3225"/>
      <c r="E227" s="3225"/>
      <c r="F227" s="3225">
        <v>1520</v>
      </c>
      <c r="G227" s="3238"/>
    </row>
    <row r="228" spans="1:7" s="3214" customFormat="1" ht="14.25" customHeight="1">
      <c r="A228" s="3225" t="s">
        <v>304</v>
      </c>
      <c r="B228" s="3225" t="s">
        <v>3098</v>
      </c>
      <c r="C228" s="3225"/>
      <c r="D228" s="3225"/>
      <c r="E228" s="3225"/>
      <c r="F228" s="3225">
        <v>1520</v>
      </c>
      <c r="G228" s="3238"/>
    </row>
    <row r="229" spans="1:7" s="3214" customFormat="1" ht="14.25" customHeight="1">
      <c r="A229" s="3225" t="s">
        <v>304</v>
      </c>
      <c r="B229" s="3225" t="s">
        <v>3015</v>
      </c>
      <c r="C229" s="3225"/>
      <c r="D229" s="3225"/>
      <c r="E229" s="3225"/>
      <c r="F229" s="3225">
        <v>1520</v>
      </c>
      <c r="G229" s="3238"/>
    </row>
    <row r="230" spans="1:7" s="3214" customFormat="1" ht="14.25" customHeight="1">
      <c r="A230" s="3225" t="s">
        <v>304</v>
      </c>
      <c r="B230" s="3225" t="s">
        <v>3099</v>
      </c>
      <c r="C230" s="3225"/>
      <c r="D230" s="3225"/>
      <c r="E230" s="3225"/>
      <c r="F230" s="3225">
        <v>1820</v>
      </c>
      <c r="G230" s="3238"/>
    </row>
    <row r="231" spans="1:7" s="3214" customFormat="1" ht="14.25" customHeight="1">
      <c r="A231" s="3225" t="s">
        <v>304</v>
      </c>
      <c r="B231" s="3225" t="s">
        <v>3100</v>
      </c>
      <c r="C231" s="3225"/>
      <c r="D231" s="3225"/>
      <c r="E231" s="3225"/>
      <c r="F231" s="3225">
        <v>1760</v>
      </c>
      <c r="G231" s="3238"/>
    </row>
    <row r="232" spans="1:7" s="3214" customFormat="1" ht="14.25" customHeight="1">
      <c r="A232" s="3225" t="s">
        <v>304</v>
      </c>
      <c r="B232" s="3225" t="s">
        <v>3101</v>
      </c>
      <c r="C232" s="3225"/>
      <c r="D232" s="3225"/>
      <c r="E232" s="3225"/>
      <c r="F232" s="3225">
        <v>1840</v>
      </c>
      <c r="G232" s="3238"/>
    </row>
    <row r="233" spans="1:7" s="3214" customFormat="1" ht="14.25" customHeight="1" thickBot="1">
      <c r="A233" s="3239" t="s">
        <v>304</v>
      </c>
      <c r="B233" s="3232" t="s">
        <v>3032</v>
      </c>
      <c r="C233" s="3232"/>
      <c r="D233" s="3232"/>
      <c r="E233" s="3232"/>
      <c r="F233" s="3232">
        <v>1770</v>
      </c>
      <c r="G233" s="3240"/>
    </row>
    <row r="234" spans="1:7" s="3214" customFormat="1" ht="14.25" customHeight="1">
      <c r="A234" s="3230" t="s">
        <v>305</v>
      </c>
      <c r="B234" s="3221" t="s">
        <v>3102</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2873</v>
      </c>
      <c r="C238" s="3225">
        <v>6920</v>
      </c>
      <c r="D238" s="3225">
        <v>6890</v>
      </c>
      <c r="E238" s="3225">
        <v>8640</v>
      </c>
      <c r="F238" s="3225">
        <v>1310</v>
      </c>
      <c r="G238" s="3225">
        <v>4230</v>
      </c>
    </row>
    <row r="239" spans="1:7" s="3214" customFormat="1" ht="14.25" customHeight="1">
      <c r="A239" s="3225" t="s">
        <v>305</v>
      </c>
      <c r="B239" s="3225" t="s">
        <v>3103</v>
      </c>
      <c r="C239" s="3225">
        <v>6780</v>
      </c>
      <c r="D239" s="3225">
        <v>6750</v>
      </c>
      <c r="E239" s="3225">
        <v>8440</v>
      </c>
      <c r="F239" s="3225">
        <v>1160</v>
      </c>
      <c r="G239" s="3225">
        <v>4140</v>
      </c>
    </row>
    <row r="240" spans="1:7" s="3214" customFormat="1" ht="14.25" customHeight="1">
      <c r="A240" s="3225" t="s">
        <v>305</v>
      </c>
      <c r="B240" s="3225" t="s">
        <v>3104</v>
      </c>
      <c r="C240" s="3225">
        <v>5420</v>
      </c>
      <c r="D240" s="3225">
        <v>5380</v>
      </c>
      <c r="E240" s="3225">
        <v>6640</v>
      </c>
      <c r="F240" s="3225">
        <v>1020</v>
      </c>
      <c r="G240" s="3225">
        <v>3300</v>
      </c>
    </row>
    <row r="241" spans="1:7" s="3214" customFormat="1" ht="14.25" customHeight="1">
      <c r="A241" s="3225" t="s">
        <v>305</v>
      </c>
      <c r="B241" s="3225" t="s">
        <v>3105</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3106</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3107</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3108</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3109</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3110</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2935</v>
      </c>
      <c r="C258" s="3225">
        <v>6190</v>
      </c>
      <c r="D258" s="3225">
        <v>6160</v>
      </c>
      <c r="E258" s="3225">
        <v>7680</v>
      </c>
      <c r="F258" s="3225">
        <v>1170</v>
      </c>
      <c r="G258" s="3225">
        <v>3780</v>
      </c>
    </row>
    <row r="259" spans="1:7" s="3214" customFormat="1" ht="14.25" customHeight="1">
      <c r="A259" s="3225" t="s">
        <v>305</v>
      </c>
      <c r="B259" s="3225" t="s">
        <v>3111</v>
      </c>
      <c r="C259" s="3225">
        <v>7610</v>
      </c>
      <c r="D259" s="3225">
        <v>7570</v>
      </c>
      <c r="E259" s="3225">
        <v>9350</v>
      </c>
      <c r="F259" s="3225">
        <v>1350</v>
      </c>
      <c r="G259" s="3225">
        <v>4650</v>
      </c>
    </row>
    <row r="260" spans="1:7" s="3214" customFormat="1" ht="14.25" customHeight="1">
      <c r="A260" s="3225" t="s">
        <v>305</v>
      </c>
      <c r="B260" s="3225" t="s">
        <v>3112</v>
      </c>
      <c r="C260" s="3225">
        <v>6920</v>
      </c>
      <c r="D260" s="3225">
        <v>6880</v>
      </c>
      <c r="E260" s="3225">
        <v>8380</v>
      </c>
      <c r="F260" s="3225">
        <v>1160</v>
      </c>
      <c r="G260" s="3225">
        <v>4220</v>
      </c>
    </row>
    <row r="261" spans="1:7" s="3214" customFormat="1" ht="14.25" customHeight="1">
      <c r="A261" s="3225" t="s">
        <v>305</v>
      </c>
      <c r="B261" s="3225" t="s">
        <v>3113</v>
      </c>
      <c r="C261" s="3225">
        <v>6850</v>
      </c>
      <c r="D261" s="3225">
        <v>6810</v>
      </c>
      <c r="E261" s="3225">
        <v>8290</v>
      </c>
      <c r="F261" s="3225">
        <v>1130</v>
      </c>
      <c r="G261" s="3225">
        <v>4180</v>
      </c>
    </row>
    <row r="262" spans="1:7" s="3214" customFormat="1" ht="14.25" customHeight="1">
      <c r="A262" s="3225" t="s">
        <v>305</v>
      </c>
      <c r="B262" s="3225" t="s">
        <v>3114</v>
      </c>
      <c r="C262" s="3225">
        <v>5860</v>
      </c>
      <c r="D262" s="3225">
        <v>5820</v>
      </c>
      <c r="E262" s="3225">
        <v>7640</v>
      </c>
      <c r="F262" s="3225">
        <v>1070</v>
      </c>
      <c r="G262" s="3225">
        <v>3570</v>
      </c>
    </row>
    <row r="263" spans="1:7" s="3214" customFormat="1" ht="14.25" customHeight="1">
      <c r="A263" s="3225" t="s">
        <v>305</v>
      </c>
      <c r="B263" s="3225" t="s">
        <v>3115</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3116</v>
      </c>
      <c r="C265" s="3225"/>
      <c r="D265" s="3225"/>
      <c r="E265" s="3225"/>
      <c r="F265" s="3225">
        <v>1500</v>
      </c>
      <c r="G265" s="3225"/>
    </row>
    <row r="266" spans="1:7" s="3214" customFormat="1" ht="14.25" customHeight="1">
      <c r="A266" s="3225" t="s">
        <v>305</v>
      </c>
      <c r="B266" s="3225" t="s">
        <v>3117</v>
      </c>
      <c r="C266" s="3225"/>
      <c r="D266" s="3225"/>
      <c r="E266" s="3225"/>
      <c r="F266" s="3225">
        <v>1500</v>
      </c>
      <c r="G266" s="3225"/>
    </row>
    <row r="267" spans="1:7" s="3214" customFormat="1" ht="14.25" customHeight="1">
      <c r="A267" s="3225" t="s">
        <v>305</v>
      </c>
      <c r="B267" s="3225" t="s">
        <v>3118</v>
      </c>
      <c r="C267" s="3225"/>
      <c r="D267" s="3225"/>
      <c r="E267" s="3225"/>
      <c r="F267" s="3225">
        <v>1500</v>
      </c>
      <c r="G267" s="3225"/>
    </row>
    <row r="268" spans="1:7" s="3214" customFormat="1" ht="14.25" customHeight="1">
      <c r="A268" s="3225" t="s">
        <v>305</v>
      </c>
      <c r="B268" s="3225" t="s">
        <v>3119</v>
      </c>
      <c r="C268" s="3225"/>
      <c r="D268" s="3225"/>
      <c r="E268" s="3225"/>
      <c r="F268" s="3225">
        <v>1290</v>
      </c>
      <c r="G268" s="3225"/>
    </row>
    <row r="269" spans="1:7" s="3214" customFormat="1" ht="14.25" customHeight="1">
      <c r="A269" s="3225" t="s">
        <v>305</v>
      </c>
      <c r="B269" s="3225" t="s">
        <v>3120</v>
      </c>
      <c r="C269" s="3225"/>
      <c r="D269" s="3225"/>
      <c r="E269" s="3225"/>
      <c r="F269" s="3225">
        <v>1150</v>
      </c>
      <c r="G269" s="3225"/>
    </row>
    <row r="270" spans="1:7" s="3214" customFormat="1" ht="14.25" customHeight="1">
      <c r="A270" s="3225" t="s">
        <v>305</v>
      </c>
      <c r="B270" s="3225" t="s">
        <v>3121</v>
      </c>
      <c r="C270" s="3225"/>
      <c r="D270" s="3225"/>
      <c r="E270" s="3225"/>
      <c r="F270" s="3225">
        <v>1380</v>
      </c>
      <c r="G270" s="3225"/>
    </row>
    <row r="271" spans="1:7" s="3214" customFormat="1" ht="14.25" customHeight="1">
      <c r="A271" s="3225" t="s">
        <v>305</v>
      </c>
      <c r="B271" s="3225" t="s">
        <v>3122</v>
      </c>
      <c r="C271" s="3225"/>
      <c r="D271" s="3225"/>
      <c r="E271" s="3225"/>
      <c r="F271" s="3225">
        <v>1460</v>
      </c>
      <c r="G271" s="3225"/>
    </row>
    <row r="272" spans="1:7" s="3214" customFormat="1" ht="14.25" customHeight="1">
      <c r="A272" s="3225" t="s">
        <v>305</v>
      </c>
      <c r="B272" s="3225" t="s">
        <v>3123</v>
      </c>
      <c r="C272" s="3225"/>
      <c r="D272" s="3225"/>
      <c r="E272" s="3225"/>
      <c r="F272" s="3225">
        <v>1460</v>
      </c>
      <c r="G272" s="3225"/>
    </row>
    <row r="273" spans="1:7" s="3214" customFormat="1" ht="14.25" customHeight="1">
      <c r="A273" s="3225" t="s">
        <v>305</v>
      </c>
      <c r="B273" s="3225" t="s">
        <v>3016</v>
      </c>
      <c r="C273" s="3225"/>
      <c r="D273" s="3225"/>
      <c r="E273" s="3225"/>
      <c r="F273" s="3225">
        <v>1490</v>
      </c>
      <c r="G273" s="3225"/>
    </row>
    <row r="274" spans="1:7" s="3214" customFormat="1" ht="14.25" customHeight="1">
      <c r="A274" s="3225" t="s">
        <v>305</v>
      </c>
      <c r="B274" s="3225" t="s">
        <v>3124</v>
      </c>
      <c r="C274" s="3225"/>
      <c r="D274" s="3225"/>
      <c r="E274" s="3225"/>
      <c r="F274" s="3225">
        <v>1490</v>
      </c>
      <c r="G274" s="3225"/>
    </row>
    <row r="275" spans="1:7" s="3214" customFormat="1" ht="14.25" customHeight="1">
      <c r="A275" s="3225" t="s">
        <v>305</v>
      </c>
      <c r="B275" s="3225" t="s">
        <v>3125</v>
      </c>
      <c r="C275" s="3225"/>
      <c r="D275" s="3225"/>
      <c r="E275" s="3225"/>
      <c r="F275" s="3225">
        <v>1220</v>
      </c>
      <c r="G275" s="3225"/>
    </row>
    <row r="276" spans="1:7" s="3214" customFormat="1" ht="14.25" customHeight="1" thickBot="1">
      <c r="A276" s="3233" t="s">
        <v>305</v>
      </c>
      <c r="B276" s="3235" t="s">
        <v>3126</v>
      </c>
      <c r="C276" s="3236"/>
      <c r="D276" s="3236"/>
      <c r="E276" s="3236"/>
      <c r="F276" s="3236">
        <v>1380</v>
      </c>
      <c r="G276" s="3236"/>
    </row>
    <row r="277" spans="1:7" s="3214" customFormat="1" ht="14.25" customHeight="1">
      <c r="A277" s="3230" t="s">
        <v>306</v>
      </c>
      <c r="B277" s="3221" t="s">
        <v>3127</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3128</v>
      </c>
      <c r="C279" s="3225">
        <v>4760</v>
      </c>
      <c r="D279" s="3225">
        <v>4720</v>
      </c>
      <c r="E279" s="3225">
        <v>5540</v>
      </c>
      <c r="F279" s="3225">
        <v>810</v>
      </c>
      <c r="G279" s="3238">
        <v>2850</v>
      </c>
    </row>
    <row r="280" spans="1:7" s="3214" customFormat="1" ht="14.25" customHeight="1">
      <c r="A280" s="3225" t="s">
        <v>306</v>
      </c>
      <c r="B280" s="3225" t="s">
        <v>3129</v>
      </c>
      <c r="C280" s="3225">
        <v>4010</v>
      </c>
      <c r="D280" s="3225">
        <v>3950</v>
      </c>
      <c r="E280" s="3225">
        <v>4710</v>
      </c>
      <c r="F280" s="3225">
        <v>800</v>
      </c>
      <c r="G280" s="3238">
        <v>2390</v>
      </c>
    </row>
    <row r="281" spans="1:7" s="3214" customFormat="1" ht="14.25" customHeight="1">
      <c r="A281" s="3225" t="s">
        <v>306</v>
      </c>
      <c r="B281" s="3225" t="s">
        <v>3130</v>
      </c>
      <c r="C281" s="3225">
        <v>4480</v>
      </c>
      <c r="D281" s="3225">
        <v>4420</v>
      </c>
      <c r="E281" s="3225">
        <v>5230</v>
      </c>
      <c r="F281" s="3225">
        <v>870</v>
      </c>
      <c r="G281" s="3238">
        <v>2660</v>
      </c>
    </row>
    <row r="282" spans="1:7" s="3214" customFormat="1" ht="14.25" customHeight="1">
      <c r="A282" s="3225" t="s">
        <v>306</v>
      </c>
      <c r="B282" s="3225" t="s">
        <v>3131</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3132</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3133</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2908</v>
      </c>
      <c r="C293" s="3225">
        <v>5320</v>
      </c>
      <c r="D293" s="3225">
        <v>5270</v>
      </c>
      <c r="E293" s="3225">
        <v>6160</v>
      </c>
      <c r="F293" s="3225">
        <v>990</v>
      </c>
      <c r="G293" s="3238">
        <v>3170</v>
      </c>
    </row>
    <row r="294" spans="1:7" s="3214" customFormat="1" ht="14.25" customHeight="1">
      <c r="A294" s="3225" t="s">
        <v>306</v>
      </c>
      <c r="B294" s="3225" t="s">
        <v>3134</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2927</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3135</v>
      </c>
      <c r="C302" s="3225">
        <v>5520</v>
      </c>
      <c r="D302" s="3225">
        <v>5470</v>
      </c>
      <c r="E302" s="3225">
        <v>6410</v>
      </c>
      <c r="F302" s="3225">
        <v>950</v>
      </c>
      <c r="G302" s="3238">
        <v>3300</v>
      </c>
    </row>
    <row r="303" spans="1:7" s="3214" customFormat="1" ht="14.25" customHeight="1">
      <c r="A303" s="3225" t="s">
        <v>306</v>
      </c>
      <c r="B303" s="3225" t="s">
        <v>2947</v>
      </c>
      <c r="C303" s="3225">
        <v>5630</v>
      </c>
      <c r="D303" s="3225">
        <v>5590</v>
      </c>
      <c r="E303" s="3225">
        <v>6550</v>
      </c>
      <c r="F303" s="3225">
        <v>1010</v>
      </c>
      <c r="G303" s="3238">
        <v>3370</v>
      </c>
    </row>
    <row r="304" spans="1:7" s="3214" customFormat="1" ht="14.25" customHeight="1">
      <c r="A304" s="3225" t="s">
        <v>306</v>
      </c>
      <c r="B304" s="3225" t="s">
        <v>2954</v>
      </c>
      <c r="C304" s="3225">
        <v>5680</v>
      </c>
      <c r="D304" s="3225">
        <v>5620</v>
      </c>
      <c r="E304" s="3225">
        <v>6620</v>
      </c>
      <c r="F304" s="3225">
        <v>1050</v>
      </c>
      <c r="G304" s="3238">
        <v>3390</v>
      </c>
    </row>
    <row r="305" spans="1:7" s="3214" customFormat="1" ht="14.25" customHeight="1">
      <c r="A305" s="3225" t="s">
        <v>306</v>
      </c>
      <c r="B305" s="3225" t="s">
        <v>2960</v>
      </c>
      <c r="C305" s="3225">
        <v>5590</v>
      </c>
      <c r="D305" s="3225">
        <v>5530</v>
      </c>
      <c r="E305" s="3225">
        <v>6460</v>
      </c>
      <c r="F305" s="3225">
        <v>900</v>
      </c>
      <c r="G305" s="3238">
        <v>3340</v>
      </c>
    </row>
    <row r="306" spans="1:7" s="3214" customFormat="1" ht="14.25" customHeight="1">
      <c r="A306" s="3225" t="s">
        <v>306</v>
      </c>
      <c r="B306" s="3225" t="s">
        <v>3136</v>
      </c>
      <c r="C306" s="3225">
        <v>5560</v>
      </c>
      <c r="D306" s="3225">
        <v>5510</v>
      </c>
      <c r="E306" s="3225">
        <v>6440</v>
      </c>
      <c r="F306" s="3225">
        <v>900</v>
      </c>
      <c r="G306" s="3238">
        <v>3320</v>
      </c>
    </row>
    <row r="307" spans="1:7" s="3214" customFormat="1" ht="14.25" customHeight="1">
      <c r="A307" s="3225" t="s">
        <v>306</v>
      </c>
      <c r="B307" s="3225" t="s">
        <v>2972</v>
      </c>
      <c r="C307" s="3225">
        <v>5650</v>
      </c>
      <c r="D307" s="3225">
        <v>5600</v>
      </c>
      <c r="E307" s="3225">
        <v>6590</v>
      </c>
      <c r="F307" s="3225">
        <v>930</v>
      </c>
      <c r="G307" s="3238">
        <v>3380</v>
      </c>
    </row>
    <row r="308" spans="1:7" s="3214" customFormat="1" ht="14.25" customHeight="1">
      <c r="A308" s="3225" t="s">
        <v>306</v>
      </c>
      <c r="B308" s="3225" t="s">
        <v>3137</v>
      </c>
      <c r="C308" s="3225">
        <v>5620</v>
      </c>
      <c r="D308" s="3225">
        <v>5580</v>
      </c>
      <c r="E308" s="3225">
        <v>6540</v>
      </c>
      <c r="F308" s="3225">
        <v>910</v>
      </c>
      <c r="G308" s="3238">
        <v>3370</v>
      </c>
    </row>
    <row r="309" spans="1:7" s="3214" customFormat="1" ht="14.25" customHeight="1">
      <c r="A309" s="3225" t="s">
        <v>306</v>
      </c>
      <c r="B309" s="3225" t="s">
        <v>3138</v>
      </c>
      <c r="C309" s="3225">
        <v>5060</v>
      </c>
      <c r="D309" s="3225">
        <v>5020</v>
      </c>
      <c r="E309" s="3225">
        <v>6370</v>
      </c>
      <c r="F309" s="3225">
        <v>800</v>
      </c>
      <c r="G309" s="3238">
        <v>3020</v>
      </c>
    </row>
    <row r="310" spans="1:7" s="3214" customFormat="1" ht="14.25" customHeight="1">
      <c r="A310" s="3225" t="s">
        <v>306</v>
      </c>
      <c r="B310" s="3225" t="s">
        <v>2987</v>
      </c>
      <c r="C310" s="3225">
        <v>5150</v>
      </c>
      <c r="D310" s="3225">
        <v>5110</v>
      </c>
      <c r="E310" s="3225">
        <v>6500</v>
      </c>
      <c r="F310" s="3225">
        <v>880</v>
      </c>
      <c r="G310" s="3238">
        <v>3080</v>
      </c>
    </row>
    <row r="311" spans="1:7" s="3214" customFormat="1" ht="14.25" customHeight="1">
      <c r="A311" s="3225" t="s">
        <v>306</v>
      </c>
      <c r="B311" s="3225" t="s">
        <v>3139</v>
      </c>
      <c r="C311" s="3225">
        <v>4750</v>
      </c>
      <c r="D311" s="3225">
        <v>4710</v>
      </c>
      <c r="E311" s="3225">
        <v>5510</v>
      </c>
      <c r="F311" s="3225">
        <v>880</v>
      </c>
      <c r="G311" s="3238">
        <v>2840</v>
      </c>
    </row>
    <row r="312" spans="1:7" s="3214" customFormat="1" ht="14.25" customHeight="1">
      <c r="A312" s="3225" t="s">
        <v>306</v>
      </c>
      <c r="B312" s="3225" t="s">
        <v>2997</v>
      </c>
      <c r="C312" s="3225">
        <v>4690</v>
      </c>
      <c r="D312" s="3225">
        <v>4640</v>
      </c>
      <c r="E312" s="3225">
        <v>5420</v>
      </c>
      <c r="F312" s="3225">
        <v>800</v>
      </c>
      <c r="G312" s="3238">
        <v>2800</v>
      </c>
    </row>
    <row r="313" spans="1:7" s="3214" customFormat="1" ht="14.25" customHeight="1">
      <c r="A313" s="3225" t="s">
        <v>306</v>
      </c>
      <c r="B313" s="3225" t="s">
        <v>3002</v>
      </c>
      <c r="C313" s="3225">
        <v>4810</v>
      </c>
      <c r="D313" s="3225">
        <v>4760</v>
      </c>
      <c r="E313" s="3225">
        <v>5550</v>
      </c>
      <c r="F313" s="3225">
        <v>920</v>
      </c>
      <c r="G313" s="3238">
        <v>2870</v>
      </c>
    </row>
    <row r="314" spans="1:7" s="3214" customFormat="1" ht="14.25" customHeight="1">
      <c r="A314" s="3225" t="s">
        <v>306</v>
      </c>
      <c r="B314" s="3225" t="s">
        <v>3140</v>
      </c>
      <c r="C314" s="3225"/>
      <c r="D314" s="3225"/>
      <c r="E314" s="3225"/>
      <c r="F314" s="3225">
        <v>1020</v>
      </c>
      <c r="G314" s="3238"/>
    </row>
    <row r="315" spans="1:7" s="3214" customFormat="1" ht="14.25" customHeight="1">
      <c r="A315" s="3225" t="s">
        <v>306</v>
      </c>
      <c r="B315" s="3225" t="s">
        <v>3141</v>
      </c>
      <c r="C315" s="3225"/>
      <c r="D315" s="3225"/>
      <c r="E315" s="3225"/>
      <c r="F315" s="3225">
        <v>1050</v>
      </c>
      <c r="G315" s="3238"/>
    </row>
    <row r="316" spans="1:7" s="3214" customFormat="1" ht="14.25" customHeight="1">
      <c r="A316" s="3225" t="s">
        <v>306</v>
      </c>
      <c r="B316" s="3225" t="s">
        <v>3017</v>
      </c>
      <c r="C316" s="3225"/>
      <c r="D316" s="3225"/>
      <c r="E316" s="3225"/>
      <c r="F316" s="3225">
        <v>900</v>
      </c>
      <c r="G316" s="3238"/>
    </row>
    <row r="317" spans="1:7" s="3214" customFormat="1" ht="14.25" customHeight="1">
      <c r="A317" s="3225" t="s">
        <v>306</v>
      </c>
      <c r="B317" s="3225" t="s">
        <v>3142</v>
      </c>
      <c r="C317" s="3225"/>
      <c r="D317" s="3225"/>
      <c r="E317" s="3225"/>
      <c r="F317" s="3225">
        <v>920</v>
      </c>
      <c r="G317" s="3238"/>
    </row>
    <row r="318" spans="1:7" s="3214" customFormat="1" ht="14.25" customHeight="1">
      <c r="A318" s="3225" t="s">
        <v>306</v>
      </c>
      <c r="B318" s="3225" t="s">
        <v>3143</v>
      </c>
      <c r="C318" s="3225"/>
      <c r="D318" s="3225"/>
      <c r="E318" s="3225"/>
      <c r="F318" s="3225">
        <v>1080</v>
      </c>
      <c r="G318" s="3238"/>
    </row>
    <row r="319" spans="1:7" s="3214" customFormat="1" ht="14.25" customHeight="1">
      <c r="A319" s="3225" t="s">
        <v>306</v>
      </c>
      <c r="B319" s="3225" t="s">
        <v>3030</v>
      </c>
      <c r="C319" s="3225"/>
      <c r="D319" s="3225"/>
      <c r="E319" s="3225"/>
      <c r="F319" s="3225">
        <v>1020</v>
      </c>
      <c r="G319" s="3238"/>
    </row>
    <row r="320" spans="1:7" s="3214" customFormat="1" ht="14.25" customHeight="1">
      <c r="A320" s="3225" t="s">
        <v>306</v>
      </c>
      <c r="B320" s="3225" t="s">
        <v>3033</v>
      </c>
      <c r="C320" s="3225"/>
      <c r="D320" s="3225"/>
      <c r="E320" s="3225"/>
      <c r="F320" s="3225">
        <v>1050</v>
      </c>
      <c r="G320" s="3238"/>
    </row>
    <row r="321" spans="1:7" s="3214" customFormat="1" ht="14.25" customHeight="1">
      <c r="A321" s="3225" t="s">
        <v>306</v>
      </c>
      <c r="B321" s="3225" t="s">
        <v>3035</v>
      </c>
      <c r="C321" s="3225"/>
      <c r="D321" s="3225"/>
      <c r="E321" s="3225"/>
      <c r="F321" s="3225">
        <v>960</v>
      </c>
      <c r="G321" s="3238"/>
    </row>
    <row r="322" spans="1:7" s="3214" customFormat="1" ht="14.25" customHeight="1">
      <c r="A322" s="3225" t="s">
        <v>306</v>
      </c>
      <c r="B322" s="3225" t="s">
        <v>3037</v>
      </c>
      <c r="C322" s="3225"/>
      <c r="D322" s="3225"/>
      <c r="E322" s="3225"/>
      <c r="F322" s="3225">
        <v>960</v>
      </c>
      <c r="G322" s="3238"/>
    </row>
    <row r="323" spans="1:7" s="3214" customFormat="1" ht="14.25" customHeight="1">
      <c r="A323" s="3225" t="s">
        <v>306</v>
      </c>
      <c r="B323" s="3225" t="s">
        <v>3039</v>
      </c>
      <c r="C323" s="3225"/>
      <c r="D323" s="3225"/>
      <c r="E323" s="3225"/>
      <c r="F323" s="3225">
        <v>880</v>
      </c>
      <c r="G323" s="3238"/>
    </row>
    <row r="324" spans="1:7" s="3214" customFormat="1" ht="14.25" customHeight="1">
      <c r="A324" s="3225" t="s">
        <v>306</v>
      </c>
      <c r="B324" s="3225" t="s">
        <v>3041</v>
      </c>
      <c r="C324" s="3225"/>
      <c r="D324" s="3225"/>
      <c r="E324" s="3225"/>
      <c r="F324" s="3225">
        <v>930</v>
      </c>
      <c r="G324" s="3238"/>
    </row>
    <row r="325" spans="1:7" s="3214" customFormat="1" ht="14.25" customHeight="1">
      <c r="A325" s="3225" t="s">
        <v>306</v>
      </c>
      <c r="B325" s="3226" t="s">
        <v>3043</v>
      </c>
      <c r="C325" s="3225"/>
      <c r="D325" s="3225"/>
      <c r="E325" s="3225"/>
      <c r="F325" s="3225">
        <v>900</v>
      </c>
      <c r="G325" s="3238"/>
    </row>
    <row r="326" spans="1:7" s="3214" customFormat="1" ht="14.25" customHeight="1" thickBot="1">
      <c r="A326" s="3239" t="s">
        <v>306</v>
      </c>
      <c r="B326" s="3232" t="s">
        <v>3045</v>
      </c>
      <c r="C326" s="3232"/>
      <c r="D326" s="3232"/>
      <c r="E326" s="3232"/>
      <c r="F326" s="3232">
        <v>790</v>
      </c>
      <c r="G326" s="3240"/>
    </row>
    <row r="327" spans="1:7" s="3214" customFormat="1" ht="14.25" customHeight="1">
      <c r="A327" s="3230" t="s">
        <v>307</v>
      </c>
      <c r="B327" s="3221" t="s">
        <v>3144</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3145</v>
      </c>
      <c r="C329" s="3225">
        <v>2730</v>
      </c>
      <c r="D329" s="3225">
        <v>2690</v>
      </c>
      <c r="E329" s="3225">
        <v>3100</v>
      </c>
      <c r="F329" s="3225">
        <v>660</v>
      </c>
      <c r="G329" s="3225">
        <v>1610</v>
      </c>
    </row>
    <row r="330" spans="1:7" s="3214" customFormat="1" ht="14.25" customHeight="1">
      <c r="A330" s="3225" t="s">
        <v>307</v>
      </c>
      <c r="B330" s="3225" t="s">
        <v>3146</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2879</v>
      </c>
      <c r="C332" s="3225">
        <v>3520</v>
      </c>
      <c r="D332" s="3225">
        <v>3480</v>
      </c>
      <c r="E332" s="3225">
        <v>3830</v>
      </c>
      <c r="F332" s="3225">
        <v>720</v>
      </c>
      <c r="G332" s="3225">
        <v>2090</v>
      </c>
    </row>
    <row r="333" spans="1:7" s="3214" customFormat="1" ht="14.25" customHeight="1">
      <c r="A333" s="3225" t="s">
        <v>307</v>
      </c>
      <c r="B333" s="3225" t="s">
        <v>3147</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2889</v>
      </c>
      <c r="C336" s="3225">
        <v>3570</v>
      </c>
      <c r="D336" s="3225">
        <v>3530</v>
      </c>
      <c r="E336" s="3225">
        <v>3880</v>
      </c>
      <c r="F336" s="3225">
        <v>770</v>
      </c>
      <c r="G336" s="3225">
        <v>2110</v>
      </c>
    </row>
    <row r="337" spans="1:10" s="3214" customFormat="1" ht="14.25" customHeight="1">
      <c r="A337" s="3225" t="s">
        <v>307</v>
      </c>
      <c r="B337" s="3225" t="s">
        <v>3148</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3149</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3150</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2914</v>
      </c>
      <c r="C345" s="3225">
        <v>3190</v>
      </c>
      <c r="D345" s="3225">
        <v>3140</v>
      </c>
      <c r="E345" s="3225">
        <v>3450</v>
      </c>
      <c r="F345" s="3225">
        <v>720</v>
      </c>
      <c r="G345" s="3225">
        <v>1880</v>
      </c>
      <c r="J345" s="3214"/>
    </row>
    <row r="346" spans="1:10">
      <c r="A346" s="3225" t="s">
        <v>307</v>
      </c>
      <c r="B346" s="3225" t="s">
        <v>3151</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2923</v>
      </c>
      <c r="C348" s="3225">
        <v>4000</v>
      </c>
      <c r="D348" s="3225">
        <v>3950</v>
      </c>
      <c r="E348" s="3225">
        <v>4430</v>
      </c>
      <c r="F348" s="3225">
        <v>760</v>
      </c>
      <c r="G348" s="3225">
        <v>2360</v>
      </c>
      <c r="J348" s="3214"/>
    </row>
    <row r="349" spans="1:10">
      <c r="A349" s="3225" t="s">
        <v>307</v>
      </c>
      <c r="B349" s="3225" t="s">
        <v>2928</v>
      </c>
      <c r="C349" s="3225">
        <v>3820</v>
      </c>
      <c r="D349" s="3225">
        <v>3780</v>
      </c>
      <c r="E349" s="3225">
        <v>4170</v>
      </c>
      <c r="F349" s="3225">
        <v>710</v>
      </c>
      <c r="G349" s="3225">
        <v>2260</v>
      </c>
      <c r="J349" s="3214"/>
    </row>
    <row r="350" spans="1:10">
      <c r="A350" s="3225" t="s">
        <v>307</v>
      </c>
      <c r="B350" s="3225" t="s">
        <v>3152</v>
      </c>
      <c r="C350" s="3225">
        <v>3760</v>
      </c>
      <c r="D350" s="3225">
        <v>3730</v>
      </c>
      <c r="E350" s="3225">
        <v>4100</v>
      </c>
      <c r="F350" s="3225">
        <v>800</v>
      </c>
      <c r="G350" s="3225">
        <v>2230</v>
      </c>
      <c r="J350" s="3214"/>
    </row>
    <row r="351" spans="1:10">
      <c r="A351" s="3225" t="s">
        <v>307</v>
      </c>
      <c r="B351" s="3225" t="s">
        <v>2936</v>
      </c>
      <c r="C351" s="3225">
        <v>3610</v>
      </c>
      <c r="D351" s="3225">
        <v>3580</v>
      </c>
      <c r="E351" s="3225">
        <v>3930</v>
      </c>
      <c r="F351" s="3225">
        <v>700</v>
      </c>
      <c r="G351" s="3225">
        <v>2140</v>
      </c>
      <c r="J351" s="3214"/>
    </row>
    <row r="352" spans="1:10">
      <c r="A352" s="3225" t="s">
        <v>307</v>
      </c>
      <c r="B352" s="3225" t="s">
        <v>2941</v>
      </c>
      <c r="C352" s="3225">
        <v>3670</v>
      </c>
      <c r="D352" s="3225">
        <v>3630</v>
      </c>
      <c r="E352" s="3225">
        <v>4000</v>
      </c>
      <c r="F352" s="3225">
        <v>750</v>
      </c>
      <c r="G352" s="3225">
        <v>2180</v>
      </c>
    </row>
    <row r="353" spans="1:7" s="3218" customFormat="1">
      <c r="A353" s="3225" t="s">
        <v>307</v>
      </c>
      <c r="B353" s="3225" t="s">
        <v>3153</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2961</v>
      </c>
      <c r="C355" s="3225">
        <v>3650</v>
      </c>
      <c r="D355" s="3225">
        <v>3610</v>
      </c>
      <c r="E355" s="3225">
        <v>4200</v>
      </c>
      <c r="F355" s="3225">
        <v>640</v>
      </c>
      <c r="G355" s="3225">
        <v>2160</v>
      </c>
    </row>
    <row r="356" spans="1:7" s="3218" customFormat="1">
      <c r="A356" s="3225" t="s">
        <v>307</v>
      </c>
      <c r="B356" s="3225" t="s">
        <v>2968</v>
      </c>
      <c r="C356" s="3225">
        <v>3260</v>
      </c>
      <c r="D356" s="3225">
        <v>3230</v>
      </c>
      <c r="E356" s="3225">
        <v>3740</v>
      </c>
      <c r="F356" s="3225">
        <v>600</v>
      </c>
      <c r="G356" s="3225">
        <v>1930</v>
      </c>
    </row>
    <row r="357" spans="1:7" s="3218" customFormat="1" ht="12" thickBot="1">
      <c r="A357" s="3233" t="s">
        <v>307</v>
      </c>
      <c r="B357" s="3236" t="s">
        <v>3154</v>
      </c>
      <c r="C357" s="3236">
        <v>3690</v>
      </c>
      <c r="D357" s="3236">
        <v>3650</v>
      </c>
      <c r="E357" s="3236">
        <v>4020</v>
      </c>
      <c r="F357" s="3236">
        <v>700</v>
      </c>
      <c r="G357" s="3236">
        <v>2190</v>
      </c>
    </row>
    <row r="358" spans="1:7" s="3218" customFormat="1">
      <c r="A358" s="3230" t="s">
        <v>3155</v>
      </c>
      <c r="B358" s="3221" t="s">
        <v>3156</v>
      </c>
      <c r="C358" s="3221">
        <v>2080</v>
      </c>
      <c r="D358" s="3221">
        <v>2040</v>
      </c>
      <c r="E358" s="3221">
        <v>2010</v>
      </c>
      <c r="F358" s="3221">
        <v>530</v>
      </c>
      <c r="G358" s="3237">
        <v>1230</v>
      </c>
    </row>
    <row r="359" spans="1:7" s="3218" customFormat="1">
      <c r="A359" s="3225" t="s">
        <v>3155</v>
      </c>
      <c r="B359" s="3225" t="s">
        <v>3157</v>
      </c>
      <c r="C359" s="3225">
        <v>1850</v>
      </c>
      <c r="D359" s="3225">
        <v>1820</v>
      </c>
      <c r="E359" s="3225">
        <v>1780</v>
      </c>
      <c r="F359" s="3225">
        <v>520</v>
      </c>
      <c r="G359" s="3238">
        <v>1100</v>
      </c>
    </row>
    <row r="360" spans="1:7" s="3218" customFormat="1">
      <c r="A360" s="3225" t="s">
        <v>3155</v>
      </c>
      <c r="B360" s="3225" t="s">
        <v>3158</v>
      </c>
      <c r="C360" s="3225">
        <v>2020</v>
      </c>
      <c r="D360" s="3225">
        <v>1990</v>
      </c>
      <c r="E360" s="3225">
        <v>1950</v>
      </c>
      <c r="F360" s="3225">
        <v>500</v>
      </c>
      <c r="G360" s="3238">
        <v>1200</v>
      </c>
    </row>
    <row r="361" spans="1:7" s="3218" customFormat="1">
      <c r="A361" s="3225" t="s">
        <v>3155</v>
      </c>
      <c r="B361" s="3225" t="s">
        <v>153</v>
      </c>
      <c r="C361" s="3225">
        <v>2260</v>
      </c>
      <c r="D361" s="3225">
        <v>2220</v>
      </c>
      <c r="E361" s="3225">
        <v>2180</v>
      </c>
      <c r="F361" s="3225">
        <v>580</v>
      </c>
      <c r="G361" s="3238">
        <v>1340</v>
      </c>
    </row>
    <row r="362" spans="1:7" s="3218" customFormat="1">
      <c r="A362" s="3225" t="s">
        <v>3155</v>
      </c>
      <c r="B362" s="3225" t="s">
        <v>3159</v>
      </c>
      <c r="C362" s="3225">
        <v>2650</v>
      </c>
      <c r="D362" s="3225">
        <v>2610</v>
      </c>
      <c r="E362" s="3225">
        <v>2570</v>
      </c>
      <c r="F362" s="3225">
        <v>630</v>
      </c>
      <c r="G362" s="3238">
        <v>1570</v>
      </c>
    </row>
    <row r="363" spans="1:7" s="3218" customFormat="1">
      <c r="A363" s="3225" t="s">
        <v>3155</v>
      </c>
      <c r="B363" s="3225" t="s">
        <v>2880</v>
      </c>
      <c r="C363" s="3225">
        <v>2390</v>
      </c>
      <c r="D363" s="3225">
        <v>2360</v>
      </c>
      <c r="E363" s="3225">
        <v>2320</v>
      </c>
      <c r="F363" s="3225">
        <v>600</v>
      </c>
      <c r="G363" s="3238">
        <v>1420</v>
      </c>
    </row>
    <row r="364" spans="1:7" s="3218" customFormat="1">
      <c r="A364" s="3225" t="s">
        <v>3155</v>
      </c>
      <c r="B364" s="3225" t="s">
        <v>3160</v>
      </c>
      <c r="C364" s="3225">
        <v>2050</v>
      </c>
      <c r="D364" s="3225">
        <v>2030</v>
      </c>
      <c r="E364" s="3225">
        <v>1990</v>
      </c>
      <c r="F364" s="3225">
        <v>550</v>
      </c>
      <c r="G364" s="3238">
        <v>1220</v>
      </c>
    </row>
    <row r="365" spans="1:7" s="3218" customFormat="1">
      <c r="A365" s="3225" t="s">
        <v>3155</v>
      </c>
      <c r="B365" s="3225" t="s">
        <v>200</v>
      </c>
      <c r="C365" s="3225">
        <v>2140</v>
      </c>
      <c r="D365" s="3225">
        <v>2100</v>
      </c>
      <c r="E365" s="3225">
        <v>2060</v>
      </c>
      <c r="F365" s="3225">
        <v>540</v>
      </c>
      <c r="G365" s="3238">
        <v>1270</v>
      </c>
    </row>
    <row r="366" spans="1:7" s="3218" customFormat="1">
      <c r="A366" s="3225" t="s">
        <v>3155</v>
      </c>
      <c r="B366" s="3225" t="s">
        <v>2887</v>
      </c>
      <c r="C366" s="3225">
        <v>2410</v>
      </c>
      <c r="D366" s="3225">
        <v>2370</v>
      </c>
      <c r="E366" s="3225">
        <v>2330</v>
      </c>
      <c r="F366" s="3225">
        <v>570</v>
      </c>
      <c r="G366" s="3238">
        <v>1440</v>
      </c>
    </row>
    <row r="367" spans="1:7" s="3218" customFormat="1">
      <c r="A367" s="3225" t="s">
        <v>3155</v>
      </c>
      <c r="B367" s="3225" t="s">
        <v>3161</v>
      </c>
      <c r="C367" s="3225">
        <v>2300</v>
      </c>
      <c r="D367" s="3225">
        <v>2260</v>
      </c>
      <c r="E367" s="3225">
        <v>2220</v>
      </c>
      <c r="F367" s="3225">
        <v>560</v>
      </c>
      <c r="G367" s="3238">
        <v>1370</v>
      </c>
    </row>
    <row r="368" spans="1:7" s="3218" customFormat="1">
      <c r="A368" s="3225" t="s">
        <v>3155</v>
      </c>
      <c r="B368" s="3225" t="s">
        <v>3162</v>
      </c>
      <c r="C368" s="3225">
        <v>2430</v>
      </c>
      <c r="D368" s="3225">
        <v>2390</v>
      </c>
      <c r="E368" s="3225">
        <v>2350</v>
      </c>
      <c r="F368" s="3225">
        <v>570</v>
      </c>
      <c r="G368" s="3238">
        <v>1450</v>
      </c>
    </row>
    <row r="369" spans="1:7" s="3218" customFormat="1">
      <c r="A369" s="3225" t="s">
        <v>3155</v>
      </c>
      <c r="B369" s="3225" t="s">
        <v>214</v>
      </c>
      <c r="C369" s="3225">
        <v>2320</v>
      </c>
      <c r="D369" s="3225">
        <v>2290</v>
      </c>
      <c r="E369" s="3225">
        <v>2250</v>
      </c>
      <c r="F369" s="3225">
        <v>550</v>
      </c>
      <c r="G369" s="3238">
        <v>1380</v>
      </c>
    </row>
    <row r="370" spans="1:7" s="3218" customFormat="1">
      <c r="A370" s="3225" t="s">
        <v>3155</v>
      </c>
      <c r="B370" s="3225" t="s">
        <v>221</v>
      </c>
      <c r="C370" s="3225">
        <v>2190</v>
      </c>
      <c r="D370" s="3225">
        <v>2170</v>
      </c>
      <c r="E370" s="3225">
        <v>2130</v>
      </c>
      <c r="F370" s="3225">
        <v>530</v>
      </c>
      <c r="G370" s="3238">
        <v>1310</v>
      </c>
    </row>
    <row r="371" spans="1:7" s="3218" customFormat="1">
      <c r="A371" s="3225" t="s">
        <v>3155</v>
      </c>
      <c r="B371" s="3225" t="s">
        <v>229</v>
      </c>
      <c r="C371" s="3225">
        <v>2460</v>
      </c>
      <c r="D371" s="3225">
        <v>2420</v>
      </c>
      <c r="E371" s="3225">
        <v>2370</v>
      </c>
      <c r="F371" s="3225">
        <v>560</v>
      </c>
      <c r="G371" s="3238">
        <v>1470</v>
      </c>
    </row>
    <row r="372" spans="1:7" s="3218" customFormat="1">
      <c r="A372" s="3225" t="s">
        <v>3155</v>
      </c>
      <c r="B372" s="3225" t="s">
        <v>3163</v>
      </c>
      <c r="C372" s="3225">
        <v>2250</v>
      </c>
      <c r="D372" s="3225">
        <v>2210</v>
      </c>
      <c r="E372" s="3225">
        <v>2180</v>
      </c>
      <c r="F372" s="3225">
        <v>550</v>
      </c>
      <c r="G372" s="3238">
        <v>1340</v>
      </c>
    </row>
    <row r="373" spans="1:7" s="3218" customFormat="1">
      <c r="A373" s="3225" t="s">
        <v>3155</v>
      </c>
      <c r="B373" s="3225" t="s">
        <v>258</v>
      </c>
      <c r="C373" s="3225">
        <v>2210</v>
      </c>
      <c r="D373" s="3225">
        <v>2190</v>
      </c>
      <c r="E373" s="3225">
        <v>2150</v>
      </c>
      <c r="F373" s="3225">
        <v>530</v>
      </c>
      <c r="G373" s="3238">
        <v>1320</v>
      </c>
    </row>
    <row r="374" spans="1:7" s="3218" customFormat="1">
      <c r="A374" s="3225" t="s">
        <v>3155</v>
      </c>
      <c r="B374" s="3225" t="s">
        <v>266</v>
      </c>
      <c r="C374" s="3225">
        <v>2320</v>
      </c>
      <c r="D374" s="3225">
        <v>2280</v>
      </c>
      <c r="E374" s="3225">
        <v>2230</v>
      </c>
      <c r="F374" s="3225">
        <v>580</v>
      </c>
      <c r="G374" s="3238">
        <v>1380</v>
      </c>
    </row>
    <row r="375" spans="1:7" s="3218" customFormat="1">
      <c r="A375" s="3225" t="s">
        <v>3155</v>
      </c>
      <c r="B375" s="3225" t="s">
        <v>3164</v>
      </c>
      <c r="C375" s="3225">
        <v>2090</v>
      </c>
      <c r="D375" s="3225">
        <v>2050</v>
      </c>
      <c r="E375" s="3225">
        <v>2020</v>
      </c>
      <c r="F375" s="3225">
        <v>520</v>
      </c>
      <c r="G375" s="3238">
        <v>1240</v>
      </c>
    </row>
    <row r="376" spans="1:7" s="3218" customFormat="1">
      <c r="A376" s="3225" t="s">
        <v>3155</v>
      </c>
      <c r="B376" s="3225" t="s">
        <v>277</v>
      </c>
      <c r="C376" s="3225">
        <v>2010</v>
      </c>
      <c r="D376" s="3225">
        <v>1980</v>
      </c>
      <c r="E376" s="3225">
        <v>1940</v>
      </c>
      <c r="F376" s="3225">
        <v>540</v>
      </c>
      <c r="G376" s="3238">
        <v>1190</v>
      </c>
    </row>
    <row r="377" spans="1:7" s="3218" customFormat="1" ht="12" thickBot="1">
      <c r="A377" s="3233" t="s">
        <v>3155</v>
      </c>
      <c r="B377" s="3236" t="s">
        <v>2917</v>
      </c>
      <c r="C377" s="3236">
        <v>1930</v>
      </c>
      <c r="D377" s="3236">
        <v>1890</v>
      </c>
      <c r="E377" s="3236">
        <v>1860</v>
      </c>
      <c r="F377" s="3236">
        <v>530</v>
      </c>
      <c r="G377" s="3241">
        <v>1150</v>
      </c>
    </row>
    <row r="378" spans="1:7" s="3218" customFormat="1">
      <c r="A378" s="3242" t="s">
        <v>3165</v>
      </c>
      <c r="B378" s="3221" t="s">
        <v>3166</v>
      </c>
      <c r="C378" s="3221">
        <v>1520</v>
      </c>
      <c r="D378" s="3221">
        <v>1490</v>
      </c>
      <c r="E378" s="3221">
        <v>1460</v>
      </c>
      <c r="F378" s="3221">
        <v>460</v>
      </c>
      <c r="G378" s="3237">
        <v>940</v>
      </c>
    </row>
    <row r="379" spans="1:7" s="3218" customFormat="1">
      <c r="A379" s="3243" t="s">
        <v>3165</v>
      </c>
      <c r="B379" s="3225" t="s">
        <v>3167</v>
      </c>
      <c r="C379" s="3225">
        <v>1500</v>
      </c>
      <c r="D379" s="3225">
        <v>1470</v>
      </c>
      <c r="E379" s="3225">
        <v>1430</v>
      </c>
      <c r="F379" s="3225">
        <v>460</v>
      </c>
      <c r="G379" s="3238">
        <v>920</v>
      </c>
    </row>
    <row r="380" spans="1:7" s="3218" customFormat="1">
      <c r="A380" s="3243" t="s">
        <v>3165</v>
      </c>
      <c r="B380" s="3225" t="s">
        <v>3168</v>
      </c>
      <c r="C380" s="3225">
        <v>1620</v>
      </c>
      <c r="D380" s="3225">
        <v>1590</v>
      </c>
      <c r="E380" s="3225">
        <v>1560</v>
      </c>
      <c r="F380" s="3225">
        <v>480</v>
      </c>
      <c r="G380" s="3238">
        <v>1000</v>
      </c>
    </row>
    <row r="381" spans="1:7" s="3218" customFormat="1">
      <c r="A381" s="3243" t="s">
        <v>3165</v>
      </c>
      <c r="B381" s="3225" t="s">
        <v>3169</v>
      </c>
      <c r="C381" s="3225">
        <v>1460</v>
      </c>
      <c r="D381" s="3225">
        <v>1430</v>
      </c>
      <c r="E381" s="3225">
        <v>1390</v>
      </c>
      <c r="F381" s="3225">
        <v>450</v>
      </c>
      <c r="G381" s="3238">
        <v>900</v>
      </c>
    </row>
    <row r="382" spans="1:7" s="3218" customFormat="1">
      <c r="A382" s="3243" t="s">
        <v>3165</v>
      </c>
      <c r="B382" s="3225" t="s">
        <v>3170</v>
      </c>
      <c r="C382" s="3225">
        <v>1310</v>
      </c>
      <c r="D382" s="3225">
        <v>1280</v>
      </c>
      <c r="E382" s="3225">
        <v>1250</v>
      </c>
      <c r="F382" s="3225">
        <v>440</v>
      </c>
      <c r="G382" s="3238">
        <v>800</v>
      </c>
    </row>
    <row r="383" spans="1:7" s="3218" customFormat="1">
      <c r="A383" s="3243" t="s">
        <v>3165</v>
      </c>
      <c r="B383" s="3225" t="s">
        <v>3171</v>
      </c>
      <c r="C383" s="3225">
        <v>1260</v>
      </c>
      <c r="D383" s="3225">
        <v>1230</v>
      </c>
      <c r="E383" s="3225">
        <v>1200</v>
      </c>
      <c r="F383" s="3225">
        <v>420</v>
      </c>
      <c r="G383" s="3238">
        <v>770</v>
      </c>
    </row>
    <row r="384" spans="1:7" s="3218" customFormat="1" ht="12" thickBot="1">
      <c r="A384" s="3244" t="s">
        <v>3165</v>
      </c>
      <c r="B384" s="3232" t="s">
        <v>3172</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44" t="s">
        <v>3173</v>
      </c>
      <c r="B1" s="3844"/>
    </row>
    <row r="2" spans="1:7" ht="14.25" thickBot="1">
      <c r="A2" s="3247"/>
      <c r="B2" s="3247"/>
    </row>
    <row r="3" spans="1:7" ht="14.25" thickBot="1">
      <c r="A3" s="3247"/>
      <c r="B3" s="3247"/>
      <c r="C3" s="3248" t="s">
        <v>2801</v>
      </c>
      <c r="D3" s="3248" t="s">
        <v>2859</v>
      </c>
      <c r="E3" s="3248" t="s">
        <v>2803</v>
      </c>
      <c r="F3" s="3248" t="s">
        <v>2860</v>
      </c>
      <c r="G3" s="3248" t="s">
        <v>2621</v>
      </c>
    </row>
    <row r="4" spans="1:7" ht="14.25" thickBot="1">
      <c r="A4" s="3249" t="s">
        <v>2858</v>
      </c>
      <c r="B4" s="3250" t="s">
        <v>2864</v>
      </c>
      <c r="C4" s="3248"/>
      <c r="D4" s="3248"/>
      <c r="E4" s="3248"/>
      <c r="F4" s="3248"/>
      <c r="G4" s="3248"/>
    </row>
    <row r="5" spans="1:7">
      <c r="A5" s="3251" t="s">
        <v>2832</v>
      </c>
      <c r="B5" s="3252" t="s">
        <v>2846</v>
      </c>
      <c r="C5" s="3253">
        <v>9.8000000000000004E-2</v>
      </c>
      <c r="D5" s="3253">
        <v>8.6999999999999994E-2</v>
      </c>
      <c r="E5" s="3253">
        <v>8.6999999999999994E-2</v>
      </c>
      <c r="F5" s="3253">
        <v>9.8000000000000004E-2</v>
      </c>
      <c r="G5" s="3254">
        <v>9.5000000000000001E-2</v>
      </c>
    </row>
    <row r="6" spans="1:7">
      <c r="A6" s="3255" t="s">
        <v>144</v>
      </c>
      <c r="B6" s="3256" t="s">
        <v>2861</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2847</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2897</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2915</v>
      </c>
      <c r="C29" s="3265"/>
      <c r="D29" s="3261">
        <v>5.1999999999999998E-2</v>
      </c>
      <c r="E29" s="3261">
        <v>7.0000000000000007E-2</v>
      </c>
      <c r="F29" s="3265"/>
      <c r="G29" s="3263">
        <v>7.0999999999999994E-2</v>
      </c>
    </row>
    <row r="30" spans="1:7">
      <c r="A30" s="3266" t="s">
        <v>296</v>
      </c>
      <c r="B30" s="3252" t="s">
        <v>2848</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2834</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2918</v>
      </c>
      <c r="C50" s="3257">
        <v>9.8000000000000004E-2</v>
      </c>
      <c r="D50" s="3257">
        <v>7.2999999999999995E-2</v>
      </c>
      <c r="E50" s="3257">
        <v>7.0999999999999994E-2</v>
      </c>
      <c r="F50" s="3268"/>
      <c r="G50" s="3258">
        <v>7.2999999999999995E-2</v>
      </c>
    </row>
    <row r="51" spans="1:7">
      <c r="A51" s="3267" t="s">
        <v>296</v>
      </c>
      <c r="B51" s="3256" t="s">
        <v>2920</v>
      </c>
      <c r="C51" s="3257">
        <v>9.9000000000000005E-2</v>
      </c>
      <c r="D51" s="3257">
        <v>8.5000000000000006E-2</v>
      </c>
      <c r="E51" s="3257">
        <v>6.3E-2</v>
      </c>
      <c r="F51" s="3268"/>
      <c r="G51" s="3258">
        <v>9.6000000000000002E-2</v>
      </c>
    </row>
    <row r="52" spans="1:7">
      <c r="A52" s="3267" t="s">
        <v>296</v>
      </c>
      <c r="B52" s="3256" t="s">
        <v>2924</v>
      </c>
      <c r="C52" s="3257">
        <v>7.3999999999999996E-2</v>
      </c>
      <c r="D52" s="3257">
        <v>9.6000000000000002E-2</v>
      </c>
      <c r="E52" s="3257">
        <v>0.05</v>
      </c>
      <c r="F52" s="3268"/>
      <c r="G52" s="3258">
        <v>9.8000000000000004E-2</v>
      </c>
    </row>
    <row r="53" spans="1:7">
      <c r="A53" s="3267" t="s">
        <v>296</v>
      </c>
      <c r="B53" s="3256" t="s">
        <v>2929</v>
      </c>
      <c r="C53" s="3257">
        <v>8.5999999999999993E-2</v>
      </c>
      <c r="D53" s="3268"/>
      <c r="E53" s="3257">
        <v>9.1999999999999998E-2</v>
      </c>
      <c r="F53" s="3268"/>
      <c r="G53" s="3269"/>
    </row>
    <row r="54" spans="1:7" ht="14.25" thickBot="1">
      <c r="A54" s="3270" t="s">
        <v>296</v>
      </c>
      <c r="B54" s="3260" t="s">
        <v>2932</v>
      </c>
      <c r="C54" s="3261">
        <v>9.6000000000000002E-2</v>
      </c>
      <c r="D54" s="3262"/>
      <c r="E54" s="3271"/>
      <c r="F54" s="3262"/>
      <c r="G54" s="3272"/>
    </row>
    <row r="55" spans="1:7">
      <c r="A55" s="3266" t="s">
        <v>110</v>
      </c>
      <c r="B55" s="3252" t="s">
        <v>2849</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2930</v>
      </c>
      <c r="C78" s="3257">
        <v>0.1</v>
      </c>
      <c r="D78" s="3257">
        <v>8.5000000000000006E-2</v>
      </c>
      <c r="E78" s="3257">
        <v>9.6000000000000002E-2</v>
      </c>
      <c r="F78" s="3268"/>
      <c r="G78" s="3258">
        <v>9.6000000000000002E-2</v>
      </c>
    </row>
    <row r="79" spans="1:7">
      <c r="A79" s="3267" t="s">
        <v>110</v>
      </c>
      <c r="B79" s="3256" t="s">
        <v>2933</v>
      </c>
      <c r="C79" s="3257">
        <v>0.05</v>
      </c>
      <c r="D79" s="3257">
        <v>9.6000000000000002E-2</v>
      </c>
      <c r="E79" s="3257">
        <v>9.5000000000000001E-2</v>
      </c>
      <c r="F79" s="3268"/>
      <c r="G79" s="3258">
        <v>9.8000000000000004E-2</v>
      </c>
    </row>
    <row r="80" spans="1:7">
      <c r="A80" s="3267" t="s">
        <v>110</v>
      </c>
      <c r="B80" s="3256" t="s">
        <v>2937</v>
      </c>
      <c r="C80" s="3257">
        <v>8.5999999999999993E-2</v>
      </c>
      <c r="D80" s="3273"/>
      <c r="E80" s="3257">
        <v>0.1</v>
      </c>
      <c r="F80" s="3268"/>
      <c r="G80" s="3269"/>
    </row>
    <row r="81" spans="1:7">
      <c r="A81" s="3267" t="s">
        <v>110</v>
      </c>
      <c r="B81" s="3256" t="s">
        <v>2942</v>
      </c>
      <c r="C81" s="3257">
        <v>9.6000000000000002E-2</v>
      </c>
      <c r="D81" s="3268"/>
      <c r="E81" s="3257">
        <v>9.8000000000000004E-2</v>
      </c>
      <c r="F81" s="3268"/>
      <c r="G81" s="3269"/>
    </row>
    <row r="82" spans="1:7">
      <c r="A82" s="3267" t="s">
        <v>110</v>
      </c>
      <c r="B82" s="3256" t="s">
        <v>2949</v>
      </c>
      <c r="C82" s="3273"/>
      <c r="D82" s="3268"/>
      <c r="E82" s="3257">
        <v>7.6999999999999999E-2</v>
      </c>
      <c r="F82" s="3268"/>
      <c r="G82" s="3269"/>
    </row>
    <row r="83" spans="1:7">
      <c r="A83" s="3267" t="s">
        <v>110</v>
      </c>
      <c r="B83" s="3256" t="s">
        <v>2955</v>
      </c>
      <c r="C83" s="3268"/>
      <c r="D83" s="3268"/>
      <c r="E83" s="3268"/>
      <c r="F83" s="3257">
        <v>0.1</v>
      </c>
      <c r="G83" s="3274"/>
    </row>
    <row r="84" spans="1:7">
      <c r="A84" s="3267" t="s">
        <v>110</v>
      </c>
      <c r="B84" s="3256" t="s">
        <v>2962</v>
      </c>
      <c r="C84" s="3268"/>
      <c r="D84" s="3268"/>
      <c r="E84" s="3268"/>
      <c r="F84" s="3257">
        <v>0.1</v>
      </c>
      <c r="G84" s="3274"/>
    </row>
    <row r="85" spans="1:7">
      <c r="A85" s="3267" t="s">
        <v>110</v>
      </c>
      <c r="B85" s="3256" t="s">
        <v>2969</v>
      </c>
      <c r="C85" s="3268"/>
      <c r="D85" s="3268"/>
      <c r="E85" s="3268"/>
      <c r="F85" s="3257">
        <v>0.1</v>
      </c>
      <c r="G85" s="3274"/>
    </row>
    <row r="86" spans="1:7" ht="14.25" thickBot="1">
      <c r="A86" s="3270" t="s">
        <v>110</v>
      </c>
      <c r="B86" s="3260" t="s">
        <v>2974</v>
      </c>
      <c r="C86" s="3261">
        <v>9.8000000000000004E-2</v>
      </c>
      <c r="D86" s="3261">
        <v>9.8000000000000004E-2</v>
      </c>
      <c r="E86" s="3261">
        <v>9.6000000000000002E-2</v>
      </c>
      <c r="F86" s="3271"/>
      <c r="G86" s="3263">
        <v>0.1</v>
      </c>
    </row>
    <row r="87" spans="1:7">
      <c r="A87" s="3266" t="s">
        <v>303</v>
      </c>
      <c r="B87" s="3252" t="s">
        <v>2850</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2943</v>
      </c>
      <c r="C113" s="3257">
        <v>0.1</v>
      </c>
      <c r="D113" s="3257">
        <v>0.1</v>
      </c>
      <c r="E113" s="3268"/>
      <c r="F113" s="3268"/>
      <c r="G113" s="3258">
        <v>0.1</v>
      </c>
    </row>
    <row r="114" spans="1:7">
      <c r="A114" s="3267" t="s">
        <v>303</v>
      </c>
      <c r="B114" s="3256" t="s">
        <v>2950</v>
      </c>
      <c r="C114" s="3257">
        <v>9.7000000000000003E-2</v>
      </c>
      <c r="D114" s="3257">
        <v>9.7000000000000003E-2</v>
      </c>
      <c r="E114" s="3268"/>
      <c r="F114" s="3268"/>
      <c r="G114" s="3258">
        <v>9.9000000000000005E-2</v>
      </c>
    </row>
    <row r="115" spans="1:7">
      <c r="A115" s="3267" t="s">
        <v>303</v>
      </c>
      <c r="B115" s="3256" t="s">
        <v>2956</v>
      </c>
      <c r="C115" s="3257">
        <v>0.1</v>
      </c>
      <c r="D115" s="3257">
        <v>0.1</v>
      </c>
      <c r="E115" s="3268"/>
      <c r="F115" s="3268"/>
      <c r="G115" s="3258">
        <v>0.1</v>
      </c>
    </row>
    <row r="116" spans="1:7">
      <c r="A116" s="3267" t="s">
        <v>303</v>
      </c>
      <c r="B116" s="3256" t="s">
        <v>2963</v>
      </c>
      <c r="C116" s="3257">
        <v>0.1</v>
      </c>
      <c r="D116" s="3257">
        <v>0.1</v>
      </c>
      <c r="E116" s="3268"/>
      <c r="F116" s="3268"/>
      <c r="G116" s="3258">
        <v>0.1</v>
      </c>
    </row>
    <row r="117" spans="1:7">
      <c r="A117" s="3267" t="s">
        <v>303</v>
      </c>
      <c r="B117" s="3256" t="s">
        <v>2970</v>
      </c>
      <c r="C117" s="3257">
        <v>9.7000000000000003E-2</v>
      </c>
      <c r="D117" s="3257">
        <v>9.7000000000000003E-2</v>
      </c>
      <c r="E117" s="3268"/>
      <c r="F117" s="3268"/>
      <c r="G117" s="3258">
        <v>9.7000000000000003E-2</v>
      </c>
    </row>
    <row r="118" spans="1:7">
      <c r="A118" s="3267" t="s">
        <v>303</v>
      </c>
      <c r="B118" s="3256" t="s">
        <v>2975</v>
      </c>
      <c r="C118" s="3257">
        <v>0.1</v>
      </c>
      <c r="D118" s="3257">
        <v>0.1</v>
      </c>
      <c r="E118" s="3268"/>
      <c r="F118" s="3268"/>
      <c r="G118" s="3258">
        <v>0.1</v>
      </c>
    </row>
    <row r="119" spans="1:7">
      <c r="A119" s="3267" t="s">
        <v>303</v>
      </c>
      <c r="B119" s="3256" t="s">
        <v>2979</v>
      </c>
      <c r="C119" s="3257">
        <v>5.0999999999999997E-2</v>
      </c>
      <c r="D119" s="3257">
        <v>5.1999999999999998E-2</v>
      </c>
      <c r="E119" s="3268"/>
      <c r="F119" s="3273"/>
      <c r="G119" s="3258">
        <v>0.06</v>
      </c>
    </row>
    <row r="120" spans="1:7">
      <c r="A120" s="3267" t="s">
        <v>303</v>
      </c>
      <c r="B120" s="3256" t="s">
        <v>2983</v>
      </c>
      <c r="C120" s="3268"/>
      <c r="D120" s="3268"/>
      <c r="E120" s="3268"/>
      <c r="F120" s="3257">
        <v>0.1</v>
      </c>
      <c r="G120" s="3274"/>
    </row>
    <row r="121" spans="1:7">
      <c r="A121" s="3267" t="s">
        <v>303</v>
      </c>
      <c r="B121" s="3256" t="s">
        <v>2988</v>
      </c>
      <c r="C121" s="3268"/>
      <c r="D121" s="3268"/>
      <c r="E121" s="3268"/>
      <c r="F121" s="3257">
        <v>0.1</v>
      </c>
      <c r="G121" s="3274"/>
    </row>
    <row r="122" spans="1:7">
      <c r="A122" s="3267" t="s">
        <v>303</v>
      </c>
      <c r="B122" s="3256" t="s">
        <v>2993</v>
      </c>
      <c r="C122" s="3257">
        <v>0.1</v>
      </c>
      <c r="D122" s="3257">
        <v>0.1</v>
      </c>
      <c r="E122" s="3257">
        <v>9.8000000000000004E-2</v>
      </c>
      <c r="F122" s="3257">
        <v>0.1</v>
      </c>
      <c r="G122" s="3258">
        <v>0.1</v>
      </c>
    </row>
    <row r="123" spans="1:7">
      <c r="A123" s="3267" t="s">
        <v>303</v>
      </c>
      <c r="B123" s="3256" t="s">
        <v>2998</v>
      </c>
      <c r="C123" s="3257">
        <v>0.1</v>
      </c>
      <c r="D123" s="3257">
        <v>0.1</v>
      </c>
      <c r="E123" s="3257">
        <v>9.8000000000000004E-2</v>
      </c>
      <c r="F123" s="3257">
        <v>0.1</v>
      </c>
      <c r="G123" s="3258">
        <v>0.1</v>
      </c>
    </row>
    <row r="124" spans="1:7">
      <c r="A124" s="3267" t="s">
        <v>303</v>
      </c>
      <c r="B124" s="3256" t="s">
        <v>3003</v>
      </c>
      <c r="C124" s="3257">
        <v>0.1</v>
      </c>
      <c r="D124" s="3257">
        <v>0.1</v>
      </c>
      <c r="E124" s="3257">
        <v>9.8000000000000004E-2</v>
      </c>
      <c r="F124" s="3273"/>
      <c r="G124" s="3258">
        <v>0.1</v>
      </c>
    </row>
    <row r="125" spans="1:7">
      <c r="A125" s="3267" t="s">
        <v>303</v>
      </c>
      <c r="B125" s="3256" t="s">
        <v>3008</v>
      </c>
      <c r="C125" s="3257">
        <v>9.8000000000000004E-2</v>
      </c>
      <c r="D125" s="3257">
        <v>9.8000000000000004E-2</v>
      </c>
      <c r="E125" s="3257">
        <v>9.6000000000000002E-2</v>
      </c>
      <c r="F125" s="3273"/>
      <c r="G125" s="3258">
        <v>0.1</v>
      </c>
    </row>
    <row r="126" spans="1:7" ht="14.25" thickBot="1">
      <c r="A126" s="3270" t="s">
        <v>303</v>
      </c>
      <c r="B126" s="3260" t="s">
        <v>3174</v>
      </c>
      <c r="C126" s="3261">
        <v>0.1</v>
      </c>
      <c r="D126" s="3261">
        <v>0.1</v>
      </c>
      <c r="E126" s="3261">
        <v>9.8000000000000004E-2</v>
      </c>
      <c r="F126" s="3261">
        <v>0.1</v>
      </c>
      <c r="G126" s="3263">
        <v>0.1</v>
      </c>
    </row>
    <row r="127" spans="1:7">
      <c r="A127" s="3266" t="s">
        <v>29</v>
      </c>
      <c r="B127" s="3252" t="s">
        <v>2851</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2921</v>
      </c>
      <c r="C148" s="3257">
        <v>0.13</v>
      </c>
      <c r="D148" s="3257">
        <v>0.13</v>
      </c>
      <c r="E148" s="3257">
        <v>0.13</v>
      </c>
      <c r="F148" s="3268"/>
      <c r="G148" s="3258">
        <v>0.13</v>
      </c>
    </row>
    <row r="149" spans="1:7">
      <c r="A149" s="3267" t="s">
        <v>29</v>
      </c>
      <c r="B149" s="3256" t="s">
        <v>2925</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2944</v>
      </c>
      <c r="C153" s="3257">
        <v>0.13</v>
      </c>
      <c r="D153" s="3257">
        <v>0.13</v>
      </c>
      <c r="E153" s="3257">
        <v>0.13</v>
      </c>
      <c r="F153" s="3257">
        <v>0.13</v>
      </c>
      <c r="G153" s="3258">
        <v>0.13</v>
      </c>
    </row>
    <row r="154" spans="1:7">
      <c r="A154" s="3267" t="s">
        <v>29</v>
      </c>
      <c r="B154" s="3256" t="s">
        <v>2951</v>
      </c>
      <c r="C154" s="3257">
        <v>0.121</v>
      </c>
      <c r="D154" s="3257">
        <v>0.121</v>
      </c>
      <c r="E154" s="3257">
        <v>0.105</v>
      </c>
      <c r="F154" s="3257">
        <v>0.121</v>
      </c>
      <c r="G154" s="3258">
        <v>0.123</v>
      </c>
    </row>
    <row r="155" spans="1:7">
      <c r="A155" s="3267" t="s">
        <v>29</v>
      </c>
      <c r="B155" s="3256" t="s">
        <v>2957</v>
      </c>
      <c r="C155" s="3257">
        <v>0.1</v>
      </c>
      <c r="D155" s="3257">
        <v>0.1</v>
      </c>
      <c r="E155" s="3257">
        <v>0.1</v>
      </c>
      <c r="F155" s="3257">
        <v>0.1</v>
      </c>
      <c r="G155" s="3258">
        <v>0.1</v>
      </c>
    </row>
    <row r="156" spans="1:7">
      <c r="A156" s="3267" t="s">
        <v>29</v>
      </c>
      <c r="B156" s="3256" t="s">
        <v>2964</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2984</v>
      </c>
      <c r="C160" s="3257">
        <v>0.13</v>
      </c>
      <c r="D160" s="3257">
        <v>0.13</v>
      </c>
      <c r="E160" s="3257">
        <v>0.124</v>
      </c>
      <c r="F160" s="3257">
        <v>0.126</v>
      </c>
      <c r="G160" s="3258">
        <v>0.13</v>
      </c>
    </row>
    <row r="161" spans="1:7">
      <c r="A161" s="3267" t="s">
        <v>29</v>
      </c>
      <c r="B161" s="3256" t="s">
        <v>2989</v>
      </c>
      <c r="C161" s="3257">
        <v>0.13</v>
      </c>
      <c r="D161" s="3257">
        <v>0.13</v>
      </c>
      <c r="E161" s="3257">
        <v>0.124</v>
      </c>
      <c r="F161" s="3257">
        <v>0.127</v>
      </c>
      <c r="G161" s="3258">
        <v>0.13</v>
      </c>
    </row>
    <row r="162" spans="1:7">
      <c r="A162" s="3267" t="s">
        <v>29</v>
      </c>
      <c r="B162" s="3256" t="s">
        <v>2994</v>
      </c>
      <c r="C162" s="3257">
        <v>0.1</v>
      </c>
      <c r="D162" s="3257">
        <v>0.1</v>
      </c>
      <c r="E162" s="3257">
        <v>0.1</v>
      </c>
      <c r="F162" s="3257">
        <v>0.121</v>
      </c>
      <c r="G162" s="3258">
        <v>0.105</v>
      </c>
    </row>
    <row r="163" spans="1:7">
      <c r="A163" s="3267" t="s">
        <v>29</v>
      </c>
      <c r="B163" s="3256" t="s">
        <v>2999</v>
      </c>
      <c r="C163" s="3257">
        <v>0.1</v>
      </c>
      <c r="D163" s="3257">
        <v>0.1</v>
      </c>
      <c r="E163" s="3257">
        <v>0.1</v>
      </c>
      <c r="F163" s="3257">
        <v>0.1</v>
      </c>
      <c r="G163" s="3258">
        <v>0.1</v>
      </c>
    </row>
    <row r="164" spans="1:7">
      <c r="A164" s="3267" t="s">
        <v>29</v>
      </c>
      <c r="B164" s="3256" t="s">
        <v>3004</v>
      </c>
      <c r="C164" s="3273"/>
      <c r="D164" s="3273"/>
      <c r="E164" s="3273"/>
      <c r="F164" s="3257">
        <v>0.1</v>
      </c>
      <c r="G164" s="3269"/>
    </row>
    <row r="165" spans="1:7">
      <c r="A165" s="3267" t="s">
        <v>29</v>
      </c>
      <c r="B165" s="3256" t="s">
        <v>3175</v>
      </c>
      <c r="C165" s="3257">
        <v>0.126</v>
      </c>
      <c r="D165" s="3257">
        <v>0.126</v>
      </c>
      <c r="E165" s="3257">
        <v>0.11899999999999999</v>
      </c>
      <c r="F165" s="3257">
        <v>0.13</v>
      </c>
      <c r="G165" s="3258">
        <v>0.128</v>
      </c>
    </row>
    <row r="166" spans="1:7">
      <c r="A166" s="3267" t="s">
        <v>29</v>
      </c>
      <c r="B166" s="3256" t="s">
        <v>3014</v>
      </c>
      <c r="C166" s="3257">
        <v>0.129</v>
      </c>
      <c r="D166" s="3257">
        <v>0.129</v>
      </c>
      <c r="E166" s="3257">
        <v>0.123</v>
      </c>
      <c r="F166" s="3257">
        <v>0.128</v>
      </c>
      <c r="G166" s="3258">
        <v>0.13</v>
      </c>
    </row>
    <row r="167" spans="1:7">
      <c r="A167" s="3267" t="s">
        <v>29</v>
      </c>
      <c r="B167" s="3256" t="s">
        <v>3018</v>
      </c>
      <c r="C167" s="3257">
        <v>0.125</v>
      </c>
      <c r="D167" s="3257">
        <v>0.125</v>
      </c>
      <c r="E167" s="3257">
        <v>0.11700000000000001</v>
      </c>
      <c r="F167" s="3257">
        <v>0.13</v>
      </c>
      <c r="G167" s="3258">
        <v>0.126</v>
      </c>
    </row>
    <row r="168" spans="1:7">
      <c r="A168" s="3267" t="s">
        <v>29</v>
      </c>
      <c r="B168" s="3256" t="s">
        <v>3023</v>
      </c>
      <c r="C168" s="3257">
        <v>0.128</v>
      </c>
      <c r="D168" s="3257">
        <v>0.128</v>
      </c>
      <c r="E168" s="3257">
        <v>0.123</v>
      </c>
      <c r="F168" s="3268"/>
      <c r="G168" s="3258">
        <v>0.13</v>
      </c>
    </row>
    <row r="169" spans="1:7">
      <c r="A169" s="3267" t="s">
        <v>29</v>
      </c>
      <c r="B169" s="3256" t="s">
        <v>3176</v>
      </c>
      <c r="C169" s="3273"/>
      <c r="D169" s="3273"/>
      <c r="E169" s="3273"/>
      <c r="F169" s="3257">
        <v>0.05</v>
      </c>
      <c r="G169" s="3269"/>
    </row>
    <row r="170" spans="1:7">
      <c r="A170" s="3267" t="s">
        <v>29</v>
      </c>
      <c r="B170" s="3256" t="s">
        <v>3177</v>
      </c>
      <c r="C170" s="3273"/>
      <c r="D170" s="3273"/>
      <c r="E170" s="3273"/>
      <c r="F170" s="3257">
        <v>0.05</v>
      </c>
      <c r="G170" s="3269"/>
    </row>
    <row r="171" spans="1:7">
      <c r="A171" s="3267" t="s">
        <v>29</v>
      </c>
      <c r="B171" s="3256" t="s">
        <v>3178</v>
      </c>
      <c r="C171" s="3273"/>
      <c r="D171" s="3273"/>
      <c r="E171" s="3273"/>
      <c r="F171" s="3257">
        <v>0.05</v>
      </c>
      <c r="G171" s="3274"/>
    </row>
    <row r="172" spans="1:7">
      <c r="A172" s="3267" t="s">
        <v>29</v>
      </c>
      <c r="B172" s="3256" t="s">
        <v>3179</v>
      </c>
      <c r="C172" s="3273"/>
      <c r="D172" s="3273"/>
      <c r="E172" s="3273"/>
      <c r="F172" s="3257">
        <v>0.05</v>
      </c>
      <c r="G172" s="3274"/>
    </row>
    <row r="173" spans="1:7">
      <c r="A173" s="3267" t="s">
        <v>29</v>
      </c>
      <c r="B173" s="3256" t="s">
        <v>3180</v>
      </c>
      <c r="C173" s="3273"/>
      <c r="D173" s="3273"/>
      <c r="E173" s="3273"/>
      <c r="F173" s="3257">
        <v>0.05</v>
      </c>
      <c r="G173" s="3269"/>
    </row>
    <row r="174" spans="1:7">
      <c r="A174" s="3267" t="s">
        <v>29</v>
      </c>
      <c r="B174" s="3256" t="s">
        <v>3181</v>
      </c>
      <c r="C174" s="3273"/>
      <c r="D174" s="3273"/>
      <c r="E174" s="3273"/>
      <c r="F174" s="3257">
        <v>0.05</v>
      </c>
      <c r="G174" s="3269"/>
    </row>
    <row r="175" spans="1:7">
      <c r="A175" s="3267" t="s">
        <v>29</v>
      </c>
      <c r="B175" s="3256" t="s">
        <v>3182</v>
      </c>
      <c r="C175" s="3273"/>
      <c r="D175" s="3273"/>
      <c r="E175" s="3273"/>
      <c r="F175" s="3257">
        <v>0.05</v>
      </c>
      <c r="G175" s="3269"/>
    </row>
    <row r="176" spans="1:7">
      <c r="A176" s="3267" t="s">
        <v>29</v>
      </c>
      <c r="B176" s="3256" t="s">
        <v>3183</v>
      </c>
      <c r="C176" s="3273"/>
      <c r="D176" s="3273"/>
      <c r="E176" s="3273"/>
      <c r="F176" s="3257">
        <v>0.05</v>
      </c>
      <c r="G176" s="3269"/>
    </row>
    <row r="177" spans="1:7">
      <c r="A177" s="3267" t="s">
        <v>29</v>
      </c>
      <c r="B177" s="3256" t="s">
        <v>3184</v>
      </c>
      <c r="C177" s="3268"/>
      <c r="D177" s="3268"/>
      <c r="E177" s="3268"/>
      <c r="F177" s="3257">
        <v>0.05</v>
      </c>
      <c r="G177" s="3274"/>
    </row>
    <row r="178" spans="1:7">
      <c r="A178" s="3267" t="s">
        <v>29</v>
      </c>
      <c r="B178" s="3256" t="s">
        <v>3185</v>
      </c>
      <c r="C178" s="3268"/>
      <c r="D178" s="3268"/>
      <c r="E178" s="3268"/>
      <c r="F178" s="3257">
        <v>0.05</v>
      </c>
      <c r="G178" s="3274"/>
    </row>
    <row r="179" spans="1:7">
      <c r="A179" s="3267" t="s">
        <v>29</v>
      </c>
      <c r="B179" s="3256" t="s">
        <v>3186</v>
      </c>
      <c r="C179" s="3268"/>
      <c r="D179" s="3268"/>
      <c r="E179" s="3268"/>
      <c r="F179" s="3257">
        <v>0.05</v>
      </c>
      <c r="G179" s="3274"/>
    </row>
    <row r="180" spans="1:7">
      <c r="A180" s="3267" t="s">
        <v>29</v>
      </c>
      <c r="B180" s="3256" t="s">
        <v>3187</v>
      </c>
      <c r="C180" s="3268"/>
      <c r="D180" s="3268"/>
      <c r="E180" s="3268"/>
      <c r="F180" s="3257">
        <v>0.05</v>
      </c>
      <c r="G180" s="3274"/>
    </row>
    <row r="181" spans="1:7">
      <c r="A181" s="3267" t="s">
        <v>29</v>
      </c>
      <c r="B181" s="3256" t="s">
        <v>3188</v>
      </c>
      <c r="C181" s="3268"/>
      <c r="D181" s="3268"/>
      <c r="E181" s="3268"/>
      <c r="F181" s="3257">
        <v>0.05</v>
      </c>
      <c r="G181" s="3274"/>
    </row>
    <row r="182" spans="1:7">
      <c r="A182" s="3267" t="s">
        <v>29</v>
      </c>
      <c r="B182" s="3256" t="s">
        <v>3189</v>
      </c>
      <c r="C182" s="3268"/>
      <c r="D182" s="3268"/>
      <c r="E182" s="3268"/>
      <c r="F182" s="3257">
        <v>0.05</v>
      </c>
      <c r="G182" s="3274"/>
    </row>
    <row r="183" spans="1:7">
      <c r="A183" s="3267" t="s">
        <v>29</v>
      </c>
      <c r="B183" s="3256" t="s">
        <v>3190</v>
      </c>
      <c r="C183" s="3268"/>
      <c r="D183" s="3268"/>
      <c r="E183" s="3268"/>
      <c r="F183" s="3257">
        <v>0.05</v>
      </c>
      <c r="G183" s="3274"/>
    </row>
    <row r="184" spans="1:7">
      <c r="A184" s="3267" t="s">
        <v>29</v>
      </c>
      <c r="B184" s="3256" t="s">
        <v>3191</v>
      </c>
      <c r="C184" s="3268"/>
      <c r="D184" s="3268"/>
      <c r="E184" s="3268"/>
      <c r="F184" s="3257">
        <v>0.05</v>
      </c>
      <c r="G184" s="3274"/>
    </row>
    <row r="185" spans="1:7">
      <c r="A185" s="3267" t="s">
        <v>29</v>
      </c>
      <c r="B185" s="3256" t="s">
        <v>3192</v>
      </c>
      <c r="C185" s="3268"/>
      <c r="D185" s="3268"/>
      <c r="E185" s="3268"/>
      <c r="F185" s="3257">
        <v>0.05</v>
      </c>
      <c r="G185" s="3274"/>
    </row>
    <row r="186" spans="1:7">
      <c r="A186" s="3267" t="s">
        <v>29</v>
      </c>
      <c r="B186" s="3256" t="s">
        <v>3193</v>
      </c>
      <c r="C186" s="3268"/>
      <c r="D186" s="3268"/>
      <c r="E186" s="3268"/>
      <c r="F186" s="3257">
        <v>0.05</v>
      </c>
      <c r="G186" s="3274"/>
    </row>
    <row r="187" spans="1:7">
      <c r="A187" s="3267" t="s">
        <v>29</v>
      </c>
      <c r="B187" s="3256" t="s">
        <v>3194</v>
      </c>
      <c r="C187" s="3268"/>
      <c r="D187" s="3268"/>
      <c r="E187" s="3268"/>
      <c r="F187" s="3257">
        <v>0.05</v>
      </c>
      <c r="G187" s="3274"/>
    </row>
    <row r="188" spans="1:7">
      <c r="A188" s="3267" t="s">
        <v>29</v>
      </c>
      <c r="B188" s="3256" t="s">
        <v>3195</v>
      </c>
      <c r="C188" s="3268"/>
      <c r="D188" s="3268"/>
      <c r="E188" s="3268"/>
      <c r="F188" s="3257">
        <v>0.05</v>
      </c>
      <c r="G188" s="3274"/>
    </row>
    <row r="189" spans="1:7" ht="14.25" thickBot="1">
      <c r="A189" s="3270" t="s">
        <v>29</v>
      </c>
      <c r="B189" s="3260" t="s">
        <v>3196</v>
      </c>
      <c r="C189" s="3262"/>
      <c r="D189" s="3262"/>
      <c r="E189" s="3262"/>
      <c r="F189" s="3261">
        <v>0.05</v>
      </c>
      <c r="G189" s="3275"/>
    </row>
    <row r="190" spans="1:7">
      <c r="A190" s="3266" t="s">
        <v>304</v>
      </c>
      <c r="B190" s="3252" t="s">
        <v>2852</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2888</v>
      </c>
      <c r="C199" s="3257">
        <v>0.13</v>
      </c>
      <c r="D199" s="3257">
        <v>0.13</v>
      </c>
      <c r="E199" s="3257">
        <v>0.13</v>
      </c>
      <c r="F199" s="3257">
        <v>0.13</v>
      </c>
      <c r="G199" s="3258">
        <v>0.13</v>
      </c>
    </row>
    <row r="200" spans="1:7">
      <c r="A200" s="3267" t="s">
        <v>304</v>
      </c>
      <c r="B200" s="3256" t="s">
        <v>2891</v>
      </c>
      <c r="C200" s="3273"/>
      <c r="D200" s="3273"/>
      <c r="E200" s="3273"/>
      <c r="F200" s="3257">
        <v>0.13</v>
      </c>
      <c r="G200" s="3269"/>
    </row>
    <row r="201" spans="1:7">
      <c r="A201" s="3267" t="s">
        <v>304</v>
      </c>
      <c r="B201" s="3256" t="s">
        <v>2896</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2899</v>
      </c>
      <c r="C203" s="3257">
        <v>0.129</v>
      </c>
      <c r="D203" s="3257">
        <v>0.129</v>
      </c>
      <c r="E203" s="3257">
        <v>0.13</v>
      </c>
      <c r="F203" s="3257">
        <v>0.13</v>
      </c>
      <c r="G203" s="3258">
        <v>0.13</v>
      </c>
    </row>
    <row r="204" spans="1:7">
      <c r="A204" s="3267" t="s">
        <v>304</v>
      </c>
      <c r="B204" s="3256" t="s">
        <v>2902</v>
      </c>
      <c r="C204" s="3257">
        <v>0.129</v>
      </c>
      <c r="D204" s="3257">
        <v>0.129</v>
      </c>
      <c r="E204" s="3257">
        <v>0.123</v>
      </c>
      <c r="F204" s="3257">
        <v>0.13</v>
      </c>
      <c r="G204" s="3258">
        <v>0.13</v>
      </c>
    </row>
    <row r="205" spans="1:7">
      <c r="A205" s="3267" t="s">
        <v>304</v>
      </c>
      <c r="B205" s="3256" t="s">
        <v>2904</v>
      </c>
      <c r="C205" s="3257">
        <v>0.13</v>
      </c>
      <c r="D205" s="3257">
        <v>0.13</v>
      </c>
      <c r="E205" s="3257">
        <v>0.13</v>
      </c>
      <c r="F205" s="3257">
        <v>0.13</v>
      </c>
      <c r="G205" s="3258">
        <v>0.13</v>
      </c>
    </row>
    <row r="206" spans="1:7">
      <c r="A206" s="3267" t="s">
        <v>304</v>
      </c>
      <c r="B206" s="3256" t="s">
        <v>2907</v>
      </c>
      <c r="C206" s="3257">
        <v>0.13</v>
      </c>
      <c r="D206" s="3257">
        <v>0.13</v>
      </c>
      <c r="E206" s="3257">
        <v>0.13</v>
      </c>
      <c r="F206" s="3257">
        <v>0.128</v>
      </c>
      <c r="G206" s="3258">
        <v>0.13</v>
      </c>
    </row>
    <row r="207" spans="1:7">
      <c r="A207" s="3267" t="s">
        <v>304</v>
      </c>
      <c r="B207" s="3256" t="s">
        <v>2909</v>
      </c>
      <c r="C207" s="3257">
        <v>0.13</v>
      </c>
      <c r="D207" s="3257">
        <v>0.13</v>
      </c>
      <c r="E207" s="3257">
        <v>0.13</v>
      </c>
      <c r="F207" s="3257">
        <v>0.13</v>
      </c>
      <c r="G207" s="3258">
        <v>0.13</v>
      </c>
    </row>
    <row r="208" spans="1:7">
      <c r="A208" s="3267" t="s">
        <v>304</v>
      </c>
      <c r="B208" s="3256" t="s">
        <v>2912</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2919</v>
      </c>
      <c r="C210" s="3257">
        <v>0.121</v>
      </c>
      <c r="D210" s="3257">
        <v>0.121</v>
      </c>
      <c r="E210" s="3257">
        <v>0.125</v>
      </c>
      <c r="F210" s="3257">
        <v>0.13</v>
      </c>
      <c r="G210" s="3258">
        <v>0.123</v>
      </c>
    </row>
    <row r="211" spans="1:7">
      <c r="A211" s="3267" t="s">
        <v>304</v>
      </c>
      <c r="B211" s="3256" t="s">
        <v>2922</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2934</v>
      </c>
      <c r="C214" s="3257">
        <v>0.128</v>
      </c>
      <c r="D214" s="3257">
        <v>0.128</v>
      </c>
      <c r="E214" s="3257">
        <v>0.13</v>
      </c>
      <c r="F214" s="3257">
        <v>0.13</v>
      </c>
      <c r="G214" s="3258">
        <v>0.13</v>
      </c>
    </row>
    <row r="215" spans="1:7">
      <c r="A215" s="3267" t="s">
        <v>304</v>
      </c>
      <c r="B215" s="3256" t="s">
        <v>2938</v>
      </c>
      <c r="C215" s="3257">
        <v>0.13</v>
      </c>
      <c r="D215" s="3257">
        <v>0.13</v>
      </c>
      <c r="E215" s="3257">
        <v>0.13</v>
      </c>
      <c r="F215" s="3257">
        <v>0.129</v>
      </c>
      <c r="G215" s="3258">
        <v>0.13</v>
      </c>
    </row>
    <row r="216" spans="1:7">
      <c r="A216" s="3267" t="s">
        <v>304</v>
      </c>
      <c r="B216" s="3256" t="s">
        <v>2945</v>
      </c>
      <c r="C216" s="3257">
        <v>0.13</v>
      </c>
      <c r="D216" s="3257">
        <v>0.13</v>
      </c>
      <c r="E216" s="3257">
        <v>0.13</v>
      </c>
      <c r="F216" s="3257">
        <v>0.13</v>
      </c>
      <c r="G216" s="3258">
        <v>0.13</v>
      </c>
    </row>
    <row r="217" spans="1:7">
      <c r="A217" s="3267" t="s">
        <v>304</v>
      </c>
      <c r="B217" s="3256" t="s">
        <v>2952</v>
      </c>
      <c r="C217" s="3257">
        <v>0.129</v>
      </c>
      <c r="D217" s="3257">
        <v>0.129</v>
      </c>
      <c r="E217" s="3257">
        <v>0.13</v>
      </c>
      <c r="F217" s="3257">
        <v>0.13</v>
      </c>
      <c r="G217" s="3258">
        <v>0.13</v>
      </c>
    </row>
    <row r="218" spans="1:7">
      <c r="A218" s="3267" t="s">
        <v>304</v>
      </c>
      <c r="B218" s="3256" t="s">
        <v>2958</v>
      </c>
      <c r="C218" s="3268"/>
      <c r="D218" s="3268"/>
      <c r="E218" s="3268"/>
      <c r="F218" s="3257">
        <v>0.05</v>
      </c>
      <c r="G218" s="3274"/>
    </row>
    <row r="219" spans="1:7">
      <c r="A219" s="3267" t="s">
        <v>304</v>
      </c>
      <c r="B219" s="3256" t="s">
        <v>2965</v>
      </c>
      <c r="C219" s="3268"/>
      <c r="D219" s="3268"/>
      <c r="E219" s="3268"/>
      <c r="F219" s="3257">
        <v>0.05</v>
      </c>
      <c r="G219" s="3274"/>
    </row>
    <row r="220" spans="1:7">
      <c r="A220" s="3267" t="s">
        <v>304</v>
      </c>
      <c r="B220" s="3256" t="s">
        <v>2971</v>
      </c>
      <c r="C220" s="3268"/>
      <c r="D220" s="3268"/>
      <c r="E220" s="3268"/>
      <c r="F220" s="3257">
        <v>0.05</v>
      </c>
      <c r="G220" s="3274"/>
    </row>
    <row r="221" spans="1:7">
      <c r="A221" s="3267" t="s">
        <v>304</v>
      </c>
      <c r="B221" s="3256" t="s">
        <v>2976</v>
      </c>
      <c r="C221" s="3268"/>
      <c r="D221" s="3268"/>
      <c r="E221" s="3268"/>
      <c r="F221" s="3257">
        <v>0.05</v>
      </c>
      <c r="G221" s="3274"/>
    </row>
    <row r="222" spans="1:7">
      <c r="A222" s="3267" t="s">
        <v>304</v>
      </c>
      <c r="B222" s="3256" t="s">
        <v>2980</v>
      </c>
      <c r="C222" s="3268"/>
      <c r="D222" s="3268"/>
      <c r="E222" s="3268"/>
      <c r="F222" s="3257">
        <v>0.05</v>
      </c>
      <c r="G222" s="3274"/>
    </row>
    <row r="223" spans="1:7">
      <c r="A223" s="3267" t="s">
        <v>304</v>
      </c>
      <c r="B223" s="3256" t="s">
        <v>2985</v>
      </c>
      <c r="C223" s="3268"/>
      <c r="D223" s="3268"/>
      <c r="E223" s="3268"/>
      <c r="F223" s="3257">
        <v>0.05</v>
      </c>
      <c r="G223" s="3274"/>
    </row>
    <row r="224" spans="1:7">
      <c r="A224" s="3267" t="s">
        <v>304</v>
      </c>
      <c r="B224" s="3256" t="s">
        <v>2990</v>
      </c>
      <c r="C224" s="3268"/>
      <c r="D224" s="3268"/>
      <c r="E224" s="3268"/>
      <c r="F224" s="3257">
        <v>0.05</v>
      </c>
      <c r="G224" s="3274"/>
    </row>
    <row r="225" spans="1:7">
      <c r="A225" s="3267" t="s">
        <v>304</v>
      </c>
      <c r="B225" s="3256" t="s">
        <v>2995</v>
      </c>
      <c r="C225" s="3268"/>
      <c r="D225" s="3268"/>
      <c r="E225" s="3268"/>
      <c r="F225" s="3257">
        <v>0.05</v>
      </c>
      <c r="G225" s="3274"/>
    </row>
    <row r="226" spans="1:7">
      <c r="A226" s="3267" t="s">
        <v>304</v>
      </c>
      <c r="B226" s="3256" t="s">
        <v>3197</v>
      </c>
      <c r="C226" s="3268"/>
      <c r="D226" s="3268"/>
      <c r="E226" s="3268"/>
      <c r="F226" s="3257">
        <v>0.05</v>
      </c>
      <c r="G226" s="3274"/>
    </row>
    <row r="227" spans="1:7">
      <c r="A227" s="3267" t="s">
        <v>304</v>
      </c>
      <c r="B227" s="3256" t="s">
        <v>3198</v>
      </c>
      <c r="C227" s="3268"/>
      <c r="D227" s="3268"/>
      <c r="E227" s="3268"/>
      <c r="F227" s="3257">
        <v>0.05</v>
      </c>
      <c r="G227" s="3274"/>
    </row>
    <row r="228" spans="1:7">
      <c r="A228" s="3267" t="s">
        <v>304</v>
      </c>
      <c r="B228" s="3256" t="s">
        <v>3199</v>
      </c>
      <c r="C228" s="3268"/>
      <c r="D228" s="3268"/>
      <c r="E228" s="3268"/>
      <c r="F228" s="3257">
        <v>0.05</v>
      </c>
      <c r="G228" s="3274"/>
    </row>
    <row r="229" spans="1:7">
      <c r="A229" s="3267" t="s">
        <v>304</v>
      </c>
      <c r="B229" s="3256" t="s">
        <v>3200</v>
      </c>
      <c r="C229" s="3268"/>
      <c r="D229" s="3268"/>
      <c r="E229" s="3268"/>
      <c r="F229" s="3257">
        <v>0.05</v>
      </c>
      <c r="G229" s="3274"/>
    </row>
    <row r="230" spans="1:7">
      <c r="A230" s="3267" t="s">
        <v>304</v>
      </c>
      <c r="B230" s="3256" t="s">
        <v>3201</v>
      </c>
      <c r="C230" s="3268"/>
      <c r="D230" s="3268"/>
      <c r="E230" s="3268"/>
      <c r="F230" s="3257">
        <v>0.05</v>
      </c>
      <c r="G230" s="3274"/>
    </row>
    <row r="231" spans="1:7">
      <c r="A231" s="3267" t="s">
        <v>304</v>
      </c>
      <c r="B231" s="3256" t="s">
        <v>3202</v>
      </c>
      <c r="C231" s="3268"/>
      <c r="D231" s="3268"/>
      <c r="E231" s="3268"/>
      <c r="F231" s="3257">
        <v>0.05</v>
      </c>
      <c r="G231" s="3274"/>
    </row>
    <row r="232" spans="1:7">
      <c r="A232" s="3267" t="s">
        <v>304</v>
      </c>
      <c r="B232" s="3256" t="s">
        <v>3203</v>
      </c>
      <c r="C232" s="3268"/>
      <c r="D232" s="3268"/>
      <c r="E232" s="3268"/>
      <c r="F232" s="3257">
        <v>0.05</v>
      </c>
      <c r="G232" s="3274"/>
    </row>
    <row r="233" spans="1:7" ht="14.25" thickBot="1">
      <c r="A233" s="3270" t="s">
        <v>304</v>
      </c>
      <c r="B233" s="3260" t="s">
        <v>3204</v>
      </c>
      <c r="C233" s="3262"/>
      <c r="D233" s="3262"/>
      <c r="E233" s="3262"/>
      <c r="F233" s="3261">
        <v>0.05</v>
      </c>
      <c r="G233" s="3275"/>
    </row>
    <row r="234" spans="1:7">
      <c r="A234" s="3266" t="s">
        <v>305</v>
      </c>
      <c r="B234" s="3252" t="s">
        <v>2853</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2873</v>
      </c>
      <c r="C238" s="3257">
        <v>0.14899999999999999</v>
      </c>
      <c r="D238" s="3257">
        <v>0.14899999999999999</v>
      </c>
      <c r="E238" s="3257">
        <v>0.15</v>
      </c>
      <c r="F238" s="3257">
        <v>0.15</v>
      </c>
      <c r="G238" s="3258">
        <v>0.15</v>
      </c>
    </row>
    <row r="239" spans="1:7">
      <c r="A239" s="3267" t="s">
        <v>305</v>
      </c>
      <c r="B239" s="3256" t="s">
        <v>2877</v>
      </c>
      <c r="C239" s="3257">
        <v>0.15</v>
      </c>
      <c r="D239" s="3257">
        <v>0.15</v>
      </c>
      <c r="E239" s="3257">
        <v>0.15</v>
      </c>
      <c r="F239" s="3257">
        <v>0.15</v>
      </c>
      <c r="G239" s="3258">
        <v>0.15</v>
      </c>
    </row>
    <row r="240" spans="1:7">
      <c r="A240" s="3267" t="s">
        <v>305</v>
      </c>
      <c r="B240" s="3256" t="s">
        <v>2882</v>
      </c>
      <c r="C240" s="3257">
        <v>0.15</v>
      </c>
      <c r="D240" s="3257">
        <v>0.15</v>
      </c>
      <c r="E240" s="3257">
        <v>0.15</v>
      </c>
      <c r="F240" s="3257">
        <v>0.15</v>
      </c>
      <c r="G240" s="3258">
        <v>0.15</v>
      </c>
    </row>
    <row r="241" spans="1:7">
      <c r="A241" s="3267" t="s">
        <v>305</v>
      </c>
      <c r="B241" s="3256" t="s">
        <v>2886</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2892</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2900</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2905</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2913</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2926</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2935</v>
      </c>
      <c r="C258" s="3257">
        <v>0.14299999999999999</v>
      </c>
      <c r="D258" s="3257">
        <v>0.14299999999999999</v>
      </c>
      <c r="E258" s="3257">
        <v>0.15</v>
      </c>
      <c r="F258" s="3257">
        <v>0.14799999999999999</v>
      </c>
      <c r="G258" s="3258">
        <v>0.14599999999999999</v>
      </c>
    </row>
    <row r="259" spans="1:7">
      <c r="A259" s="3267" t="s">
        <v>305</v>
      </c>
      <c r="B259" s="3256" t="s">
        <v>2939</v>
      </c>
      <c r="C259" s="3257">
        <v>0.14399999999999999</v>
      </c>
      <c r="D259" s="3257">
        <v>0.14399999999999999</v>
      </c>
      <c r="E259" s="3257">
        <v>0.14899999999999999</v>
      </c>
      <c r="F259" s="3257">
        <v>0.14699999999999999</v>
      </c>
      <c r="G259" s="3258">
        <v>0.14599999999999999</v>
      </c>
    </row>
    <row r="260" spans="1:7">
      <c r="A260" s="3267" t="s">
        <v>305</v>
      </c>
      <c r="B260" s="3256" t="s">
        <v>2946</v>
      </c>
      <c r="C260" s="3257">
        <v>0.109</v>
      </c>
      <c r="D260" s="3257">
        <v>0.111</v>
      </c>
      <c r="E260" s="3257">
        <v>0.13100000000000001</v>
      </c>
      <c r="F260" s="3257">
        <v>0.126</v>
      </c>
      <c r="G260" s="3258">
        <v>0.11899999999999999</v>
      </c>
    </row>
    <row r="261" spans="1:7">
      <c r="A261" s="3267" t="s">
        <v>305</v>
      </c>
      <c r="B261" s="3256" t="s">
        <v>2953</v>
      </c>
      <c r="C261" s="3257">
        <v>0.1</v>
      </c>
      <c r="D261" s="3257">
        <v>0.1</v>
      </c>
      <c r="E261" s="3257">
        <v>0.11799999999999999</v>
      </c>
      <c r="F261" s="3257">
        <v>0.108</v>
      </c>
      <c r="G261" s="3258">
        <v>0.107</v>
      </c>
    </row>
    <row r="262" spans="1:7">
      <c r="A262" s="3267" t="s">
        <v>305</v>
      </c>
      <c r="B262" s="3256" t="s">
        <v>2959</v>
      </c>
      <c r="C262" s="3257">
        <v>0.1</v>
      </c>
      <c r="D262" s="3257">
        <v>0.1</v>
      </c>
      <c r="E262" s="3257">
        <v>0.1</v>
      </c>
      <c r="F262" s="3257">
        <v>0.14099999999999999</v>
      </c>
      <c r="G262" s="3258">
        <v>0.1</v>
      </c>
    </row>
    <row r="263" spans="1:7">
      <c r="A263" s="3267" t="s">
        <v>305</v>
      </c>
      <c r="B263" s="3256" t="s">
        <v>2966</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2977</v>
      </c>
      <c r="C265" s="3268"/>
      <c r="D265" s="3268"/>
      <c r="E265" s="3268"/>
      <c r="F265" s="3257">
        <v>0.05</v>
      </c>
      <c r="G265" s="3274"/>
    </row>
    <row r="266" spans="1:7">
      <c r="A266" s="3267" t="s">
        <v>305</v>
      </c>
      <c r="B266" s="3256" t="s">
        <v>2981</v>
      </c>
      <c r="C266" s="3268"/>
      <c r="D266" s="3268"/>
      <c r="E266" s="3268"/>
      <c r="F266" s="3257">
        <v>0.05</v>
      </c>
      <c r="G266" s="3274"/>
    </row>
    <row r="267" spans="1:7">
      <c r="A267" s="3267" t="s">
        <v>305</v>
      </c>
      <c r="B267" s="3256" t="s">
        <v>2986</v>
      </c>
      <c r="C267" s="3268"/>
      <c r="D267" s="3268"/>
      <c r="E267" s="3268"/>
      <c r="F267" s="3257">
        <v>0.05</v>
      </c>
      <c r="G267" s="3274"/>
    </row>
    <row r="268" spans="1:7">
      <c r="A268" s="3267" t="s">
        <v>305</v>
      </c>
      <c r="B268" s="3256" t="s">
        <v>2991</v>
      </c>
      <c r="C268" s="3268"/>
      <c r="D268" s="3268"/>
      <c r="E268" s="3268"/>
      <c r="F268" s="3257">
        <v>0.05</v>
      </c>
      <c r="G268" s="3274"/>
    </row>
    <row r="269" spans="1:7">
      <c r="A269" s="3267" t="s">
        <v>305</v>
      </c>
      <c r="B269" s="3256" t="s">
        <v>2996</v>
      </c>
      <c r="C269" s="3268"/>
      <c r="D269" s="3268"/>
      <c r="E269" s="3268"/>
      <c r="F269" s="3257">
        <v>0.05</v>
      </c>
      <c r="G269" s="3274"/>
    </row>
    <row r="270" spans="1:7">
      <c r="A270" s="3267" t="s">
        <v>305</v>
      </c>
      <c r="B270" s="3256" t="s">
        <v>3001</v>
      </c>
      <c r="C270" s="3268"/>
      <c r="D270" s="3268"/>
      <c r="E270" s="3268"/>
      <c r="F270" s="3257">
        <v>0.05</v>
      </c>
      <c r="G270" s="3274"/>
    </row>
    <row r="271" spans="1:7">
      <c r="A271" s="3267" t="s">
        <v>305</v>
      </c>
      <c r="B271" s="3256" t="s">
        <v>3205</v>
      </c>
      <c r="C271" s="3268"/>
      <c r="D271" s="3268"/>
      <c r="E271" s="3268"/>
      <c r="F271" s="3257">
        <v>0.05</v>
      </c>
      <c r="G271" s="3274"/>
    </row>
    <row r="272" spans="1:7">
      <c r="A272" s="3267" t="s">
        <v>305</v>
      </c>
      <c r="B272" s="3256" t="s">
        <v>3206</v>
      </c>
      <c r="C272" s="3268"/>
      <c r="D272" s="3268"/>
      <c r="E272" s="3268"/>
      <c r="F272" s="3257">
        <v>0.05</v>
      </c>
      <c r="G272" s="3274"/>
    </row>
    <row r="273" spans="1:7">
      <c r="A273" s="3267" t="s">
        <v>305</v>
      </c>
      <c r="B273" s="3256" t="s">
        <v>3207</v>
      </c>
      <c r="C273" s="3268"/>
      <c r="D273" s="3268"/>
      <c r="E273" s="3268"/>
      <c r="F273" s="3257">
        <v>0.05</v>
      </c>
      <c r="G273" s="3274"/>
    </row>
    <row r="274" spans="1:7">
      <c r="A274" s="3267" t="s">
        <v>305</v>
      </c>
      <c r="B274" s="3256" t="s">
        <v>3208</v>
      </c>
      <c r="C274" s="3268"/>
      <c r="D274" s="3268"/>
      <c r="E274" s="3268"/>
      <c r="F274" s="3257">
        <v>0.05</v>
      </c>
      <c r="G274" s="3274"/>
    </row>
    <row r="275" spans="1:7">
      <c r="A275" s="3267" t="s">
        <v>305</v>
      </c>
      <c r="B275" s="3256" t="s">
        <v>3209</v>
      </c>
      <c r="C275" s="3268"/>
      <c r="D275" s="3268"/>
      <c r="E275" s="3268"/>
      <c r="F275" s="3257">
        <v>0.05</v>
      </c>
      <c r="G275" s="3274"/>
    </row>
    <row r="276" spans="1:7" ht="14.25" thickBot="1">
      <c r="A276" s="3270" t="s">
        <v>305</v>
      </c>
      <c r="B276" s="3260" t="s">
        <v>3210</v>
      </c>
      <c r="C276" s="3262"/>
      <c r="D276" s="3262"/>
      <c r="E276" s="3262"/>
      <c r="F276" s="3261">
        <v>0.05</v>
      </c>
      <c r="G276" s="3275"/>
    </row>
    <row r="277" spans="1:7">
      <c r="A277" s="3266" t="s">
        <v>306</v>
      </c>
      <c r="B277" s="3252" t="s">
        <v>2854</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2866</v>
      </c>
      <c r="C279" s="3257">
        <v>0.15</v>
      </c>
      <c r="D279" s="3257">
        <v>0.15</v>
      </c>
      <c r="E279" s="3257">
        <v>0.15</v>
      </c>
      <c r="F279" s="3257">
        <v>0.15</v>
      </c>
      <c r="G279" s="3258">
        <v>0.15</v>
      </c>
    </row>
    <row r="280" spans="1:7">
      <c r="A280" s="3267" t="s">
        <v>306</v>
      </c>
      <c r="B280" s="3256" t="s">
        <v>2870</v>
      </c>
      <c r="C280" s="3257">
        <v>0.15</v>
      </c>
      <c r="D280" s="3257">
        <v>0.15</v>
      </c>
      <c r="E280" s="3257">
        <v>0.15</v>
      </c>
      <c r="F280" s="3257">
        <v>0.15</v>
      </c>
      <c r="G280" s="3258">
        <v>0.15</v>
      </c>
    </row>
    <row r="281" spans="1:7">
      <c r="A281" s="3267" t="s">
        <v>306</v>
      </c>
      <c r="B281" s="3256" t="s">
        <v>2874</v>
      </c>
      <c r="C281" s="3257">
        <v>0.15</v>
      </c>
      <c r="D281" s="3257">
        <v>0.15</v>
      </c>
      <c r="E281" s="3257">
        <v>0.15</v>
      </c>
      <c r="F281" s="3257">
        <v>0.15</v>
      </c>
      <c r="G281" s="3258">
        <v>0.15</v>
      </c>
    </row>
    <row r="282" spans="1:7">
      <c r="A282" s="3267" t="s">
        <v>306</v>
      </c>
      <c r="B282" s="3256" t="s">
        <v>2878</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2893</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2898</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2908</v>
      </c>
      <c r="C293" s="3257">
        <v>0.15</v>
      </c>
      <c r="D293" s="3257">
        <v>0.15</v>
      </c>
      <c r="E293" s="3257">
        <v>0.15</v>
      </c>
      <c r="F293" s="3257">
        <v>0.14499999999999999</v>
      </c>
      <c r="G293" s="3258">
        <v>0.15</v>
      </c>
    </row>
    <row r="294" spans="1:7">
      <c r="A294" s="3267" t="s">
        <v>306</v>
      </c>
      <c r="B294" s="3256" t="s">
        <v>2910</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2927</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2940</v>
      </c>
      <c r="C302" s="3257">
        <v>0.15</v>
      </c>
      <c r="D302" s="3257">
        <v>0.15</v>
      </c>
      <c r="E302" s="3257">
        <v>0.15</v>
      </c>
      <c r="F302" s="3257">
        <v>0.14699999999999999</v>
      </c>
      <c r="G302" s="3258">
        <v>0.15</v>
      </c>
    </row>
    <row r="303" spans="1:7">
      <c r="A303" s="3267" t="s">
        <v>306</v>
      </c>
      <c r="B303" s="3256" t="s">
        <v>2947</v>
      </c>
      <c r="C303" s="3257">
        <v>0.15</v>
      </c>
      <c r="D303" s="3257">
        <v>0.15</v>
      </c>
      <c r="E303" s="3257">
        <v>0.15</v>
      </c>
      <c r="F303" s="3257">
        <v>0.14199999999999999</v>
      </c>
      <c r="G303" s="3258">
        <v>0.15</v>
      </c>
    </row>
    <row r="304" spans="1:7">
      <c r="A304" s="3267" t="s">
        <v>306</v>
      </c>
      <c r="B304" s="3256" t="s">
        <v>2954</v>
      </c>
      <c r="C304" s="3257">
        <v>0.15</v>
      </c>
      <c r="D304" s="3257">
        <v>0.15</v>
      </c>
      <c r="E304" s="3257">
        <v>0.15</v>
      </c>
      <c r="F304" s="3257">
        <v>0.14499999999999999</v>
      </c>
      <c r="G304" s="3258">
        <v>0.15</v>
      </c>
    </row>
    <row r="305" spans="1:7">
      <c r="A305" s="3267" t="s">
        <v>306</v>
      </c>
      <c r="B305" s="3256" t="s">
        <v>2960</v>
      </c>
      <c r="C305" s="3257">
        <v>0.15</v>
      </c>
      <c r="D305" s="3257">
        <v>0.15</v>
      </c>
      <c r="E305" s="3257">
        <v>0.15</v>
      </c>
      <c r="F305" s="3257">
        <v>0.111</v>
      </c>
      <c r="G305" s="3258">
        <v>0.15</v>
      </c>
    </row>
    <row r="306" spans="1:7">
      <c r="A306" s="3267" t="s">
        <v>306</v>
      </c>
      <c r="B306" s="3256" t="s">
        <v>2967</v>
      </c>
      <c r="C306" s="3257">
        <v>0.15</v>
      </c>
      <c r="D306" s="3257">
        <v>0.15</v>
      </c>
      <c r="E306" s="3257">
        <v>0.15</v>
      </c>
      <c r="F306" s="3257">
        <v>0.126</v>
      </c>
      <c r="G306" s="3258">
        <v>0.15</v>
      </c>
    </row>
    <row r="307" spans="1:7">
      <c r="A307" s="3267" t="s">
        <v>306</v>
      </c>
      <c r="B307" s="3256" t="s">
        <v>2972</v>
      </c>
      <c r="C307" s="3257">
        <v>0.15</v>
      </c>
      <c r="D307" s="3257">
        <v>0.15</v>
      </c>
      <c r="E307" s="3257">
        <v>0.15</v>
      </c>
      <c r="F307" s="3257">
        <v>0.12</v>
      </c>
      <c r="G307" s="3258">
        <v>0.15</v>
      </c>
    </row>
    <row r="308" spans="1:7">
      <c r="A308" s="3267" t="s">
        <v>306</v>
      </c>
      <c r="B308" s="3256" t="s">
        <v>2978</v>
      </c>
      <c r="C308" s="3257">
        <v>0.15</v>
      </c>
      <c r="D308" s="3257">
        <v>0.15</v>
      </c>
      <c r="E308" s="3257">
        <v>0.15</v>
      </c>
      <c r="F308" s="3257">
        <v>0.13</v>
      </c>
      <c r="G308" s="3258">
        <v>0.15</v>
      </c>
    </row>
    <row r="309" spans="1:7">
      <c r="A309" s="3267" t="s">
        <v>306</v>
      </c>
      <c r="B309" s="3256" t="s">
        <v>2982</v>
      </c>
      <c r="C309" s="3257">
        <v>0.15</v>
      </c>
      <c r="D309" s="3257">
        <v>0.15</v>
      </c>
      <c r="E309" s="3257">
        <v>0.15</v>
      </c>
      <c r="F309" s="3257">
        <v>0.14099999999999999</v>
      </c>
      <c r="G309" s="3258">
        <v>0.15</v>
      </c>
    </row>
    <row r="310" spans="1:7">
      <c r="A310" s="3267" t="s">
        <v>306</v>
      </c>
      <c r="B310" s="3256" t="s">
        <v>2987</v>
      </c>
      <c r="C310" s="3257">
        <v>0.15</v>
      </c>
      <c r="D310" s="3257">
        <v>0.15</v>
      </c>
      <c r="E310" s="3257">
        <v>0.15</v>
      </c>
      <c r="F310" s="3257">
        <v>0.15</v>
      </c>
      <c r="G310" s="3258">
        <v>0.15</v>
      </c>
    </row>
    <row r="311" spans="1:7">
      <c r="A311" s="3267" t="s">
        <v>306</v>
      </c>
      <c r="B311" s="3256" t="s">
        <v>2992</v>
      </c>
      <c r="C311" s="3257">
        <v>0.13200000000000001</v>
      </c>
      <c r="D311" s="3257">
        <v>0.13300000000000001</v>
      </c>
      <c r="E311" s="3257">
        <v>0.14499999999999999</v>
      </c>
      <c r="F311" s="3257">
        <v>0.14199999999999999</v>
      </c>
      <c r="G311" s="3258">
        <v>0.14000000000000001</v>
      </c>
    </row>
    <row r="312" spans="1:7">
      <c r="A312" s="3267" t="s">
        <v>306</v>
      </c>
      <c r="B312" s="3256" t="s">
        <v>2997</v>
      </c>
      <c r="C312" s="3257">
        <v>0.13800000000000001</v>
      </c>
      <c r="D312" s="3257">
        <v>0.14000000000000001</v>
      </c>
      <c r="E312" s="3257">
        <v>0.14599999999999999</v>
      </c>
      <c r="F312" s="3257">
        <v>0.14899999999999999</v>
      </c>
      <c r="G312" s="3258">
        <v>0.14199999999999999</v>
      </c>
    </row>
    <row r="313" spans="1:7">
      <c r="A313" s="3267" t="s">
        <v>306</v>
      </c>
      <c r="B313" s="3256" t="s">
        <v>3002</v>
      </c>
      <c r="C313" s="3257">
        <v>0.125</v>
      </c>
      <c r="D313" s="3257">
        <v>0.127</v>
      </c>
      <c r="E313" s="3257">
        <v>0.14399999999999999</v>
      </c>
      <c r="F313" s="3257">
        <v>0.115</v>
      </c>
      <c r="G313" s="3258">
        <v>0.13600000000000001</v>
      </c>
    </row>
    <row r="314" spans="1:7">
      <c r="A314" s="3267" t="s">
        <v>306</v>
      </c>
      <c r="B314" s="3256" t="s">
        <v>3211</v>
      </c>
      <c r="C314" s="3273"/>
      <c r="D314" s="3273"/>
      <c r="E314" s="3273"/>
      <c r="F314" s="3257">
        <v>0.05</v>
      </c>
      <c r="G314" s="3274"/>
    </row>
    <row r="315" spans="1:7">
      <c r="A315" s="3267" t="s">
        <v>306</v>
      </c>
      <c r="B315" s="3256" t="s">
        <v>3212</v>
      </c>
      <c r="C315" s="3273"/>
      <c r="D315" s="3273"/>
      <c r="E315" s="3273"/>
      <c r="F315" s="3257">
        <v>0.05</v>
      </c>
      <c r="G315" s="3274"/>
    </row>
    <row r="316" spans="1:7">
      <c r="A316" s="3267" t="s">
        <v>306</v>
      </c>
      <c r="B316" s="3256" t="s">
        <v>3213</v>
      </c>
      <c r="C316" s="3268"/>
      <c r="D316" s="3268"/>
      <c r="E316" s="3268"/>
      <c r="F316" s="3257">
        <v>0.05</v>
      </c>
      <c r="G316" s="3274"/>
    </row>
    <row r="317" spans="1:7">
      <c r="A317" s="3267" t="s">
        <v>306</v>
      </c>
      <c r="B317" s="3256" t="s">
        <v>3214</v>
      </c>
      <c r="C317" s="3268"/>
      <c r="D317" s="3268"/>
      <c r="E317" s="3268"/>
      <c r="F317" s="3257">
        <v>0.05</v>
      </c>
      <c r="G317" s="3274"/>
    </row>
    <row r="318" spans="1:7">
      <c r="A318" s="3267" t="s">
        <v>306</v>
      </c>
      <c r="B318" s="3256" t="s">
        <v>3215</v>
      </c>
      <c r="C318" s="3268"/>
      <c r="D318" s="3268"/>
      <c r="E318" s="3268"/>
      <c r="F318" s="3257">
        <v>0.05</v>
      </c>
      <c r="G318" s="3274"/>
    </row>
    <row r="319" spans="1:7">
      <c r="A319" s="3267" t="s">
        <v>306</v>
      </c>
      <c r="B319" s="3256" t="s">
        <v>3216</v>
      </c>
      <c r="C319" s="3268"/>
      <c r="D319" s="3268"/>
      <c r="E319" s="3268"/>
      <c r="F319" s="3257">
        <v>0.05</v>
      </c>
      <c r="G319" s="3274"/>
    </row>
    <row r="320" spans="1:7">
      <c r="A320" s="3267" t="s">
        <v>306</v>
      </c>
      <c r="B320" s="3256" t="s">
        <v>3217</v>
      </c>
      <c r="C320" s="3268"/>
      <c r="D320" s="3268"/>
      <c r="E320" s="3268"/>
      <c r="F320" s="3257">
        <v>0.05</v>
      </c>
      <c r="G320" s="3274"/>
    </row>
    <row r="321" spans="1:7">
      <c r="A321" s="3267" t="s">
        <v>306</v>
      </c>
      <c r="B321" s="3256" t="s">
        <v>3218</v>
      </c>
      <c r="C321" s="3268"/>
      <c r="D321" s="3268"/>
      <c r="E321" s="3268"/>
      <c r="F321" s="3257">
        <v>0.05</v>
      </c>
      <c r="G321" s="3274"/>
    </row>
    <row r="322" spans="1:7">
      <c r="A322" s="3267" t="s">
        <v>306</v>
      </c>
      <c r="B322" s="3256" t="s">
        <v>3219</v>
      </c>
      <c r="C322" s="3268"/>
      <c r="D322" s="3268"/>
      <c r="E322" s="3268"/>
      <c r="F322" s="3257">
        <v>0.05</v>
      </c>
      <c r="G322" s="3274"/>
    </row>
    <row r="323" spans="1:7">
      <c r="A323" s="3267" t="s">
        <v>306</v>
      </c>
      <c r="B323" s="3256" t="s">
        <v>3220</v>
      </c>
      <c r="C323" s="3268"/>
      <c r="D323" s="3268"/>
      <c r="E323" s="3268"/>
      <c r="F323" s="3257">
        <v>0.05</v>
      </c>
      <c r="G323" s="3274"/>
    </row>
    <row r="324" spans="1:7">
      <c r="A324" s="3267" t="s">
        <v>306</v>
      </c>
      <c r="B324" s="3256" t="s">
        <v>3221</v>
      </c>
      <c r="C324" s="3268"/>
      <c r="D324" s="3268"/>
      <c r="E324" s="3268"/>
      <c r="F324" s="3257">
        <v>0.05</v>
      </c>
      <c r="G324" s="3274"/>
    </row>
    <row r="325" spans="1:7">
      <c r="A325" s="3267" t="s">
        <v>306</v>
      </c>
      <c r="B325" s="3256" t="s">
        <v>3222</v>
      </c>
      <c r="C325" s="3268"/>
      <c r="D325" s="3268"/>
      <c r="E325" s="3268"/>
      <c r="F325" s="3257">
        <v>0.05</v>
      </c>
      <c r="G325" s="3274"/>
    </row>
    <row r="326" spans="1:7" ht="14.25" thickBot="1">
      <c r="A326" s="3270" t="s">
        <v>306</v>
      </c>
      <c r="B326" s="3260" t="s">
        <v>3223</v>
      </c>
      <c r="C326" s="3262"/>
      <c r="D326" s="3262"/>
      <c r="E326" s="3262"/>
      <c r="F326" s="3261">
        <v>0.05</v>
      </c>
      <c r="G326" s="3275"/>
    </row>
    <row r="327" spans="1:7">
      <c r="A327" s="3266" t="s">
        <v>307</v>
      </c>
      <c r="B327" s="3252" t="s">
        <v>2855</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2867</v>
      </c>
      <c r="C329" s="3257">
        <v>0.15</v>
      </c>
      <c r="D329" s="3257">
        <v>0.15</v>
      </c>
      <c r="E329" s="3257">
        <v>0.15</v>
      </c>
      <c r="F329" s="3257">
        <v>0.15</v>
      </c>
      <c r="G329" s="3258">
        <v>0.15</v>
      </c>
    </row>
    <row r="330" spans="1:7">
      <c r="A330" s="3267" t="s">
        <v>307</v>
      </c>
      <c r="B330" s="3256" t="s">
        <v>2871</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2879</v>
      </c>
      <c r="C332" s="3257">
        <v>0.15</v>
      </c>
      <c r="D332" s="3257">
        <v>0.15</v>
      </c>
      <c r="E332" s="3257">
        <v>0.15</v>
      </c>
      <c r="F332" s="3257">
        <v>0.15</v>
      </c>
      <c r="G332" s="3258">
        <v>0.15</v>
      </c>
    </row>
    <row r="333" spans="1:7">
      <c r="A333" s="3267" t="s">
        <v>307</v>
      </c>
      <c r="B333" s="3256" t="s">
        <v>2883</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2889</v>
      </c>
      <c r="C336" s="3257">
        <v>0.15</v>
      </c>
      <c r="D336" s="3257">
        <v>0.15</v>
      </c>
      <c r="E336" s="3257">
        <v>0.15</v>
      </c>
      <c r="F336" s="3257">
        <v>0.14199999999999999</v>
      </c>
      <c r="G336" s="3258">
        <v>0.15</v>
      </c>
    </row>
    <row r="337" spans="1:7">
      <c r="A337" s="3267" t="s">
        <v>307</v>
      </c>
      <c r="B337" s="3256" t="s">
        <v>2894</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2901</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2906</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2914</v>
      </c>
      <c r="C345" s="3257">
        <v>0.15</v>
      </c>
      <c r="D345" s="3257">
        <v>0.15</v>
      </c>
      <c r="E345" s="3257">
        <v>0.15</v>
      </c>
      <c r="F345" s="3257">
        <v>0.13800000000000001</v>
      </c>
      <c r="G345" s="3258">
        <v>0.15</v>
      </c>
    </row>
    <row r="346" spans="1:7">
      <c r="A346" s="3267" t="s">
        <v>307</v>
      </c>
      <c r="B346" s="3256" t="s">
        <v>2916</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2923</v>
      </c>
      <c r="C348" s="3257">
        <v>0.15</v>
      </c>
      <c r="D348" s="3257">
        <v>0.15</v>
      </c>
      <c r="E348" s="3257">
        <v>0.15</v>
      </c>
      <c r="F348" s="3257">
        <v>0.14399999999999999</v>
      </c>
      <c r="G348" s="3258">
        <v>0.15</v>
      </c>
    </row>
    <row r="349" spans="1:7">
      <c r="A349" s="3267" t="s">
        <v>307</v>
      </c>
      <c r="B349" s="3256" t="s">
        <v>2928</v>
      </c>
      <c r="C349" s="3257">
        <v>0.15</v>
      </c>
      <c r="D349" s="3257">
        <v>0.15</v>
      </c>
      <c r="E349" s="3257">
        <v>0.15</v>
      </c>
      <c r="F349" s="3257">
        <v>0.15</v>
      </c>
      <c r="G349" s="3258">
        <v>0.15</v>
      </c>
    </row>
    <row r="350" spans="1:7">
      <c r="A350" s="3267" t="s">
        <v>307</v>
      </c>
      <c r="B350" s="3256" t="s">
        <v>2931</v>
      </c>
      <c r="C350" s="3257">
        <v>0.15</v>
      </c>
      <c r="D350" s="3257">
        <v>0.15</v>
      </c>
      <c r="E350" s="3257">
        <v>0.15</v>
      </c>
      <c r="F350" s="3257">
        <v>0.14699999999999999</v>
      </c>
      <c r="G350" s="3258">
        <v>0.15</v>
      </c>
    </row>
    <row r="351" spans="1:7">
      <c r="A351" s="3267" t="s">
        <v>307</v>
      </c>
      <c r="B351" s="3256" t="s">
        <v>2936</v>
      </c>
      <c r="C351" s="3257">
        <v>0.15</v>
      </c>
      <c r="D351" s="3257">
        <v>0.15</v>
      </c>
      <c r="E351" s="3257">
        <v>0.15</v>
      </c>
      <c r="F351" s="3257">
        <v>0.13</v>
      </c>
      <c r="G351" s="3258">
        <v>0.15</v>
      </c>
    </row>
    <row r="352" spans="1:7">
      <c r="A352" s="3267" t="s">
        <v>307</v>
      </c>
      <c r="B352" s="3256" t="s">
        <v>2941</v>
      </c>
      <c r="C352" s="3257">
        <v>0.15</v>
      </c>
      <c r="D352" s="3257">
        <v>0.15</v>
      </c>
      <c r="E352" s="3257">
        <v>0.15</v>
      </c>
      <c r="F352" s="3257">
        <v>0.14599999999999999</v>
      </c>
      <c r="G352" s="3258">
        <v>0.15</v>
      </c>
    </row>
    <row r="353" spans="1:7">
      <c r="A353" s="3267" t="s">
        <v>307</v>
      </c>
      <c r="B353" s="3256" t="s">
        <v>2948</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2961</v>
      </c>
      <c r="C355" s="3257">
        <v>0.15</v>
      </c>
      <c r="D355" s="3257">
        <v>0.15</v>
      </c>
      <c r="E355" s="3257">
        <v>0.15</v>
      </c>
      <c r="F355" s="3257">
        <v>0.15</v>
      </c>
      <c r="G355" s="3258">
        <v>0.15</v>
      </c>
    </row>
    <row r="356" spans="1:7">
      <c r="A356" s="3267" t="s">
        <v>307</v>
      </c>
      <c r="B356" s="3256" t="s">
        <v>2968</v>
      </c>
      <c r="C356" s="3257">
        <v>0.15</v>
      </c>
      <c r="D356" s="3257">
        <v>0.15</v>
      </c>
      <c r="E356" s="3257">
        <v>0.15</v>
      </c>
      <c r="F356" s="3257">
        <v>0.15</v>
      </c>
      <c r="G356" s="3258">
        <v>0.15</v>
      </c>
    </row>
    <row r="357" spans="1:7" ht="14.25" thickBot="1">
      <c r="A357" s="3270" t="s">
        <v>307</v>
      </c>
      <c r="B357" s="3260" t="s">
        <v>2973</v>
      </c>
      <c r="C357" s="3261">
        <v>0.126</v>
      </c>
      <c r="D357" s="3261">
        <v>0.127</v>
      </c>
      <c r="E357" s="3261">
        <v>0.14299999999999999</v>
      </c>
      <c r="F357" s="3261">
        <v>0.125</v>
      </c>
      <c r="G357" s="3263">
        <v>0.129</v>
      </c>
    </row>
    <row r="358" spans="1:7">
      <c r="A358" s="3266" t="s">
        <v>2842</v>
      </c>
      <c r="B358" s="3252" t="s">
        <v>2856</v>
      </c>
      <c r="C358" s="3253">
        <v>0.15</v>
      </c>
      <c r="D358" s="3253">
        <v>0.15</v>
      </c>
      <c r="E358" s="3253">
        <v>0.15</v>
      </c>
      <c r="F358" s="3253">
        <v>0.15</v>
      </c>
      <c r="G358" s="3254">
        <v>0.15</v>
      </c>
    </row>
    <row r="359" spans="1:7">
      <c r="A359" s="3267" t="s">
        <v>2842</v>
      </c>
      <c r="B359" s="3256" t="s">
        <v>2862</v>
      </c>
      <c r="C359" s="3257">
        <v>0.1</v>
      </c>
      <c r="D359" s="3257">
        <v>0.1</v>
      </c>
      <c r="E359" s="3257">
        <v>0.1</v>
      </c>
      <c r="F359" s="3257">
        <v>0.1</v>
      </c>
      <c r="G359" s="3258">
        <v>0.1</v>
      </c>
    </row>
    <row r="360" spans="1:7">
      <c r="A360" s="3267" t="s">
        <v>2842</v>
      </c>
      <c r="B360" s="3256" t="s">
        <v>2868</v>
      </c>
      <c r="C360" s="3257">
        <v>0.15</v>
      </c>
      <c r="D360" s="3257">
        <v>0.15</v>
      </c>
      <c r="E360" s="3257">
        <v>0.15</v>
      </c>
      <c r="F360" s="3257">
        <v>0.14899999999999999</v>
      </c>
      <c r="G360" s="3258">
        <v>0.15</v>
      </c>
    </row>
    <row r="361" spans="1:7">
      <c r="A361" s="3267" t="s">
        <v>2842</v>
      </c>
      <c r="B361" s="3256" t="s">
        <v>153</v>
      </c>
      <c r="C361" s="3257">
        <v>0.15</v>
      </c>
      <c r="D361" s="3257">
        <v>0.15</v>
      </c>
      <c r="E361" s="3257">
        <v>0.15</v>
      </c>
      <c r="F361" s="3257">
        <v>0.115</v>
      </c>
      <c r="G361" s="3258">
        <v>0.15</v>
      </c>
    </row>
    <row r="362" spans="1:7">
      <c r="A362" s="3267" t="s">
        <v>2842</v>
      </c>
      <c r="B362" s="3256" t="s">
        <v>2875</v>
      </c>
      <c r="C362" s="3257">
        <v>0.15</v>
      </c>
      <c r="D362" s="3257">
        <v>0.15</v>
      </c>
      <c r="E362" s="3257">
        <v>0.15</v>
      </c>
      <c r="F362" s="3257">
        <v>0.106</v>
      </c>
      <c r="G362" s="3258">
        <v>0.15</v>
      </c>
    </row>
    <row r="363" spans="1:7">
      <c r="A363" s="3267" t="s">
        <v>2842</v>
      </c>
      <c r="B363" s="3256" t="s">
        <v>2880</v>
      </c>
      <c r="C363" s="3257">
        <v>0.15</v>
      </c>
      <c r="D363" s="3257">
        <v>0.15</v>
      </c>
      <c r="E363" s="3257">
        <v>0.15</v>
      </c>
      <c r="F363" s="3257">
        <v>0.14699999999999999</v>
      </c>
      <c r="G363" s="3258">
        <v>0.15</v>
      </c>
    </row>
    <row r="364" spans="1:7">
      <c r="A364" s="3267" t="s">
        <v>2842</v>
      </c>
      <c r="B364" s="3256" t="s">
        <v>2884</v>
      </c>
      <c r="C364" s="3257">
        <v>0.15</v>
      </c>
      <c r="D364" s="3257">
        <v>0.15</v>
      </c>
      <c r="E364" s="3257">
        <v>0.15</v>
      </c>
      <c r="F364" s="3257">
        <v>0.14799999999999999</v>
      </c>
      <c r="G364" s="3258">
        <v>0.15</v>
      </c>
    </row>
    <row r="365" spans="1:7">
      <c r="A365" s="3267" t="s">
        <v>2842</v>
      </c>
      <c r="B365" s="3256" t="s">
        <v>200</v>
      </c>
      <c r="C365" s="3257">
        <v>0.15</v>
      </c>
      <c r="D365" s="3257">
        <v>0.15</v>
      </c>
      <c r="E365" s="3257">
        <v>0.15</v>
      </c>
      <c r="F365" s="3257">
        <v>0.15</v>
      </c>
      <c r="G365" s="3258">
        <v>0.15</v>
      </c>
    </row>
    <row r="366" spans="1:7">
      <c r="A366" s="3267" t="s">
        <v>2842</v>
      </c>
      <c r="B366" s="3256" t="s">
        <v>2887</v>
      </c>
      <c r="C366" s="3257">
        <v>0.15</v>
      </c>
      <c r="D366" s="3257">
        <v>0.15</v>
      </c>
      <c r="E366" s="3257">
        <v>0.15</v>
      </c>
      <c r="F366" s="3257">
        <v>0.15</v>
      </c>
      <c r="G366" s="3258">
        <v>0.15</v>
      </c>
    </row>
    <row r="367" spans="1:7">
      <c r="A367" s="3267" t="s">
        <v>2842</v>
      </c>
      <c r="B367" s="3256" t="s">
        <v>2890</v>
      </c>
      <c r="C367" s="3257">
        <v>0.15</v>
      </c>
      <c r="D367" s="3257">
        <v>0.15</v>
      </c>
      <c r="E367" s="3257">
        <v>0.15</v>
      </c>
      <c r="F367" s="3257">
        <v>0.14699999999999999</v>
      </c>
      <c r="G367" s="3258">
        <v>0.15</v>
      </c>
    </row>
    <row r="368" spans="1:7">
      <c r="A368" s="3267" t="s">
        <v>2842</v>
      </c>
      <c r="B368" s="3256" t="s">
        <v>2895</v>
      </c>
      <c r="C368" s="3257">
        <v>0.15</v>
      </c>
      <c r="D368" s="3257">
        <v>0.15</v>
      </c>
      <c r="E368" s="3257">
        <v>0.15</v>
      </c>
      <c r="F368" s="3257">
        <v>0.13600000000000001</v>
      </c>
      <c r="G368" s="3258">
        <v>0.15</v>
      </c>
    </row>
    <row r="369" spans="1:7">
      <c r="A369" s="3267" t="s">
        <v>2842</v>
      </c>
      <c r="B369" s="3256" t="s">
        <v>214</v>
      </c>
      <c r="C369" s="3257">
        <v>0.15</v>
      </c>
      <c r="D369" s="3257">
        <v>0.15</v>
      </c>
      <c r="E369" s="3257">
        <v>0.15</v>
      </c>
      <c r="F369" s="3257">
        <v>0.14399999999999999</v>
      </c>
      <c r="G369" s="3258">
        <v>0.15</v>
      </c>
    </row>
    <row r="370" spans="1:7">
      <c r="A370" s="3267" t="s">
        <v>2842</v>
      </c>
      <c r="B370" s="3256" t="s">
        <v>221</v>
      </c>
      <c r="C370" s="3257">
        <v>0.15</v>
      </c>
      <c r="D370" s="3257">
        <v>0.15</v>
      </c>
      <c r="E370" s="3257">
        <v>0.15</v>
      </c>
      <c r="F370" s="3257">
        <v>0.14599999999999999</v>
      </c>
      <c r="G370" s="3258">
        <v>0.15</v>
      </c>
    </row>
    <row r="371" spans="1:7">
      <c r="A371" s="3267" t="s">
        <v>2842</v>
      </c>
      <c r="B371" s="3256" t="s">
        <v>229</v>
      </c>
      <c r="C371" s="3257">
        <v>0.15</v>
      </c>
      <c r="D371" s="3257">
        <v>0.15</v>
      </c>
      <c r="E371" s="3257">
        <v>0.15</v>
      </c>
      <c r="F371" s="3257">
        <v>0.12</v>
      </c>
      <c r="G371" s="3258">
        <v>0.15</v>
      </c>
    </row>
    <row r="372" spans="1:7">
      <c r="A372" s="3267" t="s">
        <v>2842</v>
      </c>
      <c r="B372" s="3256" t="s">
        <v>2903</v>
      </c>
      <c r="C372" s="3257">
        <v>0.15</v>
      </c>
      <c r="D372" s="3257">
        <v>0.15</v>
      </c>
      <c r="E372" s="3257">
        <v>0.15</v>
      </c>
      <c r="F372" s="3257">
        <v>0.14299999999999999</v>
      </c>
      <c r="G372" s="3258">
        <v>0.15</v>
      </c>
    </row>
    <row r="373" spans="1:7">
      <c r="A373" s="3267" t="s">
        <v>2842</v>
      </c>
      <c r="B373" s="3256" t="s">
        <v>258</v>
      </c>
      <c r="C373" s="3257">
        <v>0.15</v>
      </c>
      <c r="D373" s="3257">
        <v>0.15</v>
      </c>
      <c r="E373" s="3257">
        <v>0.15</v>
      </c>
      <c r="F373" s="3257">
        <v>0.14599999999999999</v>
      </c>
      <c r="G373" s="3258">
        <v>0.15</v>
      </c>
    </row>
    <row r="374" spans="1:7">
      <c r="A374" s="3267" t="s">
        <v>2842</v>
      </c>
      <c r="B374" s="3256" t="s">
        <v>266</v>
      </c>
      <c r="C374" s="3257">
        <v>0.15</v>
      </c>
      <c r="D374" s="3257">
        <v>0.15</v>
      </c>
      <c r="E374" s="3257">
        <v>0.15</v>
      </c>
      <c r="F374" s="3257">
        <v>0.14399999999999999</v>
      </c>
      <c r="G374" s="3258">
        <v>0.15</v>
      </c>
    </row>
    <row r="375" spans="1:7">
      <c r="A375" s="3267" t="s">
        <v>2842</v>
      </c>
      <c r="B375" s="3256" t="s">
        <v>2911</v>
      </c>
      <c r="C375" s="3257">
        <v>0.15</v>
      </c>
      <c r="D375" s="3257">
        <v>0.15</v>
      </c>
      <c r="E375" s="3257">
        <v>0.15</v>
      </c>
      <c r="F375" s="3257">
        <v>0.13</v>
      </c>
      <c r="G375" s="3258">
        <v>0.15</v>
      </c>
    </row>
    <row r="376" spans="1:7">
      <c r="A376" s="3267" t="s">
        <v>2842</v>
      </c>
      <c r="B376" s="3256" t="s">
        <v>277</v>
      </c>
      <c r="C376" s="3257">
        <v>0.15</v>
      </c>
      <c r="D376" s="3257">
        <v>0.15</v>
      </c>
      <c r="E376" s="3257">
        <v>0.15</v>
      </c>
      <c r="F376" s="3257">
        <v>0.14199999999999999</v>
      </c>
      <c r="G376" s="3258">
        <v>0.15</v>
      </c>
    </row>
    <row r="377" spans="1:7" ht="14.25" thickBot="1">
      <c r="A377" s="3270" t="s">
        <v>2842</v>
      </c>
      <c r="B377" s="3260" t="s">
        <v>2917</v>
      </c>
      <c r="C377" s="3261">
        <v>0.15</v>
      </c>
      <c r="D377" s="3261">
        <v>0.15</v>
      </c>
      <c r="E377" s="3261">
        <v>0.15</v>
      </c>
      <c r="F377" s="3261">
        <v>0.14000000000000001</v>
      </c>
      <c r="G377" s="3263">
        <v>0.15</v>
      </c>
    </row>
    <row r="378" spans="1:7">
      <c r="A378" s="3266" t="s">
        <v>2843</v>
      </c>
      <c r="B378" s="3252" t="s">
        <v>2857</v>
      </c>
      <c r="C378" s="3253">
        <v>0.15</v>
      </c>
      <c r="D378" s="3253">
        <v>0.15</v>
      </c>
      <c r="E378" s="3253">
        <v>0.15</v>
      </c>
      <c r="F378" s="3253">
        <v>0.107</v>
      </c>
      <c r="G378" s="3254">
        <v>0.15</v>
      </c>
    </row>
    <row r="379" spans="1:7">
      <c r="A379" s="3267" t="s">
        <v>2843</v>
      </c>
      <c r="B379" s="3256" t="s">
        <v>2863</v>
      </c>
      <c r="C379" s="3257">
        <v>0.15</v>
      </c>
      <c r="D379" s="3257">
        <v>0.15</v>
      </c>
      <c r="E379" s="3257">
        <v>0.15</v>
      </c>
      <c r="F379" s="3257">
        <v>0.115</v>
      </c>
      <c r="G379" s="3258">
        <v>0.14899999999999999</v>
      </c>
    </row>
    <row r="380" spans="1:7">
      <c r="A380" s="3267" t="s">
        <v>2843</v>
      </c>
      <c r="B380" s="3256" t="s">
        <v>2869</v>
      </c>
      <c r="C380" s="3257">
        <v>0.15</v>
      </c>
      <c r="D380" s="3257">
        <v>0.15</v>
      </c>
      <c r="E380" s="3257">
        <v>0.15</v>
      </c>
      <c r="F380" s="3257">
        <v>0.1</v>
      </c>
      <c r="G380" s="3258">
        <v>0.14799999999999999</v>
      </c>
    </row>
    <row r="381" spans="1:7">
      <c r="A381" s="3267" t="s">
        <v>2843</v>
      </c>
      <c r="B381" s="3256" t="s">
        <v>2872</v>
      </c>
      <c r="C381" s="3257">
        <v>0.15</v>
      </c>
      <c r="D381" s="3257">
        <v>0.15</v>
      </c>
      <c r="E381" s="3257">
        <v>0.15</v>
      </c>
      <c r="F381" s="3257">
        <v>0.126</v>
      </c>
      <c r="G381" s="3258">
        <v>0.15</v>
      </c>
    </row>
    <row r="382" spans="1:7">
      <c r="A382" s="3267" t="s">
        <v>2843</v>
      </c>
      <c r="B382" s="3256" t="s">
        <v>2876</v>
      </c>
      <c r="C382" s="3257">
        <v>0.15</v>
      </c>
      <c r="D382" s="3257">
        <v>0.15</v>
      </c>
      <c r="E382" s="3257">
        <v>0.15</v>
      </c>
      <c r="F382" s="3257">
        <v>0.15</v>
      </c>
      <c r="G382" s="3258">
        <v>0.15</v>
      </c>
    </row>
    <row r="383" spans="1:7">
      <c r="A383" s="3267" t="s">
        <v>2843</v>
      </c>
      <c r="B383" s="3256" t="s">
        <v>2881</v>
      </c>
      <c r="C383" s="3257">
        <v>0.15</v>
      </c>
      <c r="D383" s="3257">
        <v>0.15</v>
      </c>
      <c r="E383" s="3257">
        <v>0.15</v>
      </c>
      <c r="F383" s="3257">
        <v>0.14699999999999999</v>
      </c>
      <c r="G383" s="3258">
        <v>0.15</v>
      </c>
    </row>
    <row r="384" spans="1:7" ht="14.25" thickBot="1">
      <c r="A384" s="3277" t="s">
        <v>2843</v>
      </c>
      <c r="B384" s="3278" t="s">
        <v>2885</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45" t="s">
        <v>3224</v>
      </c>
      <c r="B1" s="3845"/>
      <c r="C1" s="3845"/>
      <c r="D1" s="3845"/>
      <c r="E1" s="3845"/>
      <c r="F1" s="3846"/>
    </row>
    <row r="2" spans="1:6">
      <c r="A2" s="3283" t="s">
        <v>3225</v>
      </c>
      <c r="B2" s="3284"/>
      <c r="C2" s="3284"/>
      <c r="D2" s="3284"/>
      <c r="E2" s="3284"/>
      <c r="F2" s="3284"/>
    </row>
    <row r="3" spans="1:6">
      <c r="A3" s="3283" t="s">
        <v>3226</v>
      </c>
      <c r="B3" s="3284"/>
      <c r="C3" s="3284"/>
      <c r="D3" s="3284"/>
      <c r="E3" s="3284"/>
      <c r="F3" s="3285" t="s">
        <v>3227</v>
      </c>
    </row>
    <row r="4" spans="1:6">
      <c r="A4" s="3286" t="s">
        <v>672</v>
      </c>
      <c r="B4" s="3286" t="s">
        <v>673</v>
      </c>
      <c r="C4" s="3286" t="s">
        <v>21</v>
      </c>
      <c r="D4" s="3286" t="s">
        <v>674</v>
      </c>
      <c r="E4" s="3286" t="s">
        <v>3</v>
      </c>
      <c r="F4" s="3286" t="s">
        <v>3228</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3">
        <f>基准地价修正!G23</f>
        <v>45210</v>
      </c>
      <c r="B1" s="3202" t="s">
        <v>2830</v>
      </c>
      <c r="C1" s="3203"/>
      <c r="D1" s="3203"/>
      <c r="E1" s="3203"/>
      <c r="F1" s="3203"/>
      <c r="G1" s="3203"/>
      <c r="H1" s="3203"/>
      <c r="I1" s="3203"/>
      <c r="J1" s="3157"/>
      <c r="K1" s="3203" t="s">
        <v>454</v>
      </c>
      <c r="L1" s="3203"/>
      <c r="M1" s="3203"/>
      <c r="N1" s="3203"/>
      <c r="O1" s="3203"/>
      <c r="P1" s="3203"/>
      <c r="Q1" s="3157"/>
      <c r="R1" s="3847" t="s">
        <v>456</v>
      </c>
      <c r="S1" s="3848"/>
      <c r="T1" s="3848"/>
      <c r="U1" s="3848"/>
      <c r="V1" s="3848"/>
      <c r="W1" s="3848"/>
      <c r="X1" s="3157"/>
      <c r="Y1" s="3847" t="s">
        <v>457</v>
      </c>
      <c r="Z1" s="3848"/>
      <c r="AA1" s="3848"/>
      <c r="AB1" s="3848"/>
      <c r="AC1" s="3848"/>
      <c r="AD1" s="3848"/>
    </row>
    <row r="2" spans="1:30" s="3135" customFormat="1" ht="14.25" thickBot="1">
      <c r="B2" s="3136"/>
      <c r="C2" s="3137"/>
      <c r="D2" s="3138" t="s">
        <v>2800</v>
      </c>
      <c r="E2" s="3139" t="s">
        <v>2801</v>
      </c>
      <c r="F2" s="3139" t="s">
        <v>2802</v>
      </c>
      <c r="G2" s="3139" t="s">
        <v>2803</v>
      </c>
      <c r="H2" s="3139" t="s">
        <v>2804</v>
      </c>
      <c r="I2" s="3139" t="s">
        <v>2621</v>
      </c>
      <c r="J2" s="3140"/>
      <c r="K2" s="3138" t="s">
        <v>2800</v>
      </c>
      <c r="L2" s="3139" t="s">
        <v>2801</v>
      </c>
      <c r="M2" s="3139" t="s">
        <v>2802</v>
      </c>
      <c r="N2" s="3139" t="s">
        <v>2803</v>
      </c>
      <c r="O2" s="3139" t="s">
        <v>2805</v>
      </c>
      <c r="P2" s="3139" t="s">
        <v>2621</v>
      </c>
      <c r="Q2" s="3140"/>
      <c r="R2" s="3138" t="s">
        <v>2800</v>
      </c>
      <c r="S2" s="3139" t="s">
        <v>2801</v>
      </c>
      <c r="T2" s="3139" t="s">
        <v>2802</v>
      </c>
      <c r="U2" s="3139" t="s">
        <v>2806</v>
      </c>
      <c r="V2" s="3139" t="s">
        <v>2807</v>
      </c>
      <c r="W2" s="3139" t="s">
        <v>2621</v>
      </c>
      <c r="X2" s="3140"/>
      <c r="Y2" s="3138" t="s">
        <v>2800</v>
      </c>
      <c r="Z2" s="3139" t="s">
        <v>2801</v>
      </c>
      <c r="AA2" s="3139" t="s">
        <v>2802</v>
      </c>
      <c r="AB2" s="3139" t="s">
        <v>2808</v>
      </c>
      <c r="AC2" s="3139" t="s">
        <v>2807</v>
      </c>
      <c r="AD2" s="3139" t="s">
        <v>2621</v>
      </c>
    </row>
    <row r="3" spans="1:30" s="3153" customFormat="1" ht="12.75">
      <c r="A3" s="3141" t="s">
        <v>2809</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3359</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3360</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3364</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3363</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3361</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ROUND(IF([3]项目基本情况!B8="出让",SUMPRODUCT(PRODUCT(1+K9:K16)),SUMPRODUCT(PRODUCT(1+K9:K15))),4)</f>
        <v>1.0565</v>
      </c>
      <c r="S9" s="3175">
        <f>ROUND(IF([3]项目基本情况!B8="出让",SUMPRODUCT(PRODUCT(1+L9:L16)),SUMPRODUCT(PRODUCT(1+L9:L15))),4)</f>
        <v>1.0250999999999999</v>
      </c>
      <c r="T9" s="3175">
        <f>ROUND(IF([3]项目基本情况!B8="出让",SUMPRODUCT(PRODUCT(1+M9:M16)),SUMPRODUCT(PRODUCT(1+M9:M15))),4)</f>
        <v>1.0145</v>
      </c>
      <c r="U9" s="3175">
        <f>ROUND(IF([3]项目基本情况!B8="出让",SUMPRODUCT(PRODUCT(1+N9:N16)),SUMPRODUCT(PRODUCT(1+N9:N15))),4)</f>
        <v>1.0618000000000001</v>
      </c>
      <c r="V9" s="3175">
        <f>ROUND(IF([3]项目基本情况!B8="出让",SUMPRODUCT(PRODUCT(1+O9:O16)),SUMPRODUCT(PRODUCT(1+O9:O15))),4)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3355</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ROUND(IF([3]项目基本情况!B8="出让",SUMPRODUCT(PRODUCT(1+K10:K16)),SUMPRODUCT(PRODUCT(1+K10:K15))),4)</f>
        <v>1.05</v>
      </c>
      <c r="S10" s="3175">
        <f>ROUND(IF([3]项目基本情况!B8="出让",SUMPRODUCT(PRODUCT(1+L10:L16)),SUMPRODUCT(PRODUCT(1+L10:L15))),4)</f>
        <v>1.0229999999999999</v>
      </c>
      <c r="T10" s="3175">
        <f>ROUND(IF([3]项目基本情况!B8="出让",SUMPRODUCT(PRODUCT(1+M10:M16)),SUMPRODUCT(PRODUCT(1+M10:M15))),4)</f>
        <v>1.0134000000000001</v>
      </c>
      <c r="U10" s="3175">
        <f>ROUND(IF([3]项目基本情况!B8="出让",SUMPRODUCT(PRODUCT(1+N10:N16)),SUMPRODUCT(PRODUCT(1+N10:N15))),4)</f>
        <v>1.0545</v>
      </c>
      <c r="V10" s="3175">
        <f>ROUND(IF([3]项目基本情况!B8="出让",SUMPRODUCT(PRODUCT(1+O10:O16)),SUMPRODUCT(PRODUCT(1+O10:O15))),4)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3346</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ROUND(IF([3]项目基本情况!B8="出让",SUMPRODUCT(PRODUCT(1+K11:K16)),SUMPRODUCT(PRODUCT(1+K11:K15))),4)</f>
        <v>1.0430999999999999</v>
      </c>
      <c r="S11" s="3175">
        <f>ROUND(IF([3]项目基本情况!B8="出让",SUMPRODUCT(PRODUCT(1+L11:L16)),SUMPRODUCT(PRODUCT(1+L11:L15))),4)</f>
        <v>1.0197000000000001</v>
      </c>
      <c r="T11" s="3175">
        <f>ROUND(IF([3]项目基本情况!B8="出让",SUMPRODUCT(PRODUCT(1+M11:M16)),SUMPRODUCT(PRODUCT(1+M11:M15))),4)</f>
        <v>1.0109999999999999</v>
      </c>
      <c r="U11" s="3175">
        <f>ROUND(IF([3]项目基本情况!B8="出让",SUMPRODUCT(PRODUCT(1+N11:N16)),SUMPRODUCT(PRODUCT(1+N11:N15))),4)</f>
        <v>1.0468999999999999</v>
      </c>
      <c r="V11" s="3175">
        <f>ROUND(IF([3]项目基本情况!B8="出让",SUMPRODUCT(PRODUCT(1+O11:O16)),SUMPRODUCT(PRODUCT(1+O11:O15))),4)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2810</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ROUND(IF([3]项目基本情况!B8="出让",SUMPRODUCT(PRODUCT(1+K12:K16)),SUMPRODUCT(PRODUCT(1+K12:K15))),4)</f>
        <v>1.0335000000000001</v>
      </c>
      <c r="S12" s="3175">
        <f>ROUND(IF([3]项目基本情况!B8="出让",SUMPRODUCT(PRODUCT(1+L12:L16)),SUMPRODUCT(PRODUCT(1+L12:L15))),4)</f>
        <v>1.0182</v>
      </c>
      <c r="T12" s="3175">
        <f>ROUND(IF([3]项目基本情况!B8="出让",SUMPRODUCT(PRODUCT(1+M12:M16)),SUMPRODUCT(PRODUCT(1+M12:M15))),4)</f>
        <v>1.0108999999999999</v>
      </c>
      <c r="U12" s="3175">
        <f>ROUND(IF([3]项目基本情况!B8="出让",SUMPRODUCT(PRODUCT(1+N12:N16)),SUMPRODUCT(PRODUCT(1+N12:N15))),4)</f>
        <v>1.0361</v>
      </c>
      <c r="V12" s="3175">
        <f>ROUND(IF([3]项目基本情况!B8="出让",SUMPRODUCT(PRODUCT(1+O12:O16)),SUMPRODUCT(PRODUCT(1+O12:O15))),4)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2811</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ROUND(IF([3]项目基本情况!B8="出让",SUMPRODUCT(PRODUCT(1+K13:K16)),SUMPRODUCT(PRODUCT(1+K13:K15))),4)</f>
        <v>1.0244</v>
      </c>
      <c r="S13" s="3175">
        <f>ROUND(IF([3]项目基本情况!B8="出让",SUMPRODUCT(PRODUCT(1+L13:L16)),SUMPRODUCT(PRODUCT(1+L13:L15))),4)</f>
        <v>1.0138</v>
      </c>
      <c r="T13" s="3175">
        <f>ROUND(IF([3]项目基本情况!B8="出让",SUMPRODUCT(PRODUCT(1+M13:M16)),SUMPRODUCT(PRODUCT(1+M13:M15))),4)</f>
        <v>1.0072000000000001</v>
      </c>
      <c r="U13" s="3175">
        <f>ROUND(IF([3]项目基本情况!B8="出让",SUMPRODUCT(PRODUCT(1+N13:N16)),SUMPRODUCT(PRODUCT(1+N13:N15))),4)</f>
        <v>1.0262</v>
      </c>
      <c r="V13" s="3175">
        <f>ROUND(IF([3]项目基本情况!B8="出让",SUMPRODUCT(PRODUCT(1+O13:O16)),SUMPRODUCT(PRODUCT(1+O13:O15))),4)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2812</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ROUND(IF([3]项目基本情况!B8="出让",SUMPRODUCT(PRODUCT(1+K14:K16)),SUMPRODUCT(PRODUCT(1+K14:K15))),4)</f>
        <v>1.0139</v>
      </c>
      <c r="S14" s="3175">
        <f>ROUND(IF([3]项目基本情况!B8="出让",SUMPRODUCT(PRODUCT(1+L14:L16)),SUMPRODUCT(PRODUCT(1+L14:L15))),4)</f>
        <v>1.0113000000000001</v>
      </c>
      <c r="T14" s="3175">
        <f>ROUND(IF([3]项目基本情况!B8="出让",SUMPRODUCT(PRODUCT(1+M14:M16)),SUMPRODUCT(PRODUCT(1+M14:M15))),4)</f>
        <v>1.0065</v>
      </c>
      <c r="U14" s="3175">
        <f>ROUND(IF([3]项目基本情况!B8="出让",SUMPRODUCT(PRODUCT(1+N14:N16)),SUMPRODUCT(PRODUCT(1+N14:N15))),4)</f>
        <v>1.0143</v>
      </c>
      <c r="V14" s="3175">
        <f>ROUND(IF([3]项目基本情况!B8="出让",SUMPRODUCT(PRODUCT(1+O14:O16)),SUMPRODUCT(PRODUCT(1+O14:O15))),4)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2813</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ROUND(IF([3]项目基本情况!B8="出让",SUMPRODUCT(PRODUCT(1+K15:K16)),SUMPRODUCT(PRODUCT(1+K15:K15))),4)</f>
        <v>1.0092000000000001</v>
      </c>
      <c r="S15" s="3175">
        <f>ROUND(IF([3]项目基本情况!B8="出让",SUMPRODUCT(PRODUCT(1+L15:L16)),SUMPRODUCT(PRODUCT(1+L15:L15))),4)</f>
        <v>1.0072000000000001</v>
      </c>
      <c r="T15" s="3175">
        <f>ROUND(IF([3]项目基本情况!B8="出让",SUMPRODUCT(PRODUCT(1+M15:M16)),SUMPRODUCT(PRODUCT(1+M15:M15))),4)</f>
        <v>1.0041</v>
      </c>
      <c r="U15" s="3175">
        <f>ROUND(IF([3]项目基本情况!B8="出让",SUMPRODUCT(PRODUCT(1+N15:N16)),SUMPRODUCT(PRODUCT(1+N15:N15))),4)</f>
        <v>1.0095000000000001</v>
      </c>
      <c r="V15" s="3175">
        <f>ROUND(IF([3]项目基本情况!B8="出让",SUMPRODUCT(PRODUCT(1+O15:O16)),SUMPRODUCT(PRODUCT(1+O15:O15))),4)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2814</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3357</v>
      </c>
    </row>
    <row r="19" spans="1:30" s="3001" customFormat="1">
      <c r="I19" s="3200" t="s">
        <v>2815</v>
      </c>
    </row>
    <row r="20" spans="1:30" s="3001" customFormat="1"/>
    <row r="21" spans="1:30" s="3201" customFormat="1" ht="12.75">
      <c r="B21" s="3202" t="s">
        <v>2816</v>
      </c>
      <c r="C21" s="3203"/>
      <c r="D21" s="3203"/>
      <c r="E21" s="3203"/>
      <c r="F21" s="3203"/>
      <c r="G21" s="3203"/>
      <c r="H21" s="3203"/>
      <c r="I21" s="3203"/>
      <c r="J21" s="3157"/>
      <c r="K21" s="3203" t="s">
        <v>2817</v>
      </c>
      <c r="L21" s="3203"/>
      <c r="M21" s="3203"/>
      <c r="N21" s="3203"/>
      <c r="O21" s="3203"/>
      <c r="P21" s="3203"/>
      <c r="Q21" s="3157"/>
      <c r="R21" s="3847" t="s">
        <v>2818</v>
      </c>
      <c r="S21" s="3848"/>
      <c r="T21" s="3848"/>
      <c r="U21" s="3848"/>
      <c r="V21" s="3848"/>
      <c r="W21" s="3848"/>
      <c r="X21" s="3157"/>
      <c r="Y21" s="3847" t="s">
        <v>2819</v>
      </c>
      <c r="Z21" s="3848"/>
      <c r="AA21" s="3848"/>
      <c r="AB21" s="3848"/>
      <c r="AC21" s="3848"/>
      <c r="AD21" s="3848"/>
    </row>
    <row r="22" spans="1:30" s="3135" customFormat="1" ht="14.25" thickBot="1">
      <c r="B22" s="3136"/>
      <c r="C22" s="3137"/>
      <c r="D22" s="3138" t="s">
        <v>2820</v>
      </c>
      <c r="E22" s="3139" t="s">
        <v>2821</v>
      </c>
      <c r="F22" s="3139" t="s">
        <v>2822</v>
      </c>
      <c r="G22" s="3139" t="s">
        <v>2823</v>
      </c>
      <c r="H22" s="3139"/>
      <c r="I22" s="3139" t="s">
        <v>2824</v>
      </c>
      <c r="J22" s="3140"/>
      <c r="K22" s="3138" t="s">
        <v>2820</v>
      </c>
      <c r="L22" s="3139" t="s">
        <v>2821</v>
      </c>
      <c r="M22" s="3139" t="s">
        <v>2822</v>
      </c>
      <c r="N22" s="3139" t="s">
        <v>2823</v>
      </c>
      <c r="O22" s="3139"/>
      <c r="P22" s="3139" t="s">
        <v>2824</v>
      </c>
      <c r="Q22" s="3140"/>
      <c r="R22" s="3138" t="s">
        <v>2820</v>
      </c>
      <c r="S22" s="3139" t="s">
        <v>2821</v>
      </c>
      <c r="T22" s="3139" t="s">
        <v>2822</v>
      </c>
      <c r="U22" s="3139" t="s">
        <v>2823</v>
      </c>
      <c r="V22" s="3139"/>
      <c r="W22" s="3139" t="s">
        <v>2824</v>
      </c>
      <c r="X22" s="3140"/>
      <c r="Y22" s="3138" t="s">
        <v>2820</v>
      </c>
      <c r="Z22" s="3139" t="s">
        <v>2821</v>
      </c>
      <c r="AA22" s="3139" t="s">
        <v>2822</v>
      </c>
      <c r="AB22" s="3139" t="s">
        <v>2823</v>
      </c>
      <c r="AC22" s="3139"/>
      <c r="AD22" s="3139" t="s">
        <v>2824</v>
      </c>
    </row>
    <row r="23" spans="1:30" s="3153" customFormat="1" ht="12.75">
      <c r="A23" s="3141" t="s">
        <v>2825</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3359</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ROUND(IF([3]项目基本情况!$B$8="出让",SUMPRODUCT(PRODUCT(1+L25:L$36)),SUMPRODUCT(PRODUCT(1+L25:L$35))),4)</f>
        <v>1.0396000000000001</v>
      </c>
      <c r="T25" s="3175">
        <f>ROUND(IF([3]项目基本情况!$B$8="出让",SUMPRODUCT(PRODUCT(1+M25:M$36)),SUMPRODUCT(PRODUCT(1+M25:M$35))),4)</f>
        <v>1.0269999999999999</v>
      </c>
      <c r="U25" s="3175">
        <f>ROUND(IF([3]项目基本情况!$B$8="出让",SUMPRODUCT(PRODUCT(1+N25:N$36)),SUMPRODUCT(PRODUCT(1+N25:N$35))),4)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3360</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ROUND(IF([3]项目基本情况!$B$8="出让",SUMPRODUCT(PRODUCT(1+L26:L$36)),SUMPRODUCT(PRODUCT(1+L26:L$35))),4)</f>
        <v>1.0396000000000001</v>
      </c>
      <c r="T26" s="3175">
        <f>ROUND(IF([3]项目基本情况!$B$8="出让",SUMPRODUCT(PRODUCT(1+M26:M$36)),SUMPRODUCT(PRODUCT(1+M26:M$35))),4)</f>
        <v>1.0269999999999999</v>
      </c>
      <c r="U26" s="3175">
        <f>ROUND(IF([3]项目基本情况!$B$8="出让",SUMPRODUCT(PRODUCT(1+N26:N$36)),SUMPRODUCT(PRODUCT(1+N26:N$35))),4)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3362</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ROUND(IF([3]项目基本情况!$B$8="出让",SUMPRODUCT(PRODUCT(1+L27:L$36)),SUMPRODUCT(PRODUCT(1+L27:L$35))),4)</f>
        <v>1.0396000000000001</v>
      </c>
      <c r="T27" s="3184">
        <f>ROUND(IF([3]项目基本情况!$B$8="出让",SUMPRODUCT(PRODUCT(1+M27:M$36)),SUMPRODUCT(PRODUCT(1+M27:M$35))),4)</f>
        <v>1.0269999999999999</v>
      </c>
      <c r="U27" s="3184">
        <f>ROUND(IF([3]项目基本情况!$B$8="出让",SUMPRODUCT(PRODUCT(1+N27:N$36)),SUMPRODUCT(PRODUCT(1+N27:N$35))),4)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3363</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ROUND(IF([3]项目基本情况!$B$8="出让",SUMPRODUCT(PRODUCT(1+L28:L$36)),SUMPRODUCT(PRODUCT(1+L28:L$35))),4)</f>
        <v>1.0344</v>
      </c>
      <c r="T28" s="3175">
        <f>ROUND(IF([3]项目基本情况!$B$8="出让",SUMPRODUCT(PRODUCT(1+M28:M$36)),SUMPRODUCT(PRODUCT(1+M28:M$35))),4)</f>
        <v>1.0224</v>
      </c>
      <c r="U28" s="3175">
        <f>ROUND(IF([3]项目基本情况!$B$8="出让",SUMPRODUCT(PRODUCT(1+N28:N$36)),SUMPRODUCT(PRODUCT(1+N28:N$35))),4)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3361</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ROUND(IF([3]项目基本情况!$B$8="出让",SUMPRODUCT(PRODUCT(1+L29:L$36)),SUMPRODUCT(PRODUCT(1+L29:L$35))),4)</f>
        <v>1.0286999999999999</v>
      </c>
      <c r="T29" s="3175">
        <f>ROUND(IF([3]项目基本情况!$B$8="出让",SUMPRODUCT(PRODUCT(1+M29:M$36)),SUMPRODUCT(PRODUCT(1+M29:M$35))),4)</f>
        <v>1.0164</v>
      </c>
      <c r="U29" s="3175">
        <f>ROUND(IF([3]项目基本情况!$B$8="出让",SUMPRODUCT(PRODUCT(1+N29:N$36)),SUMPRODUCT(PRODUCT(1+N29:N$35))),4)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3356</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ROUND(IF([3]项目基本情况!$B$8="出让",SUMPRODUCT(PRODUCT(1+L30:L$36)),SUMPRODUCT(PRODUCT(1+L30:L$35))),4)</f>
        <v>1.0241</v>
      </c>
      <c r="T30" s="3175">
        <f>ROUND(IF([3]项目基本情况!$B$8="出让",SUMPRODUCT(PRODUCT(1+M30:M$36)),SUMPRODUCT(PRODUCT(1+M30:M$35))),4)</f>
        <v>1.0144</v>
      </c>
      <c r="U30" s="3175">
        <f>ROUND(IF([3]项目基本情况!$B$8="出让",SUMPRODUCT(PRODUCT(1+N30:N$36)),SUMPRODUCT(PRODUCT(1+N30:N$35))),4)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3346</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ROUND(IF([3]项目基本情况!$B$8="出让",SUMPRODUCT(PRODUCT(1+L31:L$36)),SUMPRODUCT(PRODUCT(1+L31:L$35))),4)</f>
        <v>1.0210999999999999</v>
      </c>
      <c r="T31" s="3175">
        <f>ROUND(IF([3]项目基本情况!$B$8="出让",SUMPRODUCT(PRODUCT(1+M31:M$36)),SUMPRODUCT(PRODUCT(1+M31:M$35))),4)</f>
        <v>1.0114000000000001</v>
      </c>
      <c r="U31" s="3175">
        <f>ROUND(IF([3]项目基本情况!$B$8="出让",SUMPRODUCT(PRODUCT(1+N31:N$36)),SUMPRODUCT(PRODUCT(1+N31:N$35))),4)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2826</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ROUND(IF([3]项目基本情况!$B$8="出让",SUMPRODUCT(PRODUCT(1+L32:L$36)),SUMPRODUCT(PRODUCT(1+L32:L$35))),4)</f>
        <v>1.0222</v>
      </c>
      <c r="T32" s="3175">
        <f>ROUND(IF([3]项目基本情况!$B$8="出让",SUMPRODUCT(PRODUCT(1+M32:M$36)),SUMPRODUCT(PRODUCT(1+M32:M$35))),4)</f>
        <v>1.0127999999999999</v>
      </c>
      <c r="U32" s="3175">
        <f>ROUND(IF([3]项目基本情况!$B$8="出让",SUMPRODUCT(PRODUCT(1+N32:N$36)),SUMPRODUCT(PRODUCT(1+N32:N$35))),4)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2827</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ROUND(IF([3]项目基本情况!$B$8="出让",SUMPRODUCT(PRODUCT(1+L33:L$36)),SUMPRODUCT(PRODUCT(1+L33:L$35))),4)</f>
        <v>1.0161</v>
      </c>
      <c r="T33" s="3175">
        <f>ROUND(IF([3]项目基本情况!$B$8="出让",SUMPRODUCT(PRODUCT(1+M33:M$36)),SUMPRODUCT(PRODUCT(1+M33:M$35))),4)</f>
        <v>1.0082</v>
      </c>
      <c r="U33" s="3175">
        <f>ROUND(IF([3]项目基本情况!$B$8="出让",SUMPRODUCT(PRODUCT(1+N33:N$36)),SUMPRODUCT(PRODUCT(1+N33:N$35))),4)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2828</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ROUND(IF([3]项目基本情况!$B$8="出让",SUMPRODUCT(PRODUCT(1+L34:L$36)),SUMPRODUCT(PRODUCT(1+L34:L$35))),4)</f>
        <v>1.0102</v>
      </c>
      <c r="T34" s="3175">
        <f>ROUND(IF([3]项目基本情况!$B$8="出让",SUMPRODUCT(PRODUCT(1+M34:M$36)),SUMPRODUCT(PRODUCT(1+M34:M$35))),4)</f>
        <v>1.0074000000000001</v>
      </c>
      <c r="U34" s="3175">
        <f>ROUND(IF([3]项目基本情况!$B$8="出让",SUMPRODUCT(PRODUCT(1+N34:N$36)),SUMPRODUCT(PRODUCT(1+N34:N$35))),4)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2829</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ROUND(IF([3]项目基本情况!$B$8="出让",SUMPRODUCT(PRODUCT(1+L35:L$36)),SUMPRODUCT(PRODUCT(1+L35:L$35))),4)</f>
        <v>1.0055000000000001</v>
      </c>
      <c r="T35" s="3175">
        <f>ROUND(IF([3]项目基本情况!$B$8="出让",SUMPRODUCT(PRODUCT(1+M35:M$36)),SUMPRODUCT(PRODUCT(1+M35:M$35))),4)</f>
        <v>1.0045999999999999</v>
      </c>
      <c r="U35" s="3175">
        <f>ROUND(IF([3]项目基本情况!$B$8="出让",SUMPRODUCT(PRODUCT(1+N35:N$36)),SUMPRODUCT(PRODUCT(1+N35:N$35))),4)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2814</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2298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6" sqref="H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45210</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45159</v>
      </c>
      <c r="D13" s="2815">
        <v>3.45</v>
      </c>
      <c r="E13" s="2815">
        <f>D13</f>
        <v>3.45</v>
      </c>
      <c r="F13" s="2815">
        <f>D13</f>
        <v>3.45</v>
      </c>
      <c r="G13" s="2815">
        <f>D13</f>
        <v>3.45</v>
      </c>
      <c r="H13" s="281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45097</v>
      </c>
      <c r="D14" s="2810">
        <v>3.55</v>
      </c>
      <c r="E14" s="2810">
        <f>D14</f>
        <v>3.55</v>
      </c>
      <c r="F14" s="2810">
        <f>D14</f>
        <v>3.55</v>
      </c>
      <c r="G14" s="2810">
        <f>D14</f>
        <v>3.55</v>
      </c>
      <c r="H14" s="2810">
        <v>4.2</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44795</v>
      </c>
      <c r="D15" s="2810">
        <v>3.65</v>
      </c>
      <c r="E15" s="2810">
        <v>3.65</v>
      </c>
      <c r="F15" s="2810">
        <v>3.65</v>
      </c>
      <c r="G15" s="2810">
        <v>3.65</v>
      </c>
      <c r="H15" s="2810">
        <v>4.3</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9"/>
      <c r="C16" s="2811">
        <v>44701</v>
      </c>
      <c r="D16" s="2810">
        <v>3.7</v>
      </c>
      <c r="E16" s="2810">
        <f>D16</f>
        <v>3.7</v>
      </c>
      <c r="F16" s="2810">
        <f>D16</f>
        <v>3.7</v>
      </c>
      <c r="G16" s="2810">
        <f>D16</f>
        <v>3.7</v>
      </c>
      <c r="H16" s="2810">
        <v>4.45</v>
      </c>
      <c r="I16" s="2815"/>
      <c r="J16" s="281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9"/>
      <c r="C17" s="2811">
        <v>44581</v>
      </c>
      <c r="D17" s="2810">
        <v>3.7</v>
      </c>
      <c r="E17" s="2810">
        <f>D17</f>
        <v>3.7</v>
      </c>
      <c r="F17" s="2810">
        <f>D17</f>
        <v>3.7</v>
      </c>
      <c r="G17" s="2810">
        <f>D17</f>
        <v>3.7</v>
      </c>
      <c r="H17" s="2810">
        <v>4.5999999999999996</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43941</v>
      </c>
      <c r="D19" s="2810">
        <v>3.85</v>
      </c>
      <c r="E19" s="2810">
        <v>3.85</v>
      </c>
      <c r="F19" s="2810">
        <v>3.85</v>
      </c>
      <c r="G19" s="2810">
        <v>3.85</v>
      </c>
      <c r="H19" s="2810">
        <v>4.6500000000000004</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43881</v>
      </c>
      <c r="D20" s="2810">
        <v>4.05</v>
      </c>
      <c r="E20" s="2810">
        <v>4.05</v>
      </c>
      <c r="F20" s="2810">
        <v>4.05</v>
      </c>
      <c r="G20" s="2810">
        <v>4.05</v>
      </c>
      <c r="H20" s="2810">
        <v>4.75</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c r="C21" s="2811">
        <v>43789</v>
      </c>
      <c r="D21" s="2810">
        <v>4.1500000000000004</v>
      </c>
      <c r="E21" s="2810">
        <v>4.1500000000000004</v>
      </c>
      <c r="F21" s="2810">
        <v>4.1500000000000004</v>
      </c>
      <c r="G21" s="2810">
        <v>4.1500000000000004</v>
      </c>
      <c r="H21" s="2810">
        <v>4.8</v>
      </c>
      <c r="I21" s="2810"/>
      <c r="J21" s="281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0"/>
      <c r="C22" s="2811">
        <v>43728</v>
      </c>
      <c r="D22" s="2810">
        <v>4.2</v>
      </c>
      <c r="E22" s="2810">
        <v>4.2</v>
      </c>
      <c r="F22" s="2810">
        <v>4.2</v>
      </c>
      <c r="G22" s="2810">
        <v>4.2</v>
      </c>
      <c r="H22" s="2810">
        <v>4.8499999999999996</v>
      </c>
      <c r="I22" s="2810"/>
      <c r="J22" s="281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6"/>
      <c r="B23" s="2809" t="s">
        <v>2299</v>
      </c>
      <c r="C23" s="2812">
        <v>43697</v>
      </c>
      <c r="D23" s="2813">
        <v>4.25</v>
      </c>
      <c r="E23" s="2813">
        <v>4.25</v>
      </c>
      <c r="F23" s="2813">
        <v>4.25</v>
      </c>
      <c r="G23" s="2813">
        <v>4.25</v>
      </c>
      <c r="H23" s="2813">
        <v>4.8499999999999996</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7"/>
      <c r="C24" s="2818">
        <v>42301</v>
      </c>
      <c r="D24" s="2819">
        <v>4.3499999999999996</v>
      </c>
      <c r="E24" s="2819">
        <v>4.3499999999999996</v>
      </c>
      <c r="F24" s="2819">
        <v>4.75</v>
      </c>
      <c r="G24" s="2819">
        <v>4.75</v>
      </c>
      <c r="H24" s="2819">
        <v>4.9000000000000004</v>
      </c>
      <c r="I24" s="2819"/>
      <c r="J24" s="281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56"/>
  <sheetViews>
    <sheetView workbookViewId="0">
      <selection activeCell="H37" sqref="H37"/>
    </sheetView>
  </sheetViews>
  <sheetFormatPr defaultRowHeight="13.5"/>
  <cols>
    <col min="1" max="1" width="9.375" style="3487" customWidth="1"/>
    <col min="2" max="2" width="16.125" style="3487" customWidth="1"/>
    <col min="3" max="3" width="14.5" style="3487" customWidth="1"/>
    <col min="4" max="4" width="12.625" style="3487" customWidth="1"/>
    <col min="5" max="5" width="13" style="3487" bestFit="1" customWidth="1"/>
    <col min="6" max="7" width="13.875" style="3487" customWidth="1"/>
    <col min="8" max="8" width="16.875" style="3487" customWidth="1"/>
    <col min="9" max="16384" width="9" style="3487"/>
  </cols>
  <sheetData>
    <row r="1" spans="1:17" ht="16.5">
      <c r="A1" s="3486"/>
      <c r="B1" s="3486" t="s">
        <v>3728</v>
      </c>
    </row>
    <row r="2" spans="1:17" ht="16.5">
      <c r="A2" s="3486" t="s">
        <v>3729</v>
      </c>
      <c r="B2" s="3486" t="s">
        <v>3730</v>
      </c>
    </row>
    <row r="3" spans="1:17" ht="16.5">
      <c r="A3" s="3486" t="s">
        <v>3731</v>
      </c>
      <c r="B3" s="3488">
        <v>58329</v>
      </c>
    </row>
    <row r="4" spans="1:17" ht="16.5">
      <c r="A4" s="3486"/>
      <c r="B4" s="3488">
        <v>61982</v>
      </c>
    </row>
    <row r="5" spans="1:17" ht="16.5">
      <c r="A5" s="3486" t="s">
        <v>3732</v>
      </c>
      <c r="B5" s="3489">
        <v>42276.47</v>
      </c>
    </row>
    <row r="6" spans="1:17" ht="16.5">
      <c r="A6" s="3490" t="s">
        <v>3733</v>
      </c>
      <c r="B6" s="3491" t="s">
        <v>3734</v>
      </c>
    </row>
    <row r="8" spans="1:17" ht="15.75">
      <c r="A8" s="3492" t="s">
        <v>3735</v>
      </c>
      <c r="B8" s="3492" t="s">
        <v>3736</v>
      </c>
      <c r="C8" s="3492" t="s">
        <v>3737</v>
      </c>
      <c r="D8" s="3492" t="s">
        <v>3738</v>
      </c>
      <c r="E8" s="3492" t="s">
        <v>3739</v>
      </c>
      <c r="F8" s="3492" t="s">
        <v>3740</v>
      </c>
      <c r="G8" s="3492" t="s">
        <v>3741</v>
      </c>
    </row>
    <row r="9" spans="1:17" ht="15.75">
      <c r="A9" s="3493">
        <v>1</v>
      </c>
      <c r="B9" s="3494" t="s">
        <v>3742</v>
      </c>
      <c r="C9" s="3493">
        <v>20538.810000000001</v>
      </c>
      <c r="D9" s="3493">
        <v>7465.05</v>
      </c>
      <c r="E9" s="3493">
        <f>C9-D9</f>
        <v>13073.760000000002</v>
      </c>
      <c r="F9" s="3493">
        <v>177.5</v>
      </c>
      <c r="G9" s="3493" t="s">
        <v>3743</v>
      </c>
      <c r="I9" s="3495" t="s">
        <v>3744</v>
      </c>
      <c r="J9" s="3495" t="s">
        <v>3745</v>
      </c>
      <c r="K9" s="3495" t="s">
        <v>3746</v>
      </c>
      <c r="L9" s="3495"/>
    </row>
    <row r="10" spans="1:17" ht="15.75">
      <c r="A10" s="3493">
        <v>2</v>
      </c>
      <c r="B10" s="3494" t="s">
        <v>3747</v>
      </c>
      <c r="C10" s="3493">
        <v>28080.68</v>
      </c>
      <c r="D10" s="3493">
        <v>76.180000000000007</v>
      </c>
      <c r="E10" s="3493">
        <f t="shared" ref="E10:E20" si="0">C10-D10</f>
        <v>28004.5</v>
      </c>
      <c r="F10" s="3493">
        <v>234.4</v>
      </c>
      <c r="G10" s="3493" t="s">
        <v>3743</v>
      </c>
      <c r="I10" s="3495">
        <v>1</v>
      </c>
      <c r="J10" s="3495">
        <f>F12</f>
        <v>9434.2999999999993</v>
      </c>
      <c r="K10" s="3495">
        <v>1</v>
      </c>
      <c r="L10" s="3495">
        <v>15</v>
      </c>
      <c r="N10" s="3487">
        <f>L10*J10/E12</f>
        <v>8.4022065555432857</v>
      </c>
      <c r="Q10" s="3487">
        <f>L10*J10</f>
        <v>141514.5</v>
      </c>
    </row>
    <row r="11" spans="1:17" ht="15.75">
      <c r="A11" s="3493">
        <v>3</v>
      </c>
      <c r="B11" s="3494" t="s">
        <v>3748</v>
      </c>
      <c r="C11" s="3493">
        <v>28880.14</v>
      </c>
      <c r="D11" s="3493">
        <v>80.25</v>
      </c>
      <c r="E11" s="3493">
        <f t="shared" si="0"/>
        <v>28799.89</v>
      </c>
      <c r="F11" s="3493">
        <v>9897.1</v>
      </c>
      <c r="G11" s="3493" t="s">
        <v>3749</v>
      </c>
      <c r="H11" s="3487">
        <f>E11*56%</f>
        <v>16127.938400000001</v>
      </c>
      <c r="I11" s="3495">
        <v>2</v>
      </c>
      <c r="J11" s="3495">
        <f>F13</f>
        <v>9238.5</v>
      </c>
      <c r="K11" s="3495">
        <v>0.75</v>
      </c>
      <c r="L11" s="3495">
        <f>$L$10*K11</f>
        <v>11.25</v>
      </c>
      <c r="N11" s="3487">
        <f>L11*J11/(E13+E14)</f>
        <v>6.5515081316187596</v>
      </c>
      <c r="Q11" s="3487">
        <f t="shared" ref="Q11:Q15" si="1">L11*J11</f>
        <v>103933.125</v>
      </c>
    </row>
    <row r="12" spans="1:17" ht="15.75">
      <c r="A12" s="3493">
        <v>4</v>
      </c>
      <c r="B12" s="3494" t="s">
        <v>3750</v>
      </c>
      <c r="C12" s="3493">
        <v>16911.669999999998</v>
      </c>
      <c r="D12" s="3493">
        <v>69.13</v>
      </c>
      <c r="E12" s="3493">
        <f t="shared" si="0"/>
        <v>16842.539999999997</v>
      </c>
      <c r="F12" s="3493">
        <v>9434.2999999999993</v>
      </c>
      <c r="G12" s="3493" t="s">
        <v>3751</v>
      </c>
      <c r="H12" s="3496">
        <f>F12/E12</f>
        <v>0.56014710370288567</v>
      </c>
      <c r="I12" s="3495">
        <v>3</v>
      </c>
      <c r="J12" s="3495">
        <f>F15</f>
        <v>10172.5</v>
      </c>
      <c r="K12" s="3495">
        <v>0.65</v>
      </c>
      <c r="L12" s="3495">
        <f t="shared" ref="L12:L16" si="2">$L$10*K12</f>
        <v>9.75</v>
      </c>
      <c r="N12" s="3487">
        <f>L12*H15</f>
        <v>5.9330729362951482</v>
      </c>
      <c r="Q12" s="3487">
        <f t="shared" si="1"/>
        <v>99181.875</v>
      </c>
    </row>
    <row r="13" spans="1:17" ht="15.75">
      <c r="A13" s="3493">
        <v>5</v>
      </c>
      <c r="B13" s="3494" t="s">
        <v>3752</v>
      </c>
      <c r="C13" s="3493">
        <v>15795.03</v>
      </c>
      <c r="D13" s="3493"/>
      <c r="E13" s="3493">
        <f t="shared" si="0"/>
        <v>15795.03</v>
      </c>
      <c r="F13" s="3493">
        <v>9238.5</v>
      </c>
      <c r="G13" s="3493" t="s">
        <v>3751</v>
      </c>
      <c r="H13" s="3496">
        <f>F13/E13</f>
        <v>0.58489917398067615</v>
      </c>
      <c r="I13" s="3495">
        <v>4</v>
      </c>
      <c r="J13" s="3495">
        <f>F17</f>
        <v>9581.6</v>
      </c>
      <c r="K13" s="3495">
        <v>0.6</v>
      </c>
      <c r="L13" s="3495">
        <f t="shared" si="2"/>
        <v>9</v>
      </c>
      <c r="N13" s="3487">
        <f>L13*H17</f>
        <v>5.2824751816581337</v>
      </c>
      <c r="Q13" s="3487">
        <f t="shared" si="1"/>
        <v>86234.400000000009</v>
      </c>
    </row>
    <row r="14" spans="1:17" s="3500" customFormat="1" ht="15.75">
      <c r="A14" s="3497">
        <v>6</v>
      </c>
      <c r="B14" s="3498" t="s">
        <v>3753</v>
      </c>
      <c r="C14" s="3497">
        <v>68.97</v>
      </c>
      <c r="D14" s="3497"/>
      <c r="E14" s="3497">
        <f t="shared" si="0"/>
        <v>68.97</v>
      </c>
      <c r="F14" s="3497"/>
      <c r="G14" s="3497"/>
      <c r="H14" s="3499"/>
      <c r="I14" s="3495">
        <v>5</v>
      </c>
      <c r="J14" s="3495">
        <f>F18</f>
        <v>11342.6</v>
      </c>
      <c r="K14" s="3495">
        <v>0.55000000000000004</v>
      </c>
      <c r="L14" s="3495">
        <f t="shared" si="2"/>
        <v>8.25</v>
      </c>
      <c r="N14" s="3487">
        <f>L14*J14/E18</f>
        <v>5.7791030378188033</v>
      </c>
      <c r="Q14" s="3487">
        <f t="shared" si="1"/>
        <v>93576.45</v>
      </c>
    </row>
    <row r="15" spans="1:17" ht="15.75">
      <c r="A15" s="3493">
        <v>7</v>
      </c>
      <c r="B15" s="3494" t="s">
        <v>3754</v>
      </c>
      <c r="C15" s="3493">
        <v>16716.78</v>
      </c>
      <c r="D15" s="3493"/>
      <c r="E15" s="3493">
        <f t="shared" si="0"/>
        <v>16716.78</v>
      </c>
      <c r="F15" s="3493">
        <v>10172.5</v>
      </c>
      <c r="G15" s="3493" t="s">
        <v>3751</v>
      </c>
      <c r="H15" s="3496">
        <f>F15/E15</f>
        <v>0.60852030115847677</v>
      </c>
      <c r="I15" s="3495">
        <v>6</v>
      </c>
      <c r="J15" s="3495">
        <f>F19</f>
        <v>1009.7</v>
      </c>
      <c r="K15" s="3495">
        <v>0.5</v>
      </c>
      <c r="L15" s="3495">
        <f t="shared" si="2"/>
        <v>7.5</v>
      </c>
      <c r="N15" s="3487">
        <f>L15*J15/E19</f>
        <v>3.703074342661822</v>
      </c>
      <c r="Q15" s="3487">
        <f t="shared" si="1"/>
        <v>7572.75</v>
      </c>
    </row>
    <row r="16" spans="1:17" ht="15.75">
      <c r="A16" s="3495">
        <v>8</v>
      </c>
      <c r="B16" s="3501" t="s">
        <v>3755</v>
      </c>
      <c r="C16" s="3495">
        <v>191.65</v>
      </c>
      <c r="D16" s="3495"/>
      <c r="E16" s="3495">
        <f t="shared" si="0"/>
        <v>191.65</v>
      </c>
      <c r="F16" s="3495"/>
      <c r="G16" s="3495"/>
      <c r="H16" s="3496"/>
      <c r="I16" s="3495">
        <v>-1</v>
      </c>
      <c r="J16" s="3495">
        <f>F11</f>
        <v>9897.1</v>
      </c>
      <c r="K16" s="3495">
        <v>0.5</v>
      </c>
      <c r="L16" s="3495">
        <f t="shared" si="2"/>
        <v>7.5</v>
      </c>
    </row>
    <row r="17" spans="1:17" ht="15.75">
      <c r="A17" s="3493">
        <v>9</v>
      </c>
      <c r="B17" s="3494" t="s">
        <v>3756</v>
      </c>
      <c r="C17" s="3493">
        <v>16324.62</v>
      </c>
      <c r="D17" s="3493"/>
      <c r="E17" s="3493">
        <f t="shared" si="0"/>
        <v>16324.62</v>
      </c>
      <c r="F17" s="3493">
        <v>9581.6</v>
      </c>
      <c r="G17" s="3493" t="s">
        <v>3751</v>
      </c>
      <c r="H17" s="3496">
        <f>F17/E17</f>
        <v>0.58694168685090375</v>
      </c>
      <c r="I17" s="3495"/>
      <c r="J17" s="3495">
        <f>SUM(J10:J16)</f>
        <v>60676.299999999996</v>
      </c>
      <c r="K17" s="3495"/>
      <c r="L17" s="3502">
        <f>SUMPRODUCT(L10:L16,J10:J16)/J17</f>
        <v>9.9914027387958733</v>
      </c>
      <c r="M17" s="3487">
        <f>J17/(E21-E9-E10-(E11-J16))</f>
        <v>0.64326862300951482</v>
      </c>
      <c r="N17" s="3487">
        <f>L17*M17</f>
        <v>6.4271558817187167</v>
      </c>
      <c r="Q17" s="3487">
        <f>L17*J17/(E21-E9-E10-E11-E20)</f>
        <v>7.2020012880035011</v>
      </c>
    </row>
    <row r="18" spans="1:17" ht="15.75">
      <c r="A18" s="3493">
        <v>10</v>
      </c>
      <c r="B18" s="3494" t="s">
        <v>3757</v>
      </c>
      <c r="C18" s="3493">
        <v>16192.21</v>
      </c>
      <c r="D18" s="3493"/>
      <c r="E18" s="3493">
        <f t="shared" si="0"/>
        <v>16192.21</v>
      </c>
      <c r="F18" s="3493">
        <v>11342.6</v>
      </c>
      <c r="G18" s="3493" t="s">
        <v>3751</v>
      </c>
      <c r="I18" s="3495"/>
      <c r="J18" s="3495">
        <f>E21</f>
        <v>154306.02999999997</v>
      </c>
      <c r="K18" s="3495"/>
      <c r="L18" s="3502">
        <f>J17*L17/J18</f>
        <v>3.9288247516963537</v>
      </c>
    </row>
    <row r="19" spans="1:17" ht="15.75">
      <c r="A19" s="3493">
        <v>11</v>
      </c>
      <c r="B19" s="3494" t="s">
        <v>3758</v>
      </c>
      <c r="C19" s="3493">
        <v>2055.5500000000002</v>
      </c>
      <c r="D19" s="3493">
        <v>10.56</v>
      </c>
      <c r="E19" s="3493">
        <f t="shared" si="0"/>
        <v>2044.9900000000002</v>
      </c>
      <c r="F19" s="3493">
        <v>1009.7</v>
      </c>
      <c r="G19" s="3493" t="s">
        <v>3759</v>
      </c>
      <c r="I19" s="3495"/>
      <c r="J19" s="3495">
        <f>'[4]数据-基础表'!I13</f>
        <v>83916.17</v>
      </c>
      <c r="K19" s="3495"/>
      <c r="L19" s="3502">
        <f>L17*J17/J19</f>
        <v>7.2243686765017996</v>
      </c>
    </row>
    <row r="20" spans="1:17" ht="15.75">
      <c r="A20" s="3495">
        <v>12</v>
      </c>
      <c r="B20" s="3501" t="s">
        <v>3760</v>
      </c>
      <c r="C20" s="3495">
        <v>251.09</v>
      </c>
      <c r="D20" s="3495"/>
      <c r="E20" s="3495">
        <f t="shared" si="0"/>
        <v>251.09</v>
      </c>
      <c r="F20" s="3495"/>
      <c r="G20" s="3495"/>
      <c r="L20" s="3487">
        <f>6*J19/10000*365</f>
        <v>18377.641230000001</v>
      </c>
    </row>
    <row r="21" spans="1:17" s="3505" customFormat="1" ht="15.75">
      <c r="A21" s="3503"/>
      <c r="B21" s="3504" t="s">
        <v>3761</v>
      </c>
      <c r="C21" s="3503">
        <f>SUM(C9:C20)</f>
        <v>162007.19999999998</v>
      </c>
      <c r="D21" s="3503">
        <f>SUM(D9:D20)</f>
        <v>7701.170000000001</v>
      </c>
      <c r="E21" s="3503">
        <f>SUM(E9:E20)</f>
        <v>154306.02999999997</v>
      </c>
      <c r="F21" s="3503">
        <f>SUM(F9:F20)</f>
        <v>61088.2</v>
      </c>
      <c r="G21" s="3503"/>
    </row>
    <row r="22" spans="1:17" ht="15.75">
      <c r="A22" s="3495"/>
      <c r="B22" s="3501"/>
      <c r="C22" s="3495"/>
      <c r="D22" s="3495" t="s">
        <v>3762</v>
      </c>
      <c r="E22" s="3506">
        <f>(E9+E10+E11)/E21</f>
        <v>0.45285430517524172</v>
      </c>
      <c r="F22" s="3495"/>
      <c r="G22" s="3495"/>
    </row>
    <row r="24" spans="1:17">
      <c r="A24" s="3507" t="s">
        <v>3763</v>
      </c>
      <c r="B24" s="3508">
        <v>2008</v>
      </c>
    </row>
    <row r="28" spans="1:17" ht="15.75">
      <c r="B28" s="3495" t="s">
        <v>3764</v>
      </c>
      <c r="C28" s="3509" t="s">
        <v>3765</v>
      </c>
      <c r="D28" s="3495" t="s">
        <v>3766</v>
      </c>
      <c r="E28" s="3495" t="s">
        <v>3767</v>
      </c>
      <c r="F28" s="3495" t="s">
        <v>3768</v>
      </c>
      <c r="G28" s="3495" t="s">
        <v>3769</v>
      </c>
      <c r="H28" s="3487" t="s">
        <v>3791</v>
      </c>
      <c r="I28" s="3487" t="s">
        <v>3794</v>
      </c>
    </row>
    <row r="29" spans="1:17" ht="15.75">
      <c r="B29" s="3495" t="s">
        <v>3770</v>
      </c>
      <c r="C29" s="3495">
        <v>244340</v>
      </c>
      <c r="D29" s="3495">
        <v>100868</v>
      </c>
      <c r="E29" s="3495">
        <v>254798</v>
      </c>
      <c r="F29" s="3495">
        <v>314362</v>
      </c>
      <c r="G29" s="3495">
        <v>261876</v>
      </c>
      <c r="H29" s="3487">
        <f ca="1">结果表!G19</f>
        <v>269287</v>
      </c>
    </row>
    <row r="30" spans="1:17" ht="15.75">
      <c r="B30" s="3495" t="s">
        <v>3771</v>
      </c>
      <c r="C30" s="3495">
        <v>23541</v>
      </c>
      <c r="D30" s="3495">
        <v>19190</v>
      </c>
      <c r="E30" s="3495">
        <v>21240</v>
      </c>
      <c r="F30" s="3495">
        <v>14902</v>
      </c>
      <c r="G30" s="3495">
        <v>19533</v>
      </c>
      <c r="H30" s="3487">
        <f ca="1">ROUND(H29*10000/'数据-汇总表'!E3,0)</f>
        <v>25920</v>
      </c>
      <c r="I30" s="3487" t="s">
        <v>3793</v>
      </c>
    </row>
    <row r="31" spans="1:17" ht="18" customHeight="1">
      <c r="B31" s="3510" t="s">
        <v>3772</v>
      </c>
      <c r="C31" s="3510">
        <v>256807</v>
      </c>
      <c r="D31" s="3510"/>
      <c r="E31" s="3510"/>
      <c r="F31" s="3510"/>
      <c r="G31" s="3510">
        <v>294245</v>
      </c>
    </row>
    <row r="32" spans="1:17" ht="15.75">
      <c r="B32" s="3495"/>
      <c r="C32" s="3495"/>
      <c r="D32" s="3495"/>
      <c r="E32" s="3495"/>
      <c r="F32" s="3495"/>
      <c r="G32" s="3495"/>
    </row>
    <row r="33" spans="1:15" ht="15.75">
      <c r="B33" s="3495" t="s">
        <v>3773</v>
      </c>
      <c r="C33" s="3495">
        <v>81158.87</v>
      </c>
      <c r="D33" s="3495">
        <v>39985.24</v>
      </c>
      <c r="E33" s="3495">
        <v>85551.93</v>
      </c>
      <c r="F33" s="3495">
        <v>125418.93</v>
      </c>
      <c r="G33" s="3495">
        <f>42863.29+44140.36</f>
        <v>87003.65</v>
      </c>
      <c r="H33" s="3487">
        <f>'数据-汇总表'!F19</f>
        <v>67424.87</v>
      </c>
    </row>
    <row r="34" spans="1:15" ht="15.75">
      <c r="A34" s="3511"/>
      <c r="B34" s="3495" t="s">
        <v>3774</v>
      </c>
      <c r="C34" s="3495">
        <v>20000</v>
      </c>
      <c r="D34" s="3495">
        <v>12577.49</v>
      </c>
      <c r="E34" s="3495">
        <v>34411.600000000006</v>
      </c>
      <c r="F34" s="3495">
        <v>67925.820000000007</v>
      </c>
      <c r="G34" s="3495">
        <f>134067.08-G33</f>
        <v>47063.429999999993</v>
      </c>
      <c r="H34" s="3487">
        <f>'数据-汇总表'!G27</f>
        <v>36465.06</v>
      </c>
    </row>
    <row r="35" spans="1:15" ht="15.75">
      <c r="B35" s="3495" t="s">
        <v>3775</v>
      </c>
      <c r="C35" s="3495">
        <f>SUM(C33:C34)</f>
        <v>101158.87</v>
      </c>
      <c r="D35" s="3495">
        <f>SUM(D33:D34)</f>
        <v>52562.729999999996</v>
      </c>
      <c r="E35" s="3495">
        <f>SUM(E33:E34)</f>
        <v>119963.53</v>
      </c>
      <c r="F35" s="3495">
        <f>SUM(F33:F34)</f>
        <v>193344.75</v>
      </c>
      <c r="G35" s="3495">
        <f>SUM(G33:G34)</f>
        <v>134067.07999999999</v>
      </c>
      <c r="H35" s="3487">
        <f>H34+H33</f>
        <v>103889.93</v>
      </c>
    </row>
    <row r="36" spans="1:15" ht="16.5" customHeight="1">
      <c r="B36" s="3495" t="s">
        <v>3762</v>
      </c>
      <c r="C36" s="3506">
        <f>C34/C35</f>
        <v>0.19770881189163145</v>
      </c>
      <c r="D36" s="3506">
        <f t="shared" ref="D36:G36" si="3">D34/D35</f>
        <v>0.23928532631391103</v>
      </c>
      <c r="E36" s="3506">
        <f t="shared" si="3"/>
        <v>0.28685051198476741</v>
      </c>
      <c r="F36" s="3506">
        <f t="shared" si="3"/>
        <v>0.3513197022417211</v>
      </c>
      <c r="G36" s="3506">
        <f t="shared" si="3"/>
        <v>0.35104389533955688</v>
      </c>
      <c r="H36" s="3520">
        <f>H34/H35</f>
        <v>0.35099706006154785</v>
      </c>
    </row>
    <row r="37" spans="1:15" ht="15.75">
      <c r="B37" s="3495"/>
      <c r="C37" s="3495">
        <f t="shared" ref="C37:H37" si="4">C29*10000/C33</f>
        <v>30106.382703455583</v>
      </c>
      <c r="D37" s="3495">
        <f t="shared" si="4"/>
        <v>25226.308507839392</v>
      </c>
      <c r="E37" s="3495">
        <f t="shared" si="4"/>
        <v>29782.846512054144</v>
      </c>
      <c r="F37" s="3495">
        <f t="shared" si="4"/>
        <v>25064.956302848383</v>
      </c>
      <c r="G37" s="3495">
        <f t="shared" si="4"/>
        <v>30099.42686312586</v>
      </c>
      <c r="H37" s="3495">
        <f t="shared" ca="1" si="4"/>
        <v>39938.823760431427</v>
      </c>
    </row>
    <row r="38" spans="1:15" ht="15.75">
      <c r="B38" s="3495" t="s">
        <v>3776</v>
      </c>
      <c r="C38" s="3512">
        <v>5.5E-2</v>
      </c>
      <c r="D38" s="3512">
        <v>0.06</v>
      </c>
      <c r="E38" s="3512">
        <v>5.5E-2</v>
      </c>
      <c r="F38" s="3512">
        <v>0.06</v>
      </c>
      <c r="G38" s="3512">
        <v>0.06</v>
      </c>
      <c r="H38" s="3523">
        <f>'数据-取费表'!I6</f>
        <v>0.06</v>
      </c>
    </row>
    <row r="39" spans="1:15" ht="15.75">
      <c r="B39" s="3495" t="s">
        <v>3777</v>
      </c>
      <c r="C39" s="3495">
        <v>3500</v>
      </c>
      <c r="D39" s="3495">
        <v>4500</v>
      </c>
      <c r="E39" s="3495">
        <v>5000</v>
      </c>
      <c r="F39" s="3495">
        <v>4000</v>
      </c>
      <c r="G39" s="3495">
        <v>5200</v>
      </c>
      <c r="H39" s="3487">
        <f>'数据-取费表'!L6</f>
        <v>5500</v>
      </c>
    </row>
    <row r="40" spans="1:15" ht="15.75">
      <c r="B40" s="3495" t="s">
        <v>3778</v>
      </c>
      <c r="C40" s="3513">
        <v>0.25</v>
      </c>
      <c r="D40" s="3513">
        <v>0.15</v>
      </c>
      <c r="E40" s="3513">
        <v>0.15</v>
      </c>
      <c r="F40" s="3513">
        <v>0.25</v>
      </c>
      <c r="G40" s="3513">
        <v>0.3</v>
      </c>
      <c r="H40" s="3521">
        <f>'数据-取费表'!Q6</f>
        <v>0.25</v>
      </c>
    </row>
    <row r="41" spans="1:15" ht="15.75">
      <c r="B41" s="3495" t="s">
        <v>3744</v>
      </c>
      <c r="C41" s="3495">
        <v>5.5</v>
      </c>
      <c r="D41" s="3495">
        <v>3.9</v>
      </c>
      <c r="E41" s="3495">
        <v>5.5</v>
      </c>
      <c r="F41" s="3495">
        <v>5</v>
      </c>
      <c r="G41" s="3495">
        <v>5</v>
      </c>
      <c r="H41" s="3524">
        <f>'数据-取费表'!U6</f>
        <v>4.66</v>
      </c>
      <c r="J41" s="3514">
        <f>C41*C35/C33</f>
        <v>6.8553663327249375</v>
      </c>
      <c r="K41" s="3514">
        <f t="shared" ref="K41" si="5">D41*D35/D33</f>
        <v>5.1267579486830632</v>
      </c>
      <c r="L41" s="3514">
        <f>E41*E35/E33</f>
        <v>7.7122680341635785</v>
      </c>
      <c r="M41" s="3514">
        <f>F41*F35/F33</f>
        <v>7.7079572437749233</v>
      </c>
      <c r="N41" s="3514">
        <f>G41*G35/G33</f>
        <v>7.7046813553224487</v>
      </c>
      <c r="O41" s="3514"/>
    </row>
    <row r="42" spans="1:15" ht="15.75">
      <c r="B42" s="3495" t="s">
        <v>3779</v>
      </c>
      <c r="C42" s="3515">
        <v>1.4999999999999999E-2</v>
      </c>
      <c r="D42" s="3515">
        <v>2.5000000000000001E-2</v>
      </c>
      <c r="E42" s="3515">
        <v>2.5000000000000001E-2</v>
      </c>
      <c r="F42" s="3515">
        <v>0.03</v>
      </c>
      <c r="G42" s="3515">
        <v>0</v>
      </c>
      <c r="H42" s="3523">
        <f>'数据-取费表'!V6</f>
        <v>2.5000000000000001E-2</v>
      </c>
    </row>
    <row r="43" spans="1:15" ht="15.75">
      <c r="B43" s="3495" t="s">
        <v>3780</v>
      </c>
      <c r="C43" s="3506">
        <v>0.03</v>
      </c>
      <c r="D43" s="3515">
        <v>1.4999999999999999E-2</v>
      </c>
      <c r="E43" s="3515">
        <v>1.4999999999999999E-2</v>
      </c>
      <c r="F43" s="3515">
        <v>1.4999999999999999E-2</v>
      </c>
      <c r="G43" s="3515">
        <v>0.01</v>
      </c>
      <c r="H43" s="3522">
        <f>'数据-取费表'!AK6</f>
        <v>1.4999999999999999E-2</v>
      </c>
    </row>
    <row r="44" spans="1:15" ht="15.75">
      <c r="B44" s="3495" t="s">
        <v>3781</v>
      </c>
      <c r="C44" s="3506">
        <v>3.0000000000000001E-3</v>
      </c>
      <c r="D44" s="3515">
        <v>2E-3</v>
      </c>
      <c r="E44" s="3515">
        <v>1.5E-3</v>
      </c>
      <c r="F44" s="3515">
        <v>1.5E-3</v>
      </c>
      <c r="G44" s="3515">
        <v>1E-3</v>
      </c>
      <c r="H44" s="3525">
        <f>'数据-取费表'!AL6</f>
        <v>1.5E-3</v>
      </c>
    </row>
    <row r="45" spans="1:15" ht="15.75">
      <c r="B45" s="3495" t="s">
        <v>3782</v>
      </c>
      <c r="C45" s="3506">
        <v>0.03</v>
      </c>
      <c r="D45" s="3515">
        <v>0.03</v>
      </c>
      <c r="E45" s="3515">
        <v>0.02</v>
      </c>
      <c r="F45" s="3515">
        <v>0.03</v>
      </c>
      <c r="G45" s="3515">
        <v>0.02</v>
      </c>
      <c r="H45" s="3525">
        <f>'数据-取费表'!AM6</f>
        <v>0.02</v>
      </c>
    </row>
    <row r="46" spans="1:15" ht="15.75">
      <c r="B46" s="3495"/>
      <c r="C46" s="3495"/>
      <c r="D46" s="3495"/>
      <c r="E46" s="3495"/>
      <c r="F46" s="3495"/>
      <c r="G46" s="3495"/>
    </row>
    <row r="47" spans="1:15" ht="15.75">
      <c r="B47" s="3495" t="s">
        <v>3783</v>
      </c>
      <c r="C47" s="3495" t="s">
        <v>3784</v>
      </c>
      <c r="D47" s="3495" t="s">
        <v>3785</v>
      </c>
      <c r="E47" s="3495" t="s">
        <v>3786</v>
      </c>
      <c r="F47" s="3495" t="s">
        <v>3787</v>
      </c>
      <c r="G47" s="3495" t="s">
        <v>3788</v>
      </c>
      <c r="H47" s="3487" t="s">
        <v>3792</v>
      </c>
    </row>
    <row r="48" spans="1:15" ht="15.75">
      <c r="B48" s="3495"/>
      <c r="C48" s="3495"/>
      <c r="D48" s="3495"/>
      <c r="E48" s="3495"/>
      <c r="F48" s="3495"/>
      <c r="G48" s="3495"/>
    </row>
    <row r="49" spans="2:8" ht="15.75">
      <c r="B49" s="3495" t="s">
        <v>3789</v>
      </c>
      <c r="C49" s="3495">
        <v>18753</v>
      </c>
      <c r="D49" s="3495">
        <v>6734</v>
      </c>
      <c r="E49" s="3495">
        <v>18734</v>
      </c>
      <c r="F49" s="3495">
        <v>23770</v>
      </c>
      <c r="G49" s="3495">
        <f>[5]收益法!$C$6+[6]收益法!$C$6</f>
        <v>17099</v>
      </c>
      <c r="H49" s="3518">
        <f>'数据-取费表'!U6/10000</f>
        <v>4.66E-4</v>
      </c>
    </row>
    <row r="50" spans="2:8" ht="15.75">
      <c r="B50" s="3516"/>
      <c r="C50" s="3517">
        <f>C49/C33/365*10000</f>
        <v>6.3305566220649485</v>
      </c>
      <c r="D50" s="3517">
        <f t="shared" ref="D50:G50" si="6">D49/D33/365*10000</f>
        <v>4.6140313446894776</v>
      </c>
      <c r="E50" s="3517">
        <f t="shared" si="6"/>
        <v>5.9994002937467661</v>
      </c>
      <c r="F50" s="3517">
        <f t="shared" si="6"/>
        <v>5.1924607928988769</v>
      </c>
      <c r="G50" s="3517">
        <f t="shared" si="6"/>
        <v>5.384437933634481</v>
      </c>
    </row>
    <row r="52" spans="2:8">
      <c r="C52" s="3487">
        <v>6000</v>
      </c>
      <c r="D52" s="3487">
        <v>6000</v>
      </c>
      <c r="E52" s="3487">
        <v>6000</v>
      </c>
      <c r="F52" s="3487">
        <v>6000</v>
      </c>
      <c r="G52" s="3487">
        <f>F52</f>
        <v>6000</v>
      </c>
    </row>
    <row r="53" spans="2:8">
      <c r="C53" s="3487">
        <f>C52*C34/10000</f>
        <v>12000</v>
      </c>
      <c r="D53" s="3487">
        <f>D52*D34/10000</f>
        <v>7546.4939999999997</v>
      </c>
      <c r="E53" s="3487">
        <f>E52*E34/10000</f>
        <v>20646.960000000003</v>
      </c>
      <c r="F53" s="3487">
        <f>F52*F34/10000</f>
        <v>40755.492000000006</v>
      </c>
      <c r="G53" s="3487">
        <f>G52*G34/10000</f>
        <v>28238.057999999994</v>
      </c>
    </row>
    <row r="54" spans="2:8">
      <c r="C54" s="3487">
        <f>C29-C53</f>
        <v>232340</v>
      </c>
      <c r="D54" s="3487">
        <f>D29-D53</f>
        <v>93321.505999999994</v>
      </c>
      <c r="E54" s="3487">
        <f>E29-E53</f>
        <v>234151.04000000001</v>
      </c>
      <c r="F54" s="3487">
        <f>F29-F53</f>
        <v>273606.50799999997</v>
      </c>
      <c r="G54" s="3487">
        <f>G29-G53</f>
        <v>233637.94200000001</v>
      </c>
    </row>
    <row r="55" spans="2:8">
      <c r="C55" s="3518">
        <f>C54/C33*10000</f>
        <v>28627.801249573829</v>
      </c>
      <c r="D55" s="3518">
        <f t="shared" ref="D55:F55" si="7">D54/D33*10000</f>
        <v>23338.988586788524</v>
      </c>
      <c r="E55" s="3518">
        <f t="shared" si="7"/>
        <v>27369.463202057512</v>
      </c>
      <c r="F55" s="3518">
        <f t="shared" si="7"/>
        <v>21815.407610318474</v>
      </c>
      <c r="G55" s="3518">
        <f>G54/G33*10000</f>
        <v>26853.809236738918</v>
      </c>
    </row>
    <row r="56" spans="2:8">
      <c r="B56" s="3519"/>
      <c r="C56" s="3519">
        <f>(C31-C53)/C33</f>
        <v>3.0163924165035811</v>
      </c>
      <c r="D56" s="3519"/>
      <c r="E56" s="3519"/>
      <c r="F56" s="3519"/>
      <c r="G56" s="3519">
        <f>(G31-G53)/G33</f>
        <v>3.0574227862854029</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1" t="str">
        <f>IF(项目基本情况!B9="房地产市场价值","估价结果一览表","结果表-2")</f>
        <v>估价结果一览表</v>
      </c>
      <c r="B1" s="3551"/>
      <c r="C1" s="3551"/>
      <c r="D1" s="3551"/>
      <c r="E1" s="3551"/>
      <c r="F1" s="3551"/>
      <c r="G1" s="3551"/>
      <c r="H1" s="3551"/>
      <c r="I1" s="3551"/>
    </row>
    <row r="2" spans="1:9" ht="30" customHeight="1" thickTop="1">
      <c r="A2" s="3552" t="s">
        <v>928</v>
      </c>
      <c r="B2" s="3552" t="s">
        <v>929</v>
      </c>
      <c r="C2" s="3552" t="s">
        <v>930</v>
      </c>
      <c r="D2" s="3552" t="str">
        <f>结果表!D116</f>
        <v>出让国有建设用地使用权价值</v>
      </c>
      <c r="E2" s="3552"/>
      <c r="F2" s="3552" t="str">
        <f>结果表!F116</f>
        <v>在建建筑物价值</v>
      </c>
      <c r="G2" s="3552"/>
      <c r="H2" s="3552" t="str">
        <f>IF(项目基本情况!B9="房地产市场价值","房地产市场价值","房地产价值")</f>
        <v>房地产市场价值</v>
      </c>
      <c r="I2" s="3552"/>
    </row>
    <row r="3" spans="1:9" ht="15">
      <c r="A3" s="3553"/>
      <c r="B3" s="3553"/>
      <c r="C3" s="3553"/>
      <c r="D3" s="854" t="s">
        <v>925</v>
      </c>
      <c r="E3" s="854" t="s">
        <v>931</v>
      </c>
      <c r="F3" s="854" t="s">
        <v>925</v>
      </c>
      <c r="G3" s="854" t="s">
        <v>926</v>
      </c>
      <c r="H3" s="854" t="s">
        <v>925</v>
      </c>
      <c r="I3" s="854" t="s">
        <v>926</v>
      </c>
    </row>
    <row r="4" spans="1:9" ht="30">
      <c r="A4" s="1505" t="str">
        <f>项目基本情况!S2</f>
        <v>北京市丰台区丽泽路16号院1号楼房地产</v>
      </c>
      <c r="B4" s="854">
        <f>项目基本情况!C17</f>
        <v>103889.93</v>
      </c>
      <c r="C4" s="854">
        <f>项目基本情况!C18</f>
        <v>0</v>
      </c>
      <c r="D4" s="854">
        <f ca="1">结果表!D118</f>
        <v>200619</v>
      </c>
      <c r="E4" s="854">
        <f ca="1">结果表!E118</f>
        <v>19310</v>
      </c>
      <c r="F4" s="854">
        <f ca="1">结果表!F118</f>
        <v>68668</v>
      </c>
      <c r="G4" s="854">
        <f ca="1">结果表!G118</f>
        <v>6610</v>
      </c>
      <c r="H4" s="854">
        <f ca="1">结果表!H118</f>
        <v>269287</v>
      </c>
      <c r="I4" s="854">
        <f ca="1">结果表!I118</f>
        <v>25920</v>
      </c>
    </row>
    <row r="5" spans="1:9" ht="30" customHeight="1">
      <c r="A5" s="3553" t="s">
        <v>927</v>
      </c>
      <c r="B5" s="3553"/>
      <c r="C5" s="3553"/>
      <c r="D5" s="3553" t="str">
        <f ca="1">结果表!D119</f>
        <v>贰拾亿零陆佰壹拾玖万元整</v>
      </c>
      <c r="E5" s="3553"/>
      <c r="F5" s="3553" t="str">
        <f ca="1">结果表!F119</f>
        <v>陆亿捌仟陆佰陆拾捌万元整</v>
      </c>
      <c r="G5" s="3553"/>
      <c r="H5" s="3553" t="str">
        <f ca="1">结果表!H119</f>
        <v>贰拾陆亿玖仟贰佰捌拾柒万元整</v>
      </c>
      <c r="I5" s="3553"/>
    </row>
    <row r="6" spans="1:9" ht="15.75">
      <c r="A6" s="3554" t="str">
        <f>结果表!A120</f>
        <v/>
      </c>
      <c r="B6" s="3554"/>
      <c r="C6" s="3554"/>
      <c r="D6" s="3554">
        <f>结果表!D120</f>
        <v>0</v>
      </c>
      <c r="E6" s="3554"/>
      <c r="F6" s="3554"/>
      <c r="G6" s="3554"/>
      <c r="H6" s="3554"/>
      <c r="I6" s="3554"/>
    </row>
    <row r="7" spans="1:9" ht="15">
      <c r="A7" s="3553" t="s">
        <v>927</v>
      </c>
      <c r="B7" s="3553"/>
      <c r="C7" s="3553"/>
      <c r="D7" s="3555" t="str">
        <f>结果表!D121</f>
        <v>零元整</v>
      </c>
      <c r="E7" s="3556"/>
      <c r="F7" s="3556"/>
      <c r="G7" s="3556"/>
      <c r="H7" s="3556"/>
      <c r="I7" s="3557"/>
    </row>
    <row r="8" spans="1:9" ht="15.75">
      <c r="A8" s="3554" t="str">
        <f>结果表!A122</f>
        <v/>
      </c>
      <c r="B8" s="3554"/>
      <c r="C8" s="3554"/>
      <c r="D8" s="3554">
        <f ca="1">结果表!D122</f>
        <v>269287</v>
      </c>
      <c r="E8" s="3554"/>
      <c r="F8" s="3554"/>
      <c r="G8" s="3554"/>
      <c r="H8" s="3554"/>
      <c r="I8" s="3554"/>
    </row>
    <row r="9" spans="1:9" ht="15">
      <c r="A9" s="3553" t="s">
        <v>927</v>
      </c>
      <c r="B9" s="3553"/>
      <c r="C9" s="3553"/>
      <c r="D9" s="3553" t="str">
        <f ca="1">结果表!D123</f>
        <v>贰拾陆亿玖仟贰佰捌拾柒万元整</v>
      </c>
      <c r="E9" s="3553"/>
      <c r="F9" s="3553"/>
      <c r="G9" s="3553"/>
      <c r="H9" s="3553"/>
      <c r="I9" s="3553"/>
    </row>
    <row r="10" spans="1:9" ht="15.75">
      <c r="A10" s="3554" t="str">
        <f>结果表!A124</f>
        <v/>
      </c>
      <c r="B10" s="3554"/>
      <c r="C10" s="3554"/>
      <c r="D10" s="3554" t="str">
        <f>结果表!D124</f>
        <v>——</v>
      </c>
      <c r="E10" s="3554"/>
      <c r="F10" s="3554"/>
      <c r="G10" s="3554"/>
      <c r="H10" s="3554"/>
      <c r="I10" s="3554"/>
    </row>
    <row r="11" spans="1:9" ht="15">
      <c r="A11" s="3553" t="s">
        <v>927</v>
      </c>
      <c r="B11" s="3553"/>
      <c r="C11" s="3553"/>
      <c r="D11" s="3553" t="e">
        <f>结果表!D125</f>
        <v>#VALUE!</v>
      </c>
      <c r="E11" s="3553"/>
      <c r="F11" s="3553"/>
      <c r="G11" s="3553"/>
      <c r="H11" s="3553"/>
      <c r="I11" s="3553"/>
    </row>
    <row r="12" spans="1:9" ht="15.75">
      <c r="A12" s="3554" t="str">
        <f>结果表!A126</f>
        <v/>
      </c>
      <c r="B12" s="3554"/>
      <c r="C12" s="3554"/>
      <c r="D12" s="3554" t="str">
        <f>结果表!D126</f>
        <v>——</v>
      </c>
      <c r="E12" s="3554"/>
      <c r="F12" s="3554"/>
      <c r="G12" s="3554"/>
      <c r="H12" s="3554"/>
      <c r="I12" s="3554"/>
    </row>
    <row r="13" spans="1:9" ht="15.75" thickBot="1">
      <c r="A13" s="3558" t="s">
        <v>927</v>
      </c>
      <c r="B13" s="3558"/>
      <c r="C13" s="3558"/>
      <c r="D13" s="3558" t="e">
        <f>结果表!D127</f>
        <v>#VALUE!</v>
      </c>
      <c r="E13" s="3558"/>
      <c r="F13" s="3558"/>
      <c r="G13" s="3558"/>
      <c r="H13" s="3558"/>
      <c r="I13" s="3558"/>
    </row>
    <row r="14" spans="1:9" ht="15" thickTop="1">
      <c r="A14" s="3559" t="s">
        <v>932</v>
      </c>
      <c r="B14" s="3559"/>
      <c r="C14" s="3559"/>
      <c r="D14" s="3559"/>
      <c r="E14" s="3559"/>
      <c r="F14" s="3559"/>
      <c r="G14" s="3559"/>
      <c r="H14" s="3559"/>
      <c r="I14" s="355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3325</v>
      </c>
      <c r="D1" s="1362" t="s">
        <v>43</v>
      </c>
      <c r="E1" s="1363" t="s">
        <v>678</v>
      </c>
      <c r="F1" s="1062">
        <f ca="1">J53</f>
        <v>39.44</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7314</v>
      </c>
      <c r="C2" s="1387" t="s">
        <v>805</v>
      </c>
      <c r="D2" s="1387"/>
      <c r="E2" s="1388"/>
      <c r="F2" s="1389"/>
      <c r="G2" s="2699"/>
      <c r="H2" s="2688"/>
      <c r="I2" s="2688"/>
      <c r="J2" s="2688"/>
      <c r="K2" s="2689"/>
      <c r="L2" s="2688"/>
      <c r="M2" s="2688"/>
    </row>
    <row r="3" spans="1:37" ht="18" customHeight="1" thickBot="1">
      <c r="A3" s="1390" t="s">
        <v>806</v>
      </c>
      <c r="B3" s="1391">
        <f ca="1">IF(ISERROR(B2*10000/F43),0,ROUND(B2*10000/F43,0))</f>
        <v>6158</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458</v>
      </c>
      <c r="D5" s="1364" t="s">
        <v>693</v>
      </c>
      <c r="E5" s="1071"/>
      <c r="F5" s="1072"/>
      <c r="G5" s="1384"/>
      <c r="H5" s="299">
        <v>1</v>
      </c>
      <c r="I5" s="300" t="s">
        <v>692</v>
      </c>
      <c r="J5" s="1070">
        <f ca="1">J6+J10+J12</f>
        <v>0</v>
      </c>
      <c r="K5" s="1364" t="s">
        <v>693</v>
      </c>
      <c r="L5" s="1071"/>
      <c r="M5" s="1072"/>
    </row>
    <row r="6" spans="1:37" ht="18" customHeight="1">
      <c r="A6" s="1069" t="s">
        <v>398</v>
      </c>
      <c r="B6" s="3726" t="s">
        <v>694</v>
      </c>
      <c r="C6" s="1074">
        <f ca="1">ROUND(F6*F8*F7*(1-F9)/10000,0)</f>
        <v>458</v>
      </c>
      <c r="D6" s="155" t="s">
        <v>2107</v>
      </c>
      <c r="E6" s="302" t="s">
        <v>696</v>
      </c>
      <c r="F6" s="303">
        <f ca="1">INDIRECT("'数据-取费表'!u"&amp;$G$1)</f>
        <v>1200</v>
      </c>
      <c r="G6" s="1384"/>
      <c r="H6" s="1069" t="s">
        <v>398</v>
      </c>
      <c r="I6" s="3726" t="s">
        <v>694</v>
      </c>
      <c r="J6" s="301">
        <f ca="1">ROUND(M6*M8*M7*(1-M9)/10000,0)</f>
        <v>0</v>
      </c>
      <c r="K6" s="155" t="s">
        <v>2106</v>
      </c>
      <c r="L6" s="302" t="s">
        <v>696</v>
      </c>
      <c r="M6" s="303">
        <f ca="1">INDIRECT("'数据-取费表'!z"&amp;$G$1)</f>
        <v>0</v>
      </c>
    </row>
    <row r="7" spans="1:37" ht="18" customHeight="1">
      <c r="A7" s="1073"/>
      <c r="B7" s="3727"/>
      <c r="C7" s="1075"/>
      <c r="D7" s="307"/>
      <c r="E7" s="3473" t="s">
        <v>697</v>
      </c>
      <c r="F7" s="303">
        <f ca="1">IF(INDIRECT("'数据-取费表'!ah"&amp;$G$1)="",INDIRECT("'数据-取费表'!k"&amp;$G$1),INDIRECT("'数据-取费表'!ah"&amp;$G$1))</f>
        <v>335</v>
      </c>
      <c r="G7" s="1384"/>
      <c r="H7" s="304"/>
      <c r="I7" s="3727"/>
      <c r="J7" s="306"/>
      <c r="K7" s="307"/>
      <c r="L7" s="302" t="s">
        <v>697</v>
      </c>
      <c r="M7" s="303">
        <f ca="1">F7</f>
        <v>335</v>
      </c>
    </row>
    <row r="8" spans="1:37" ht="18" customHeight="1">
      <c r="A8" s="304"/>
      <c r="B8" s="3727"/>
      <c r="C8" s="306"/>
      <c r="D8" s="307"/>
      <c r="E8" s="302" t="s">
        <v>698</v>
      </c>
      <c r="F8" s="303">
        <f ca="1">INDIRECT("'数据-取费表'!ai"&amp;$G$1)</f>
        <v>12</v>
      </c>
      <c r="G8" s="1384"/>
      <c r="H8" s="304"/>
      <c r="I8" s="3727"/>
      <c r="J8" s="306"/>
      <c r="K8" s="307"/>
      <c r="L8" s="302" t="s">
        <v>698</v>
      </c>
      <c r="M8" s="303">
        <f ca="1">INDIRECT("'数据-取费表'!ai"&amp;$G$1)</f>
        <v>12</v>
      </c>
    </row>
    <row r="9" spans="1:37" ht="18" customHeight="1">
      <c r="A9" s="304"/>
      <c r="B9" s="3728"/>
      <c r="C9" s="306"/>
      <c r="D9" s="307"/>
      <c r="E9" s="302" t="s">
        <v>699</v>
      </c>
      <c r="F9" s="312">
        <f ca="1">INDIRECT("'数据-取费表'!w"&amp;$G$1)</f>
        <v>0.05</v>
      </c>
      <c r="G9" s="1384"/>
      <c r="H9" s="304"/>
      <c r="I9" s="372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3962</v>
      </c>
      <c r="G10" s="1384"/>
      <c r="H10" s="1069" t="s">
        <v>402</v>
      </c>
      <c r="I10" s="1365" t="s">
        <v>700</v>
      </c>
      <c r="J10" s="301">
        <f ca="1">ROUND(IF(M10="押一",J6/12*M11,IF(M10="押二",J6/12*2*M11,IF(M10="押三",J6/12*3*M11,J11*M11))),0)</f>
        <v>0</v>
      </c>
      <c r="K10" s="1366" t="s">
        <v>2114</v>
      </c>
      <c r="L10" s="313" t="s">
        <v>701</v>
      </c>
      <c r="M10" s="1116" t="s">
        <v>3401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6790</v>
      </c>
      <c r="D13" s="3465" t="s">
        <v>705</v>
      </c>
      <c r="E13" s="3465"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5344</v>
      </c>
      <c r="D14" s="3469" t="s">
        <v>708</v>
      </c>
      <c r="E14" s="3467"/>
      <c r="F14" s="319"/>
      <c r="G14" s="1384"/>
      <c r="H14" s="982" t="s">
        <v>398</v>
      </c>
      <c r="I14" s="302" t="s">
        <v>709</v>
      </c>
      <c r="J14" s="21">
        <f ca="1">C29</f>
        <v>7544</v>
      </c>
      <c r="K14" s="3472"/>
      <c r="L14" s="807"/>
      <c r="M14" s="808"/>
    </row>
    <row r="15" spans="1:37" s="1397" customFormat="1" ht="18" customHeight="1" thickBot="1">
      <c r="A15" s="982" t="s">
        <v>399</v>
      </c>
      <c r="B15" s="302" t="s">
        <v>710</v>
      </c>
      <c r="C15" s="21">
        <f ca="1">ROUND(C14*F15,0)</f>
        <v>267</v>
      </c>
      <c r="D15" s="3466" t="s">
        <v>711</v>
      </c>
      <c r="E15" s="3466"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75</v>
      </c>
      <c r="K16" s="1087" t="s">
        <v>715</v>
      </c>
      <c r="L16" s="3470"/>
      <c r="M16" s="1072"/>
    </row>
    <row r="17" spans="1:37" s="1397" customFormat="1" ht="18" customHeight="1">
      <c r="A17" s="982" t="s">
        <v>681</v>
      </c>
      <c r="B17" s="302" t="s">
        <v>716</v>
      </c>
      <c r="C17" s="21">
        <f ca="1">ROUND(F17*(F43+INDIRECT("'数据-取费表'!S"&amp;$G$1))/10000,0)</f>
        <v>238</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3469" t="s">
        <v>720</v>
      </c>
      <c r="L17" s="3468"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v>
      </c>
      <c r="D18" s="302" t="s">
        <v>711</v>
      </c>
      <c r="E18" s="302" t="s">
        <v>712</v>
      </c>
      <c r="F18" s="322">
        <f>'数据-取费表'!B36</f>
        <v>1.4999999999999999E-2</v>
      </c>
      <c r="G18" s="1396"/>
      <c r="H18" s="982" t="s">
        <v>397</v>
      </c>
      <c r="I18" s="302" t="s">
        <v>723</v>
      </c>
      <c r="J18" s="21">
        <f ca="1">ROUND(J6*M18/(1+'数据-取费表'!C42),2)</f>
        <v>0</v>
      </c>
      <c r="K18" s="3468"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5929</v>
      </c>
      <c r="D19" s="131" t="s">
        <v>726</v>
      </c>
      <c r="E19" s="3475"/>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119</v>
      </c>
      <c r="D20" s="2426"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5"/>
      <c r="F22" s="23"/>
      <c r="G22" s="1384"/>
      <c r="H22" s="982" t="s">
        <v>402</v>
      </c>
      <c r="I22" s="302" t="s">
        <v>738</v>
      </c>
      <c r="J22" s="21">
        <f ca="1">ROUND(J14*M22,2)</f>
        <v>75.44</v>
      </c>
      <c r="K22" s="3468"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315</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68"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5"/>
      <c r="F25" s="23"/>
      <c r="G25" s="1384"/>
      <c r="H25" s="1079" t="s">
        <v>394</v>
      </c>
      <c r="I25" s="1094" t="s">
        <v>752</v>
      </c>
      <c r="J25" s="310">
        <f ca="1">J5-J16</f>
        <v>-75</v>
      </c>
      <c r="K25" s="1095" t="s">
        <v>753</v>
      </c>
      <c r="L25" s="1096"/>
      <c r="M25" s="1097"/>
    </row>
    <row r="26" spans="1:37">
      <c r="A26" s="982" t="s">
        <v>397</v>
      </c>
      <c r="B26" s="302" t="s">
        <v>754</v>
      </c>
      <c r="C26" s="21">
        <f ca="1">ROUND((C19+C20)*F26,0)</f>
        <v>605</v>
      </c>
      <c r="D26" s="2426"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6" t="s">
        <v>761</v>
      </c>
      <c r="E27" s="3466"/>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7544</v>
      </c>
      <c r="D29" s="1092"/>
      <c r="E29" s="1090"/>
      <c r="F29" s="1093"/>
      <c r="G29" s="1396"/>
      <c r="H29" s="334" t="s">
        <v>396</v>
      </c>
      <c r="I29" s="335" t="s">
        <v>768</v>
      </c>
      <c r="J29" s="336">
        <f ca="1">ROUND(J26/(1+F40)^F41,0)</f>
        <v>0</v>
      </c>
      <c r="K29" s="337" t="s">
        <v>769</v>
      </c>
      <c r="L29" s="338"/>
      <c r="M29" s="339">
        <f ca="1">INDIRECT("'数据-取费表'!k"&amp;$G$1)</f>
        <v>11876.310000000001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167</v>
      </c>
      <c r="D30" s="1087" t="s">
        <v>715</v>
      </c>
      <c r="E30" s="3470"/>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76.77</v>
      </c>
      <c r="D31" s="3469" t="s">
        <v>720</v>
      </c>
      <c r="E31" s="3468" t="s">
        <v>770</v>
      </c>
      <c r="F31" s="2313" t="str">
        <f>IF(项目基本情况!B11="企业","——",IF(M47="住宅",IF(F6*F7*F8/12/(1+'数据-取费表'!F30)&gt;100000,4%,2.5%),IF(F6*F7*F8/12/(1+'数据-取费表'!F30)&gt;100000,12%,7%)))</f>
        <v>——</v>
      </c>
      <c r="G31" s="1384"/>
      <c r="H31" s="2801" t="s">
        <v>2296</v>
      </c>
      <c r="I31" s="1398"/>
      <c r="J31" s="1399"/>
      <c r="K31" s="2468"/>
      <c r="L31" s="2691"/>
      <c r="M31" s="2692"/>
    </row>
    <row r="32" spans="1:37" ht="18" customHeight="1">
      <c r="A32" s="982" t="s">
        <v>397</v>
      </c>
      <c r="B32" s="302" t="s">
        <v>723</v>
      </c>
      <c r="C32" s="21">
        <f ca="1">IF(项目基本情况!B11="自然人","——",ROUND(C6*F32/(1+'数据-取费表'!C42),2))</f>
        <v>24.43</v>
      </c>
      <c r="D32" s="3468" t="s">
        <v>724</v>
      </c>
      <c r="E32" s="302" t="s">
        <v>712</v>
      </c>
      <c r="F32" s="331">
        <f>'数据-取费表'!B41</f>
        <v>5.6000000000000001E-2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52.34</v>
      </c>
      <c r="D33" s="1370" t="s">
        <v>3327</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18</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75.44</v>
      </c>
      <c r="D36" s="3468" t="s">
        <v>771</v>
      </c>
      <c r="E36" s="302" t="s">
        <v>712</v>
      </c>
      <c r="F36" s="328">
        <f ca="1">INDIRECT("'数据-取费表'!Ak"&amp;$G$1)</f>
        <v>0.01</v>
      </c>
      <c r="G36" s="1384"/>
      <c r="H36" s="2693"/>
      <c r="I36" s="1398"/>
      <c r="J36" s="1399"/>
      <c r="K36" s="2537"/>
      <c r="L36" s="2693"/>
      <c r="M36" s="2693"/>
    </row>
    <row r="37" spans="1:18" ht="18" customHeight="1">
      <c r="A37" s="982" t="s">
        <v>437</v>
      </c>
      <c r="B37" s="302" t="s">
        <v>742</v>
      </c>
      <c r="C37" s="21">
        <f ca="1">ROUND(C13*F37,2)</f>
        <v>10.19</v>
      </c>
      <c r="D37" s="3468" t="s">
        <v>743</v>
      </c>
      <c r="E37" s="302" t="s">
        <v>744</v>
      </c>
      <c r="F37" s="330">
        <f ca="1">INDIRECT("'数据-取费表'!Al"&amp;$G$1)</f>
        <v>1.5E-3</v>
      </c>
      <c r="G37" s="1384"/>
      <c r="H37" s="2693"/>
      <c r="I37" s="1398"/>
      <c r="J37" s="1399"/>
      <c r="K37" s="2537"/>
      <c r="L37" s="2693"/>
      <c r="M37" s="2693"/>
    </row>
    <row r="38" spans="1:18" ht="18" customHeight="1" thickBot="1">
      <c r="A38" s="1089" t="s">
        <v>684</v>
      </c>
      <c r="B38" s="1090" t="s">
        <v>728</v>
      </c>
      <c r="C38" s="1091">
        <f ca="1">ROUND(C5*F38,2)</f>
        <v>4.58</v>
      </c>
      <c r="D38" s="1092" t="s">
        <v>748</v>
      </c>
      <c r="E38" s="1090" t="s">
        <v>744</v>
      </c>
      <c r="F38" s="1086">
        <f ca="1">INDIRECT("'数据-取费表'!Am"&amp;$G$1)</f>
        <v>0.01</v>
      </c>
      <c r="G38" s="1384"/>
      <c r="H38" s="2693"/>
      <c r="I38" s="1398"/>
      <c r="J38" s="1399"/>
      <c r="K38" s="2697"/>
      <c r="L38" s="2693"/>
      <c r="M38" s="2693"/>
    </row>
    <row r="39" spans="1:18" ht="24.6" customHeight="1" thickTop="1">
      <c r="A39" s="1079" t="s">
        <v>394</v>
      </c>
      <c r="B39" s="1094" t="s">
        <v>772</v>
      </c>
      <c r="C39" s="310">
        <f ca="1">C5-C30</f>
        <v>291</v>
      </c>
      <c r="D39" s="1095" t="s">
        <v>773</v>
      </c>
      <c r="E39" s="1096"/>
      <c r="F39" s="1097"/>
      <c r="G39" s="1384"/>
      <c r="H39" s="2693"/>
      <c r="I39" s="1398"/>
      <c r="J39" s="1399"/>
      <c r="K39" s="2697"/>
      <c r="L39" s="2693"/>
      <c r="M39" s="2693"/>
    </row>
    <row r="40" spans="1:18" ht="18" customHeight="1">
      <c r="A40" s="299" t="s">
        <v>395</v>
      </c>
      <c r="B40" s="300" t="s">
        <v>774</v>
      </c>
      <c r="C40" s="301">
        <f ca="1">ROUND(C39*(1-((1+F42)/(1+F40))^F41)/(F40-F42),0)</f>
        <v>7140</v>
      </c>
      <c r="D40" s="324" t="s">
        <v>758</v>
      </c>
      <c r="E40" s="302" t="s">
        <v>759</v>
      </c>
      <c r="F40" s="312">
        <f ca="1">INDIRECT("'数据-取费表'!I"&amp;$G$1)</f>
        <v>0.05</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39.44</v>
      </c>
      <c r="G41" s="1384"/>
      <c r="H41" s="1191"/>
      <c r="I41" s="1398"/>
      <c r="J41" s="1399"/>
      <c r="K41" s="2537"/>
      <c r="L41" s="1191"/>
      <c r="M41" s="1191"/>
    </row>
    <row r="42" spans="1:18" ht="18" customHeight="1">
      <c r="A42" s="308"/>
      <c r="B42" s="309"/>
      <c r="C42" s="310"/>
      <c r="D42" s="327"/>
      <c r="E42" s="302" t="s">
        <v>766</v>
      </c>
      <c r="F42" s="312">
        <f ca="1">INDIRECT("'数据-取费表'!v"&amp;$G$1)</f>
        <v>2.5000000000000001E-2</v>
      </c>
      <c r="G42" s="1384"/>
      <c r="H42" s="1191"/>
      <c r="I42" s="1398"/>
      <c r="J42" s="1399"/>
      <c r="K42" s="2537"/>
      <c r="L42" s="1191"/>
      <c r="M42" s="1191"/>
    </row>
    <row r="43" spans="1:18" ht="18" customHeight="1" thickBot="1">
      <c r="A43" s="334" t="s">
        <v>396</v>
      </c>
      <c r="B43" s="335" t="s">
        <v>776</v>
      </c>
      <c r="C43" s="336">
        <f ca="1">ROUND(C40*10000/F43,0)</f>
        <v>6012</v>
      </c>
      <c r="D43" s="337" t="s">
        <v>777</v>
      </c>
      <c r="E43" s="338" t="s">
        <v>778</v>
      </c>
      <c r="F43" s="339">
        <f ca="1">INDIRECT("'数据-取费表'!k"&amp;$G$1)</f>
        <v>11876.310000000001</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f ca="1">C68-C40</f>
        <v>-8609</v>
      </c>
      <c r="D46" s="1406" t="str">
        <f>C2</f>
        <v>万元</v>
      </c>
      <c r="E46" s="1400"/>
      <c r="F46" s="1400"/>
      <c r="I46" s="1407" t="s">
        <v>810</v>
      </c>
      <c r="J46" s="1408"/>
      <c r="K46" s="1409"/>
      <c r="L46" s="1410">
        <f ca="1">IF(M47="住宅",0,IF(L48&gt;J51,L60,J60))</f>
        <v>174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7140</v>
      </c>
      <c r="R47" s="1420" t="s">
        <v>818</v>
      </c>
    </row>
    <row r="48" spans="1:18" s="1384" customFormat="1" ht="28.5" thickBot="1">
      <c r="A48" s="1110" t="s">
        <v>438</v>
      </c>
      <c r="B48" s="300" t="s">
        <v>692</v>
      </c>
      <c r="C48" s="3474">
        <f ca="1">C49+C53+C55</f>
        <v>0</v>
      </c>
      <c r="D48" s="1112"/>
      <c r="E48" s="1113"/>
      <c r="F48" s="962"/>
      <c r="G48" s="722"/>
      <c r="H48" s="723"/>
      <c r="I48" s="1421" t="s">
        <v>819</v>
      </c>
      <c r="J48" s="1422" t="s">
        <v>3403</v>
      </c>
      <c r="K48" s="1423" t="s">
        <v>820</v>
      </c>
      <c r="L48" s="1424">
        <f ca="1">INDIRECT("'数据-取费表'!f"&amp;$G$1)</f>
        <v>39.44</v>
      </c>
      <c r="O48" s="1418" t="s">
        <v>404</v>
      </c>
      <c r="P48" s="1419" t="s">
        <v>821</v>
      </c>
      <c r="Q48" s="1420">
        <f ca="1">J60</f>
        <v>174</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f>'数据-取费表'!N18</f>
        <v>2017</v>
      </c>
      <c r="K49" s="1423" t="s">
        <v>824</v>
      </c>
      <c r="L49" s="1427"/>
      <c r="O49" s="1428" t="s">
        <v>405</v>
      </c>
      <c r="P49" s="1419" t="s">
        <v>825</v>
      </c>
      <c r="Q49" s="1420">
        <f ca="1">C29</f>
        <v>7544</v>
      </c>
      <c r="R49" s="1420" t="s">
        <v>818</v>
      </c>
    </row>
    <row r="50" spans="1:18" s="1384" customFormat="1" ht="13.5" thickBot="1">
      <c r="A50" s="976"/>
      <c r="B50" s="979"/>
      <c r="C50" s="1118"/>
      <c r="D50" s="953"/>
      <c r="E50" s="1056" t="s">
        <v>697</v>
      </c>
      <c r="F50" s="1057">
        <f ca="1">F7</f>
        <v>335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54</v>
      </c>
      <c r="K51" s="1434" t="s">
        <v>830</v>
      </c>
      <c r="L51" s="1435">
        <f ca="1">ROUND(-PV(INDIRECT("'数据-取费表'!h"&amp;$G$1),J51,(C39-C13*C76),0),0)</f>
        <v>-3715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39.44</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39.44</v>
      </c>
      <c r="K53" s="3729" t="s">
        <v>837</v>
      </c>
      <c r="L53" s="3730"/>
      <c r="O53" s="1418" t="s">
        <v>409</v>
      </c>
      <c r="P53" s="1419" t="s">
        <v>838</v>
      </c>
      <c r="Q53" s="1420">
        <f ca="1">Q47+Q48</f>
        <v>7314</v>
      </c>
      <c r="R53" s="1420" t="s">
        <v>410</v>
      </c>
    </row>
    <row r="54" spans="1:18" s="1384" customFormat="1" ht="13.5" thickBot="1">
      <c r="A54" s="1153"/>
      <c r="B54" s="1367" t="s">
        <v>679</v>
      </c>
      <c r="C54" s="959"/>
      <c r="D54" s="1366"/>
      <c r="E54" s="347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71"/>
      <c r="F55" s="1440"/>
      <c r="I55" s="1443" t="s">
        <v>840</v>
      </c>
      <c r="J55" s="1444">
        <f ca="1">ROUND(IF(J47="钢混",J57/J50,1-(1-2%)*(J50-J57)/J50),3)</f>
        <v>0.24299999999999999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6790</v>
      </c>
      <c r="D56" s="1447"/>
      <c r="E56" s="1448"/>
      <c r="F56" s="1440"/>
      <c r="I56" s="1449" t="s">
        <v>842</v>
      </c>
      <c r="J56" s="1450" t="s">
        <v>3404</v>
      </c>
      <c r="K56" s="1421" t="s">
        <v>843</v>
      </c>
      <c r="L56" s="1424" t="str">
        <f ca="1">IF(L48&lt;J51,"——",L48-J53)</f>
        <v>——</v>
      </c>
      <c r="O56" s="1418" t="s">
        <v>403</v>
      </c>
      <c r="P56" s="1419" t="s">
        <v>817</v>
      </c>
      <c r="Q56" s="1420">
        <f ca="1">C40+J29</f>
        <v>7140</v>
      </c>
      <c r="R56" s="1420" t="s">
        <v>818</v>
      </c>
    </row>
    <row r="57" spans="1:18" s="1384" customFormat="1" ht="24.75" thickBot="1">
      <c r="A57" s="1451"/>
      <c r="B57" s="950" t="s">
        <v>767</v>
      </c>
      <c r="C57" s="238">
        <f ca="1">C29</f>
        <v>7544</v>
      </c>
      <c r="D57" s="1452"/>
      <c r="E57" s="1453"/>
      <c r="F57" s="1454"/>
      <c r="I57" s="1455" t="s">
        <v>844</v>
      </c>
      <c r="J57" s="1456">
        <f ca="1">IF(OR(M47="住宅",J51&lt;L48,J56="是"),"——",J51-L48)</f>
        <v>14.560000000000002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3018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174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7140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75.44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10.19</v>
      </c>
      <c r="D65" s="964" t="s">
        <v>743</v>
      </c>
      <c r="E65" s="950" t="s">
        <v>744</v>
      </c>
      <c r="F65" s="330">
        <f t="shared" ca="1" si="0"/>
        <v>1.5E-3</v>
      </c>
      <c r="I65" s="1462" t="s">
        <v>867</v>
      </c>
      <c r="J65" s="1463">
        <v>40</v>
      </c>
      <c r="K65" s="1463">
        <v>30</v>
      </c>
      <c r="L65" s="1463">
        <v>50</v>
      </c>
      <c r="M65" s="1465">
        <v>0.02</v>
      </c>
      <c r="O65" s="1418" t="s">
        <v>403</v>
      </c>
      <c r="P65" s="1419" t="s">
        <v>868</v>
      </c>
      <c r="Q65" s="1420">
        <f ca="1">C40+J29</f>
        <v>7140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-86</v>
      </c>
      <c r="D67" s="963" t="s">
        <v>753</v>
      </c>
      <c r="E67" s="968"/>
      <c r="F67" s="969"/>
      <c r="O67" s="1428" t="s">
        <v>405</v>
      </c>
      <c r="P67" s="1419" t="s">
        <v>850</v>
      </c>
      <c r="Q67" s="1466">
        <f ca="1">L51</f>
        <v>-3715</v>
      </c>
      <c r="R67" s="1420" t="s">
        <v>870</v>
      </c>
    </row>
    <row r="68" spans="1:18" s="1384" customFormat="1" ht="16.5" thickBot="1">
      <c r="A68" s="947" t="s">
        <v>395</v>
      </c>
      <c r="B68" s="948" t="s">
        <v>774</v>
      </c>
      <c r="C68" s="301">
        <f ca="1">ROUND(C67*(1-((1+F70)/(1+F68))^F69)/(F68-F70),0)</f>
        <v>-1469</v>
      </c>
      <c r="D68" s="965" t="s">
        <v>758</v>
      </c>
      <c r="E68" s="950" t="s">
        <v>759</v>
      </c>
      <c r="F68" s="312">
        <f ca="1">F40</f>
        <v>0.05</v>
      </c>
      <c r="O68" s="1428" t="s">
        <v>406</v>
      </c>
      <c r="P68" s="1467" t="s">
        <v>871</v>
      </c>
      <c r="Q68" s="1420">
        <f ca="1">ROUND(Q69-Q70*Q71,0)</f>
        <v>-184</v>
      </c>
      <c r="R68" s="1420" t="s">
        <v>414</v>
      </c>
    </row>
    <row r="69" spans="1:18" s="1384" customFormat="1" ht="13.5" thickBot="1">
      <c r="A69" s="951"/>
      <c r="B69" s="952"/>
      <c r="C69" s="306"/>
      <c r="D69" s="970" t="s">
        <v>762</v>
      </c>
      <c r="E69" s="950" t="s">
        <v>763</v>
      </c>
      <c r="F69" s="333">
        <f ca="1">F41</f>
        <v>39.44</v>
      </c>
      <c r="O69" s="1428" t="s">
        <v>411</v>
      </c>
      <c r="P69" s="1467" t="s">
        <v>872</v>
      </c>
      <c r="Q69" s="1420">
        <f ca="1">C39</f>
        <v>291</v>
      </c>
      <c r="R69" s="1420" t="s">
        <v>818</v>
      </c>
    </row>
    <row r="70" spans="1:18" s="1384" customFormat="1" ht="13.5" thickBot="1">
      <c r="A70" s="954"/>
      <c r="B70" s="955"/>
      <c r="C70" s="310"/>
      <c r="D70" s="966"/>
      <c r="E70" s="950" t="s">
        <v>766</v>
      </c>
      <c r="F70" s="1054"/>
      <c r="O70" s="1428" t="s">
        <v>412</v>
      </c>
      <c r="P70" s="1467" t="s">
        <v>873</v>
      </c>
      <c r="Q70" s="1420">
        <f ca="1">C13</f>
        <v>6790</v>
      </c>
      <c r="R70" s="1420" t="s">
        <v>818</v>
      </c>
    </row>
    <row r="71" spans="1:18" s="1384" customFormat="1" ht="13.5" thickBot="1">
      <c r="A71" s="971" t="s">
        <v>396</v>
      </c>
      <c r="B71" s="972" t="s">
        <v>776</v>
      </c>
      <c r="C71" s="336">
        <f ca="1">ROUND(C68*10000/F71,0)</f>
        <v>-1237</v>
      </c>
      <c r="D71" s="973" t="s">
        <v>777</v>
      </c>
      <c r="E71" s="974" t="s">
        <v>778</v>
      </c>
      <c r="F71" s="339">
        <f ca="1">F43</f>
        <v>11876.310000000001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475</v>
      </c>
      <c r="D75" s="1384"/>
      <c r="E75" s="1384"/>
      <c r="F75" s="1384"/>
      <c r="K75" s="1402"/>
      <c r="L75" s="1384"/>
      <c r="O75" s="1418" t="s">
        <v>409</v>
      </c>
      <c r="P75" s="1419" t="s">
        <v>838</v>
      </c>
      <c r="Q75" s="1420">
        <f ca="1">Q65+Q66</f>
        <v>7140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-0.6319999999999999</v>
      </c>
    </row>
    <row r="80" spans="1:18">
      <c r="B80" s="340" t="s">
        <v>800</v>
      </c>
      <c r="C80" s="274">
        <f ca="1">ROUND(C75/C39,3)</f>
        <v>1.6319999999999999</v>
      </c>
    </row>
    <row r="81" spans="2:3">
      <c r="B81" s="270" t="s">
        <v>801</v>
      </c>
      <c r="C81" s="238"/>
    </row>
    <row r="82" spans="2:3">
      <c r="B82" s="273" t="s">
        <v>802</v>
      </c>
      <c r="C82" s="275">
        <f ca="1">1-C83</f>
        <v>4.9000000000000044E-2</v>
      </c>
    </row>
    <row r="83" spans="2:3">
      <c r="B83" s="273" t="s">
        <v>803</v>
      </c>
      <c r="C83" s="274">
        <f ca="1">ROUND(C13/C40,3)</f>
        <v>0.95099999999999996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3" sqref="B3"/>
    </sheetView>
  </sheetViews>
  <sheetFormatPr defaultRowHeight="13.15" customHeight="1"/>
  <cols>
    <col min="1" max="1" width="9.5" style="2835" customWidth="1"/>
    <col min="2" max="2" width="8.875" style="2835"/>
    <col min="3" max="5" width="12.875" style="2835" customWidth="1"/>
    <col min="6" max="6" width="47.5" style="2835" customWidth="1"/>
    <col min="7" max="7" width="13" style="2993" customWidth="1"/>
    <col min="8" max="8" width="8.875" style="2829"/>
    <col min="9" max="9" width="8.875" style="2830"/>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2425</v>
      </c>
      <c r="B1" s="2825"/>
      <c r="C1" s="2837"/>
      <c r="D1" s="2837"/>
      <c r="E1" s="2826"/>
      <c r="F1" s="2827"/>
      <c r="G1" s="2828"/>
      <c r="J1" s="2831" t="s">
        <v>2304</v>
      </c>
      <c r="K1" s="2832"/>
      <c r="L1" s="2832"/>
      <c r="M1" s="2832"/>
      <c r="N1" s="2832"/>
      <c r="O1" s="2832"/>
      <c r="P1" s="2832"/>
      <c r="Q1" s="2832"/>
      <c r="R1" s="2833"/>
      <c r="S1" s="2834"/>
      <c r="T1" s="2834"/>
      <c r="U1" s="2834"/>
    </row>
    <row r="2" spans="1:22" s="2846" customFormat="1" ht="13.15" customHeight="1">
      <c r="A2" s="1385" t="s">
        <v>2305</v>
      </c>
      <c r="B2" s="2836">
        <f ca="1">IF(D2="——",C40,C40+E2)</f>
        <v>225882.08686365251</v>
      </c>
      <c r="C2" s="2837" t="s">
        <v>2306</v>
      </c>
      <c r="D2" s="3435" t="s">
        <v>3350</v>
      </c>
      <c r="E2" s="3436">
        <f ca="1">收益法!L46+'收益法-车库'!L46</f>
        <v>4086</v>
      </c>
      <c r="F2" s="2839"/>
      <c r="G2" s="2840"/>
      <c r="H2" s="2841"/>
      <c r="I2" s="2842"/>
      <c r="J2" s="3860" t="s">
        <v>2307</v>
      </c>
      <c r="K2" s="3861"/>
      <c r="L2" s="2843" t="s">
        <v>2308</v>
      </c>
      <c r="M2" s="2843" t="s">
        <v>2309</v>
      </c>
      <c r="N2" s="2843" t="s">
        <v>2310</v>
      </c>
      <c r="O2" s="2843" t="s">
        <v>2311</v>
      </c>
      <c r="P2" s="2843" t="s">
        <v>2312</v>
      </c>
      <c r="Q2" s="2844" t="s">
        <v>2313</v>
      </c>
      <c r="R2" s="2845" t="s">
        <v>2314</v>
      </c>
      <c r="S2" s="2834"/>
      <c r="T2" s="2834"/>
      <c r="U2" s="2834"/>
      <c r="V2" s="2842"/>
    </row>
    <row r="3" spans="1:22" s="2846" customFormat="1" ht="13.15" customHeight="1">
      <c r="A3" s="2847" t="s">
        <v>2315</v>
      </c>
      <c r="B3" s="2848">
        <f ca="1">ROUND(B2*10000/B4,0)</f>
        <v>21742</v>
      </c>
      <c r="C3" s="2837" t="s">
        <v>2316</v>
      </c>
      <c r="D3" s="2837"/>
      <c r="E3" s="2838"/>
      <c r="F3" s="2839"/>
      <c r="G3" s="2840"/>
      <c r="H3" s="2841"/>
      <c r="I3" s="2842"/>
      <c r="J3" s="3862" t="s">
        <v>2317</v>
      </c>
      <c r="K3" s="3863"/>
      <c r="L3" s="2849"/>
      <c r="M3" s="2849"/>
      <c r="N3" s="2849"/>
      <c r="O3" s="2849"/>
      <c r="P3" s="2849"/>
      <c r="Q3" s="2850"/>
      <c r="R3" s="2851">
        <f>SUM(L3:Q3)</f>
        <v>0</v>
      </c>
      <c r="S3" s="2834"/>
      <c r="T3" s="2834"/>
      <c r="U3" s="2834"/>
      <c r="V3" s="2842"/>
    </row>
    <row r="4" spans="1:22" s="2846" customFormat="1" ht="13.15" customHeight="1">
      <c r="A4" s="2852" t="s">
        <v>2318</v>
      </c>
      <c r="B4" s="2853">
        <f>'数据-汇总表'!E3</f>
        <v>103889.93</v>
      </c>
      <c r="C4" s="2837"/>
      <c r="D4" s="2837"/>
      <c r="E4" s="2838"/>
      <c r="F4" s="2839"/>
      <c r="G4" s="2840"/>
      <c r="H4" s="2841"/>
      <c r="I4" s="2842"/>
      <c r="J4" s="3862" t="s">
        <v>2319</v>
      </c>
      <c r="K4" s="3863"/>
      <c r="L4" s="2854"/>
      <c r="M4" s="2854"/>
      <c r="N4" s="2854"/>
      <c r="O4" s="2854"/>
      <c r="P4" s="2854"/>
      <c r="Q4" s="2855"/>
      <c r="R4" s="2856">
        <f>SUM(L4:Q4)</f>
        <v>0</v>
      </c>
      <c r="S4" s="2834"/>
      <c r="T4" s="2834"/>
      <c r="U4" s="2834"/>
      <c r="V4" s="2842"/>
    </row>
    <row r="5" spans="1:22" s="2846" customFormat="1" ht="13.15" customHeight="1" thickBot="1">
      <c r="A5" s="2857" t="s">
        <v>2320</v>
      </c>
      <c r="B5" s="2858">
        <f>'数据-汇总表'!D3</f>
        <v>0</v>
      </c>
      <c r="C5" s="2837"/>
      <c r="D5" s="2859"/>
      <c r="E5" s="2839"/>
      <c r="F5" s="2839"/>
      <c r="G5" s="2840"/>
      <c r="H5" s="2841"/>
      <c r="I5" s="2842"/>
      <c r="J5" s="2860" t="s">
        <v>2321</v>
      </c>
      <c r="K5" s="2861"/>
      <c r="L5" s="2861"/>
      <c r="M5" s="2862"/>
      <c r="N5" s="2862"/>
      <c r="O5" s="2862"/>
      <c r="P5" s="2862"/>
      <c r="Q5" s="2862"/>
      <c r="R5" s="2845">
        <f>SUM(R14,R19,R24,R25,R27,R28)</f>
        <v>0</v>
      </c>
      <c r="S5" s="2834"/>
      <c r="T5" s="2834" t="s">
        <v>2322</v>
      </c>
      <c r="U5" s="2834" t="e">
        <f>ROUND(R5*10000/365/R3,1)</f>
        <v>#DIV/0!</v>
      </c>
      <c r="V5" s="2842"/>
    </row>
    <row r="6" spans="1:22" s="2846" customFormat="1" ht="13.15" customHeight="1" thickBot="1">
      <c r="A6" s="3864" t="s">
        <v>2323</v>
      </c>
      <c r="B6" s="3865"/>
      <c r="C6" s="3866"/>
      <c r="D6" s="3531">
        <f>租赁台账!J179</f>
        <v>15663.811511999991</v>
      </c>
      <c r="E6" s="2863"/>
      <c r="F6" s="2864"/>
      <c r="G6" s="2865"/>
      <c r="H6" s="2841"/>
      <c r="I6" s="2842"/>
      <c r="J6" s="3867">
        <v>1</v>
      </c>
      <c r="K6" s="3868" t="s">
        <v>2324</v>
      </c>
      <c r="L6" s="2866" t="s">
        <v>2325</v>
      </c>
      <c r="M6" s="2867" t="s">
        <v>2326</v>
      </c>
      <c r="N6" s="2867" t="s">
        <v>2327</v>
      </c>
      <c r="O6" s="2867" t="s">
        <v>2328</v>
      </c>
      <c r="P6" s="2867" t="s">
        <v>2329</v>
      </c>
      <c r="Q6" s="2867" t="s">
        <v>2330</v>
      </c>
      <c r="R6" s="2851" t="s">
        <v>2331</v>
      </c>
      <c r="S6" s="2834"/>
      <c r="T6" s="2834" t="s">
        <v>2332</v>
      </c>
      <c r="U6" s="2834"/>
      <c r="V6" s="2842"/>
    </row>
    <row r="7" spans="1:22" s="2846" customFormat="1" ht="13.15" customHeight="1">
      <c r="A7" s="2868" t="s">
        <v>2333</v>
      </c>
      <c r="B7" s="2869"/>
      <c r="C7" s="2870"/>
      <c r="D7" s="2871">
        <f ca="1">SUM(D9,D10,D11,D17,0)</f>
        <v>3950</v>
      </c>
      <c r="E7" s="2872">
        <f ca="1">E9+E10+E11+E17</f>
        <v>0.25221011653348102</v>
      </c>
      <c r="F7" s="2873"/>
      <c r="G7" s="2874"/>
      <c r="H7" s="2841"/>
      <c r="I7" s="2842"/>
      <c r="J7" s="3867"/>
      <c r="K7" s="3869"/>
      <c r="L7" s="2875" t="s">
        <v>2334</v>
      </c>
      <c r="M7" s="2876"/>
      <c r="N7" s="2853"/>
      <c r="O7" s="2877"/>
      <c r="P7" s="2877"/>
      <c r="Q7" s="2878">
        <v>365</v>
      </c>
      <c r="R7" s="2879">
        <f>ROUND(M7*N7*O7*P7*Q7/10000,0)</f>
        <v>0</v>
      </c>
      <c r="S7" s="2834"/>
      <c r="T7" s="2834" t="s">
        <v>2335</v>
      </c>
      <c r="U7" s="2834"/>
      <c r="V7" s="2842"/>
    </row>
    <row r="8" spans="1:22" s="2846" customFormat="1" ht="13.15" customHeight="1">
      <c r="A8" s="2880" t="s">
        <v>2336</v>
      </c>
      <c r="B8" s="3871" t="s">
        <v>2337</v>
      </c>
      <c r="C8" s="3872"/>
      <c r="D8" s="2881" t="s">
        <v>2338</v>
      </c>
      <c r="E8" s="2882" t="s">
        <v>2339</v>
      </c>
      <c r="F8" s="2883" t="s">
        <v>2340</v>
      </c>
      <c r="G8" s="2884"/>
      <c r="H8" s="2841"/>
      <c r="I8" s="2842"/>
      <c r="J8" s="3867"/>
      <c r="K8" s="3869"/>
      <c r="L8" s="2875" t="s">
        <v>2341</v>
      </c>
      <c r="M8" s="2876"/>
      <c r="N8" s="2853"/>
      <c r="O8" s="2877"/>
      <c r="P8" s="2877"/>
      <c r="Q8" s="2878">
        <v>365</v>
      </c>
      <c r="R8" s="2879">
        <f t="shared" ref="R8:R13" si="0">ROUND(M8*N8*O8*P8*Q8/10000,0)</f>
        <v>0</v>
      </c>
      <c r="S8" s="2834"/>
      <c r="T8" s="2834" t="s">
        <v>2342</v>
      </c>
      <c r="U8" s="2834"/>
      <c r="V8" s="2842"/>
    </row>
    <row r="9" spans="1:22" s="2846" customFormat="1" ht="13.15" customHeight="1">
      <c r="A9" s="2880">
        <v>1</v>
      </c>
      <c r="B9" s="3871" t="s">
        <v>2343</v>
      </c>
      <c r="C9" s="3872"/>
      <c r="D9" s="2881">
        <f>ROUND(D6*E9,0)</f>
        <v>783</v>
      </c>
      <c r="E9" s="2885">
        <v>0.05</v>
      </c>
      <c r="F9" s="2886" t="s">
        <v>2344</v>
      </c>
      <c r="G9" s="2865"/>
      <c r="H9" s="2841"/>
      <c r="I9" s="2842"/>
      <c r="J9" s="3867"/>
      <c r="K9" s="3869"/>
      <c r="L9" s="2875" t="s">
        <v>2345</v>
      </c>
      <c r="M9" s="2876"/>
      <c r="N9" s="2853"/>
      <c r="O9" s="2877"/>
      <c r="P9" s="2877"/>
      <c r="Q9" s="2878">
        <v>365</v>
      </c>
      <c r="R9" s="2879">
        <f t="shared" si="0"/>
        <v>0</v>
      </c>
      <c r="S9" s="2834"/>
      <c r="T9" s="2834"/>
      <c r="U9" s="2834"/>
      <c r="V9" s="2842"/>
    </row>
    <row r="10" spans="1:22" s="2846" customFormat="1" ht="13.15" customHeight="1">
      <c r="A10" s="2880">
        <v>2</v>
      </c>
      <c r="B10" s="3871" t="s">
        <v>2346</v>
      </c>
      <c r="C10" s="3872"/>
      <c r="D10" s="2881">
        <f>ROUND(D6*E10,0)</f>
        <v>1566</v>
      </c>
      <c r="E10" s="2885">
        <v>0.1</v>
      </c>
      <c r="F10" s="2886" t="s">
        <v>2347</v>
      </c>
      <c r="G10" s="2865"/>
      <c r="H10" s="2841"/>
      <c r="I10" s="2842"/>
      <c r="J10" s="3867"/>
      <c r="K10" s="3869"/>
      <c r="L10" s="2875" t="s">
        <v>2348</v>
      </c>
      <c r="M10" s="2876"/>
      <c r="N10" s="2853"/>
      <c r="O10" s="2877"/>
      <c r="P10" s="2877"/>
      <c r="Q10" s="2878">
        <v>365</v>
      </c>
      <c r="R10" s="2879">
        <f t="shared" si="0"/>
        <v>0</v>
      </c>
      <c r="S10" s="2834"/>
      <c r="T10" s="2834"/>
      <c r="U10" s="2834"/>
      <c r="V10" s="2842"/>
    </row>
    <row r="11" spans="1:22" s="2846" customFormat="1" ht="13.15" customHeight="1">
      <c r="A11" s="2880">
        <v>3</v>
      </c>
      <c r="B11" s="3871" t="s">
        <v>2349</v>
      </c>
      <c r="C11" s="3872"/>
      <c r="D11" s="2881">
        <f ca="1">D12+D14+D15+D16</f>
        <v>1601</v>
      </c>
      <c r="E11" s="2887">
        <f ca="1">D11/D6</f>
        <v>0.10221011653348099</v>
      </c>
      <c r="F11" s="2883"/>
      <c r="G11" s="2884"/>
      <c r="H11" s="2841"/>
      <c r="I11" s="2842"/>
      <c r="J11" s="3867"/>
      <c r="K11" s="3869"/>
      <c r="L11" s="2875" t="s">
        <v>2350</v>
      </c>
      <c r="M11" s="2876"/>
      <c r="N11" s="2853"/>
      <c r="O11" s="2877"/>
      <c r="P11" s="2877"/>
      <c r="Q11" s="2878">
        <v>365</v>
      </c>
      <c r="R11" s="2879">
        <f t="shared" si="0"/>
        <v>0</v>
      </c>
      <c r="S11" s="2834"/>
      <c r="T11" s="2834"/>
      <c r="U11" s="2834"/>
      <c r="V11" s="2842"/>
    </row>
    <row r="12" spans="1:22" s="2846" customFormat="1" ht="13.15" customHeight="1">
      <c r="A12" s="2888" t="s">
        <v>2351</v>
      </c>
      <c r="B12" s="3873" t="s">
        <v>2352</v>
      </c>
      <c r="C12" s="3874"/>
      <c r="D12" s="2889">
        <f ca="1">ROUND(D13*1.2%*(1-30%),0)</f>
        <v>739</v>
      </c>
      <c r="E12" s="2890">
        <v>1.2E-2</v>
      </c>
      <c r="F12" s="2883" t="s">
        <v>2353</v>
      </c>
      <c r="G12" s="2884"/>
      <c r="H12" s="2841"/>
      <c r="I12" s="2842"/>
      <c r="J12" s="3867"/>
      <c r="K12" s="3869"/>
      <c r="L12" s="2875" t="s">
        <v>2354</v>
      </c>
      <c r="M12" s="2876"/>
      <c r="N12" s="2853"/>
      <c r="O12" s="2877"/>
      <c r="P12" s="2877"/>
      <c r="Q12" s="2878">
        <v>365</v>
      </c>
      <c r="R12" s="2879">
        <f t="shared" si="0"/>
        <v>0</v>
      </c>
      <c r="S12" s="2834"/>
      <c r="T12" s="2834"/>
      <c r="U12" s="2834"/>
      <c r="V12" s="2842"/>
    </row>
    <row r="13" spans="1:22" s="2846" customFormat="1" ht="13.15" customHeight="1">
      <c r="A13" s="2888"/>
      <c r="B13" s="2891"/>
      <c r="C13" s="2892" t="s">
        <v>2355</v>
      </c>
      <c r="D13" s="2893">
        <f ca="1">收益法!C29+'收益法-车库'!C29</f>
        <v>87951</v>
      </c>
      <c r="E13" s="2894"/>
      <c r="F13" s="2883"/>
      <c r="G13" s="2884"/>
      <c r="H13" s="2841"/>
      <c r="I13" s="2842"/>
      <c r="J13" s="3867"/>
      <c r="K13" s="3869"/>
      <c r="L13" s="2875" t="s">
        <v>2356</v>
      </c>
      <c r="M13" s="2876"/>
      <c r="N13" s="2853"/>
      <c r="O13" s="2877"/>
      <c r="P13" s="2877"/>
      <c r="Q13" s="2878">
        <v>365</v>
      </c>
      <c r="R13" s="2879">
        <f t="shared" si="0"/>
        <v>0</v>
      </c>
      <c r="S13" s="2834"/>
      <c r="T13" s="2834"/>
      <c r="U13" s="2834"/>
      <c r="V13" s="2842"/>
    </row>
    <row r="14" spans="1:22" s="2846" customFormat="1" ht="13.15" customHeight="1">
      <c r="A14" s="2888" t="s">
        <v>2357</v>
      </c>
      <c r="B14" s="3873" t="s">
        <v>2358</v>
      </c>
      <c r="C14" s="3874"/>
      <c r="D14" s="2889">
        <f>ROUND(E14*B5/10000,0)</f>
        <v>0</v>
      </c>
      <c r="E14" s="2878"/>
      <c r="F14" s="2883" t="s">
        <v>2359</v>
      </c>
      <c r="G14" s="2884"/>
      <c r="H14" s="2841"/>
      <c r="I14" s="2842"/>
      <c r="J14" s="3867"/>
      <c r="K14" s="3870"/>
      <c r="L14" s="2895" t="s">
        <v>2360</v>
      </c>
      <c r="M14" s="2896">
        <f>SUM(M7:M13)</f>
        <v>0</v>
      </c>
      <c r="N14" s="2896" t="e">
        <f>ROUND((N7*M7+N8*M8+N9*M9+N10*M10+N11*M11+N12*M12+N13*M13)/M14,0)</f>
        <v>#DIV/0!</v>
      </c>
      <c r="O14" s="2897"/>
      <c r="P14" s="2897"/>
      <c r="Q14" s="2898"/>
      <c r="R14" s="2845">
        <f>SUM(R7:R13)</f>
        <v>0</v>
      </c>
      <c r="S14" s="2834"/>
      <c r="T14" s="2834"/>
      <c r="U14" s="2834"/>
      <c r="V14" s="2842"/>
    </row>
    <row r="15" spans="1:22" s="2846" customFormat="1" ht="13.15" customHeight="1">
      <c r="A15" s="2888" t="s">
        <v>2361</v>
      </c>
      <c r="B15" s="3873" t="s">
        <v>2362</v>
      </c>
      <c r="C15" s="3874"/>
      <c r="D15" s="2889">
        <f>ROUND(D6*E15,0)</f>
        <v>862</v>
      </c>
      <c r="E15" s="2890">
        <v>5.5E-2</v>
      </c>
      <c r="F15" s="2883" t="s">
        <v>2363</v>
      </c>
      <c r="G15" s="2865"/>
      <c r="H15" s="2841"/>
      <c r="I15" s="2842"/>
      <c r="J15" s="3867">
        <v>2</v>
      </c>
      <c r="K15" s="3868" t="s">
        <v>2364</v>
      </c>
      <c r="L15" s="2875" t="s">
        <v>2365</v>
      </c>
      <c r="M15" s="2876" t="s">
        <v>2366</v>
      </c>
      <c r="N15" s="2876" t="s">
        <v>2367</v>
      </c>
      <c r="O15" s="2877" t="s">
        <v>2368</v>
      </c>
      <c r="P15" s="2877" t="s">
        <v>2330</v>
      </c>
      <c r="Q15" s="2853" t="s">
        <v>2369</v>
      </c>
      <c r="R15" s="2899" t="s">
        <v>2331</v>
      </c>
      <c r="S15" s="2834"/>
      <c r="T15" s="2834"/>
      <c r="U15" s="2834"/>
      <c r="V15" s="2842"/>
    </row>
    <row r="16" spans="1:22" s="2846" customFormat="1" ht="13.15" customHeight="1">
      <c r="A16" s="2888" t="s">
        <v>2370</v>
      </c>
      <c r="B16" s="3873" t="s">
        <v>2371</v>
      </c>
      <c r="C16" s="3874"/>
      <c r="D16" s="2900">
        <f>D6*E16</f>
        <v>0</v>
      </c>
      <c r="E16" s="2901"/>
      <c r="F16" s="2886" t="s">
        <v>2372</v>
      </c>
      <c r="G16" s="2865"/>
      <c r="H16" s="2841"/>
      <c r="I16" s="2842"/>
      <c r="J16" s="3867"/>
      <c r="K16" s="3869"/>
      <c r="L16" s="2875" t="s">
        <v>2373</v>
      </c>
      <c r="M16" s="2876"/>
      <c r="N16" s="2876"/>
      <c r="O16" s="2877"/>
      <c r="P16" s="2878">
        <v>365</v>
      </c>
      <c r="Q16" s="2853"/>
      <c r="R16" s="2899">
        <f>ROUND(M16*N16*O16*P16/10000,0)</f>
        <v>0</v>
      </c>
      <c r="S16" s="2834"/>
      <c r="T16" s="2834"/>
      <c r="U16" s="2834"/>
      <c r="V16" s="2842"/>
    </row>
    <row r="17" spans="1:22" s="2846" customFormat="1" ht="13.15" customHeight="1" thickBot="1">
      <c r="A17" s="2902">
        <v>4</v>
      </c>
      <c r="B17" s="3875" t="s">
        <v>2374</v>
      </c>
      <c r="C17" s="3876"/>
      <c r="D17" s="2903">
        <f>ROUND(D6*E17,0)</f>
        <v>0</v>
      </c>
      <c r="E17" s="2904"/>
      <c r="F17" s="2905" t="s">
        <v>2375</v>
      </c>
      <c r="G17" s="2865"/>
      <c r="H17" s="2841"/>
      <c r="I17" s="2842"/>
      <c r="J17" s="3867"/>
      <c r="K17" s="3869"/>
      <c r="L17" s="2875" t="s">
        <v>2376</v>
      </c>
      <c r="M17" s="2876"/>
      <c r="N17" s="2876"/>
      <c r="O17" s="2877"/>
      <c r="P17" s="2878">
        <v>365</v>
      </c>
      <c r="Q17" s="2853"/>
      <c r="R17" s="2899">
        <f>ROUND(M17*N17*O17*P17/10000,0)</f>
        <v>0</v>
      </c>
      <c r="S17" s="2834"/>
      <c r="T17" s="2834"/>
      <c r="U17" s="2834"/>
      <c r="V17" s="2842"/>
    </row>
    <row r="18" spans="1:22" s="2846" customFormat="1" ht="13.15" customHeight="1" thickBot="1">
      <c r="A18" s="2868" t="s">
        <v>2377</v>
      </c>
      <c r="B18" s="2869"/>
      <c r="C18" s="2869"/>
      <c r="D18" s="2906">
        <f>ROUND(D6*E18,0)</f>
        <v>783</v>
      </c>
      <c r="E18" s="2907">
        <v>0.05</v>
      </c>
      <c r="F18" s="2908" t="s">
        <v>2378</v>
      </c>
      <c r="G18" s="2865"/>
      <c r="H18" s="2841"/>
      <c r="I18" s="2842"/>
      <c r="J18" s="3867"/>
      <c r="K18" s="3869"/>
      <c r="L18" s="2875" t="s">
        <v>2379</v>
      </c>
      <c r="M18" s="2876"/>
      <c r="N18" s="2876"/>
      <c r="O18" s="2877"/>
      <c r="P18" s="2878">
        <v>365</v>
      </c>
      <c r="Q18" s="2853"/>
      <c r="R18" s="2899">
        <f>ROUND(M18*N18*O18*P18/10000,0)</f>
        <v>0</v>
      </c>
      <c r="S18" s="2834"/>
      <c r="T18" s="2834"/>
      <c r="U18" s="2834"/>
      <c r="V18" s="2842"/>
    </row>
    <row r="19" spans="1:22" s="2846" customFormat="1" ht="13.15" customHeight="1" thickBot="1">
      <c r="A19" s="2909" t="s">
        <v>2380</v>
      </c>
      <c r="B19" s="2863"/>
      <c r="C19" s="2863"/>
      <c r="D19" s="2863"/>
      <c r="E19" s="2863"/>
      <c r="F19" s="2864"/>
      <c r="G19" s="2884"/>
      <c r="H19" s="2841"/>
      <c r="I19" s="2842"/>
      <c r="J19" s="3867"/>
      <c r="K19" s="3870"/>
      <c r="L19" s="2895" t="s">
        <v>2360</v>
      </c>
      <c r="M19" s="2896"/>
      <c r="N19" s="2896">
        <f>SUM(N16:N18)</f>
        <v>0</v>
      </c>
      <c r="O19" s="2897"/>
      <c r="P19" s="2910" t="s">
        <v>2424</v>
      </c>
      <c r="Q19" s="2877">
        <v>0</v>
      </c>
      <c r="R19" s="2911">
        <f>ROUND(IF(P19="按比例",R14*Q19,SUM(R16:R18)),0)</f>
        <v>0</v>
      </c>
      <c r="S19" s="2834"/>
      <c r="T19" s="2834"/>
      <c r="U19" s="2834"/>
      <c r="V19" s="2842"/>
    </row>
    <row r="20" spans="1:22" s="2846" customFormat="1" ht="13.15" customHeight="1">
      <c r="A20" s="2868"/>
      <c r="B20" s="2869"/>
      <c r="C20" s="2869"/>
      <c r="D20" s="2869"/>
      <c r="E20" s="2869"/>
      <c r="F20" s="2912"/>
      <c r="G20" s="2884"/>
      <c r="H20" s="2841"/>
      <c r="I20" s="2842"/>
      <c r="J20" s="3867">
        <v>3</v>
      </c>
      <c r="K20" s="3868" t="s">
        <v>2381</v>
      </c>
      <c r="L20" s="2875" t="s">
        <v>2382</v>
      </c>
      <c r="M20" s="2876" t="s">
        <v>2383</v>
      </c>
      <c r="N20" s="2913" t="s">
        <v>2384</v>
      </c>
      <c r="O20" s="2877" t="s">
        <v>2385</v>
      </c>
      <c r="P20" s="2878" t="s">
        <v>2386</v>
      </c>
      <c r="Q20" s="2853" t="s">
        <v>2387</v>
      </c>
      <c r="R20" s="2899" t="s">
        <v>2388</v>
      </c>
      <c r="S20" s="2914"/>
      <c r="T20" s="2914"/>
      <c r="U20" s="2914"/>
      <c r="V20" s="2842"/>
    </row>
    <row r="21" spans="1:22" s="2846" customFormat="1" ht="13.15" customHeight="1">
      <c r="A21" s="2868"/>
      <c r="B21" s="2869"/>
      <c r="C21" s="2915" t="s">
        <v>2389</v>
      </c>
      <c r="D21" s="2916" t="s">
        <v>2390</v>
      </c>
      <c r="E21" s="2917" t="s">
        <v>2391</v>
      </c>
      <c r="F21" s="2912"/>
      <c r="G21" s="2884"/>
      <c r="H21" s="2841"/>
      <c r="I21" s="2842"/>
      <c r="J21" s="3867"/>
      <c r="K21" s="3869"/>
      <c r="L21" s="2875" t="s">
        <v>2392</v>
      </c>
      <c r="M21" s="2876"/>
      <c r="N21" s="2876"/>
      <c r="O21" s="2877"/>
      <c r="P21" s="2878">
        <v>365</v>
      </c>
      <c r="Q21" s="2853"/>
      <c r="R21" s="2918">
        <f>ROUND(M21*N21*O21*P21/10000,0)</f>
        <v>0</v>
      </c>
      <c r="S21" s="2914"/>
      <c r="T21" s="2914"/>
      <c r="U21" s="2914"/>
      <c r="V21" s="2842"/>
    </row>
    <row r="22" spans="1:22" s="2846" customFormat="1" ht="13.15" customHeight="1">
      <c r="A22" s="2868"/>
      <c r="B22" s="2869"/>
      <c r="C22" s="2919" t="s">
        <v>2393</v>
      </c>
      <c r="D22" s="2920" t="s">
        <v>2394</v>
      </c>
      <c r="E22" s="2921" t="s">
        <v>2395</v>
      </c>
      <c r="F22" s="2912"/>
      <c r="G22" s="2922"/>
      <c r="H22" s="2841"/>
      <c r="I22" s="2842"/>
      <c r="J22" s="3867"/>
      <c r="K22" s="3869"/>
      <c r="L22" s="2875" t="s">
        <v>2396</v>
      </c>
      <c r="M22" s="2876"/>
      <c r="N22" s="2876"/>
      <c r="O22" s="2877"/>
      <c r="P22" s="2878">
        <v>365</v>
      </c>
      <c r="Q22" s="2853"/>
      <c r="R22" s="2918">
        <f>ROUND(M22*N22*O22*P22/10000,0)</f>
        <v>0</v>
      </c>
      <c r="S22" s="2914"/>
      <c r="T22" s="2914"/>
      <c r="U22" s="2914"/>
      <c r="V22" s="2842"/>
    </row>
    <row r="23" spans="1:22" s="2846" customFormat="1" ht="13.15" customHeight="1">
      <c r="A23" s="2923">
        <v>1</v>
      </c>
      <c r="B23" s="2924" t="s">
        <v>2397</v>
      </c>
      <c r="C23" s="2925">
        <f>D6</f>
        <v>15663.811511999991</v>
      </c>
      <c r="D23" s="2926">
        <f>C23*(1+D24)</f>
        <v>15663.811511999991</v>
      </c>
      <c r="E23" s="2927">
        <f>D23*(1+E24)</f>
        <v>18796.573814399988</v>
      </c>
      <c r="F23" s="2928"/>
      <c r="G23" s="2929"/>
      <c r="H23" s="2841"/>
      <c r="I23" s="2842"/>
      <c r="J23" s="3867"/>
      <c r="K23" s="3869"/>
      <c r="L23" s="2875" t="s">
        <v>2398</v>
      </c>
      <c r="M23" s="2876"/>
      <c r="N23" s="2876"/>
      <c r="O23" s="2877"/>
      <c r="P23" s="2878">
        <v>365</v>
      </c>
      <c r="Q23" s="2853"/>
      <c r="R23" s="2918">
        <f>ROUND(M23*N23*O23*P23/10000,0)</f>
        <v>0</v>
      </c>
      <c r="S23" s="2834"/>
      <c r="T23" s="2834"/>
      <c r="U23" s="2834"/>
      <c r="V23" s="2842"/>
    </row>
    <row r="24" spans="1:22" s="2846" customFormat="1" ht="13.15" customHeight="1">
      <c r="A24" s="2930"/>
      <c r="B24" s="2931" t="s">
        <v>2399</v>
      </c>
      <c r="C24" s="2932"/>
      <c r="D24" s="2933">
        <v>0</v>
      </c>
      <c r="E24" s="2934">
        <v>0.2</v>
      </c>
      <c r="F24" s="2935"/>
      <c r="G24" s="2929"/>
      <c r="H24" s="2841"/>
      <c r="I24" s="2842"/>
      <c r="J24" s="3867"/>
      <c r="K24" s="3870"/>
      <c r="L24" s="2895" t="s">
        <v>2360</v>
      </c>
      <c r="M24" s="2896">
        <f>SUM(M21:M23)</f>
        <v>0</v>
      </c>
      <c r="N24" s="2896"/>
      <c r="O24" s="2897"/>
      <c r="P24" s="2910" t="s">
        <v>2424</v>
      </c>
      <c r="Q24" s="2877">
        <v>0</v>
      </c>
      <c r="R24" s="2911">
        <f>ROUND(IF(P24="按比例",R14*Q24,SUM(R21:R23)),0)</f>
        <v>0</v>
      </c>
      <c r="S24" s="2834"/>
      <c r="T24" s="2834"/>
      <c r="U24" s="2834"/>
      <c r="V24" s="2842"/>
    </row>
    <row r="25" spans="1:22" s="2942" customFormat="1" ht="13.15" customHeight="1">
      <c r="A25" s="2930"/>
      <c r="B25" s="2931"/>
      <c r="C25" s="2932"/>
      <c r="D25" s="2933"/>
      <c r="E25" s="2934"/>
      <c r="F25" s="2935"/>
      <c r="G25" s="2922"/>
      <c r="H25" s="2841"/>
      <c r="I25" s="2842"/>
      <c r="J25" s="2936">
        <v>4</v>
      </c>
      <c r="K25" s="2937" t="s">
        <v>2400</v>
      </c>
      <c r="L25" s="2938"/>
      <c r="M25" s="2938"/>
      <c r="N25" s="2938"/>
      <c r="O25" s="2938"/>
      <c r="P25" s="2939"/>
      <c r="Q25" s="2940">
        <v>0</v>
      </c>
      <c r="R25" s="2911">
        <f>ROUND(R14*Q25,0)</f>
        <v>0</v>
      </c>
      <c r="S25" s="2834"/>
      <c r="T25" s="2834"/>
      <c r="U25" s="2834"/>
      <c r="V25" s="2941"/>
    </row>
    <row r="26" spans="1:22" s="2942" customFormat="1" ht="13.15" customHeight="1">
      <c r="A26" s="2923">
        <v>2</v>
      </c>
      <c r="B26" s="2924" t="s">
        <v>2401</v>
      </c>
      <c r="C26" s="2925">
        <f ca="1">D7</f>
        <v>3950</v>
      </c>
      <c r="D26" s="2926">
        <f ca="1">D23*D27</f>
        <v>3950.5717267999994</v>
      </c>
      <c r="E26" s="2927">
        <f ca="1">E23*E27</f>
        <v>4740.6860721599987</v>
      </c>
      <c r="F26" s="2928"/>
      <c r="G26" s="2929"/>
      <c r="H26" s="2841"/>
      <c r="I26" s="2842"/>
      <c r="J26" s="3877">
        <v>5</v>
      </c>
      <c r="K26" s="2943" t="s">
        <v>2402</v>
      </c>
      <c r="L26" s="2944"/>
      <c r="M26" s="2945"/>
      <c r="N26" s="2946" t="s">
        <v>2403</v>
      </c>
      <c r="O26" s="2946" t="s">
        <v>2404</v>
      </c>
      <c r="P26" s="2947" t="s">
        <v>2405</v>
      </c>
      <c r="Q26" s="2947" t="s">
        <v>2406</v>
      </c>
      <c r="R26" s="2851" t="s">
        <v>2331</v>
      </c>
      <c r="S26" s="2948"/>
      <c r="T26" s="2948"/>
      <c r="U26" s="2948"/>
      <c r="V26" s="2941"/>
    </row>
    <row r="27" spans="1:22" s="2846" customFormat="1" ht="13.15" customHeight="1">
      <c r="A27" s="2930"/>
      <c r="B27" s="2931" t="s">
        <v>2407</v>
      </c>
      <c r="C27" s="2949">
        <f ca="1">E7</f>
        <v>0.25221011653348102</v>
      </c>
      <c r="D27" s="2933">
        <f ca="1">C27</f>
        <v>0.25221011653348102</v>
      </c>
      <c r="E27" s="2934">
        <f ca="1">D27</f>
        <v>0.25221011653348102</v>
      </c>
      <c r="F27" s="2935"/>
      <c r="G27" s="2929"/>
      <c r="H27" s="2950"/>
      <c r="I27" s="2941"/>
      <c r="J27" s="3878"/>
      <c r="K27" s="2951"/>
      <c r="L27" s="2952"/>
      <c r="M27" s="2953"/>
      <c r="N27" s="2954"/>
      <c r="O27" s="2954"/>
      <c r="P27" s="2954"/>
      <c r="Q27" s="2955"/>
      <c r="R27" s="2911">
        <f>ROUND(O27*N27*P27*(1-Q27)/10000,0)</f>
        <v>0</v>
      </c>
      <c r="S27" s="2834"/>
      <c r="T27" s="2834"/>
      <c r="U27" s="2834"/>
      <c r="V27" s="2842"/>
    </row>
    <row r="28" spans="1:22" s="2942" customFormat="1" ht="13.15" customHeight="1" thickBot="1">
      <c r="A28" s="2930"/>
      <c r="B28" s="2931"/>
      <c r="C28" s="2949"/>
      <c r="D28" s="2933"/>
      <c r="E28" s="2934" t="s">
        <v>2408</v>
      </c>
      <c r="F28" s="2935"/>
      <c r="G28" s="2922"/>
      <c r="H28" s="2950"/>
      <c r="I28" s="2941"/>
      <c r="J28" s="2956">
        <v>6</v>
      </c>
      <c r="K28" s="2957" t="s">
        <v>2409</v>
      </c>
      <c r="L28" s="2958" t="s">
        <v>2410</v>
      </c>
      <c r="M28" s="2959"/>
      <c r="N28" s="2958" t="s">
        <v>2411</v>
      </c>
      <c r="O28" s="2960"/>
      <c r="P28" s="2958" t="s">
        <v>2412</v>
      </c>
      <c r="Q28" s="2961">
        <v>1.4999999999999999E-2</v>
      </c>
      <c r="R28" s="2962"/>
      <c r="S28" s="2914"/>
      <c r="T28" s="2914"/>
      <c r="U28" s="2914"/>
      <c r="V28" s="2941"/>
    </row>
    <row r="29" spans="1:22" s="2942" customFormat="1" ht="13.15" customHeight="1">
      <c r="A29" s="2923">
        <v>3</v>
      </c>
      <c r="B29" s="2924" t="s">
        <v>2413</v>
      </c>
      <c r="C29" s="2925">
        <f>C23*C30</f>
        <v>783.19057559999965</v>
      </c>
      <c r="D29" s="2926">
        <f>D23*C30</f>
        <v>783.19057559999965</v>
      </c>
      <c r="E29" s="2927">
        <f>E23*C30</f>
        <v>939.82869071999949</v>
      </c>
      <c r="F29" s="2928"/>
      <c r="G29" s="2929"/>
      <c r="H29" s="2841"/>
      <c r="I29" s="2842"/>
      <c r="J29" s="2914"/>
      <c r="K29" s="2914"/>
      <c r="L29" s="2914"/>
      <c r="M29" s="2914"/>
      <c r="N29" s="2914"/>
      <c r="O29" s="2914"/>
      <c r="P29" s="2914"/>
      <c r="Q29" s="2914"/>
      <c r="R29" s="2914"/>
      <c r="S29" s="2914"/>
      <c r="T29" s="2914"/>
      <c r="U29" s="2914"/>
      <c r="V29" s="2941"/>
    </row>
    <row r="30" spans="1:22" s="2846" customFormat="1" ht="13.15" customHeight="1" thickBot="1">
      <c r="A30" s="2930"/>
      <c r="B30" s="2931" t="s">
        <v>2407</v>
      </c>
      <c r="C30" s="2949">
        <f>E18</f>
        <v>0.05</v>
      </c>
      <c r="D30" s="2963"/>
      <c r="E30" s="2894"/>
      <c r="F30" s="2935"/>
      <c r="G30" s="2929"/>
      <c r="H30" s="2950"/>
      <c r="I30" s="2941"/>
      <c r="J30" s="2914"/>
      <c r="K30" s="2914"/>
      <c r="L30" s="2914"/>
      <c r="M30" s="2914"/>
      <c r="N30" s="2914"/>
      <c r="O30" s="2914"/>
      <c r="P30" s="2914"/>
      <c r="Q30" s="2914"/>
      <c r="R30" s="2914"/>
      <c r="S30" s="2914"/>
      <c r="T30" s="2914"/>
      <c r="U30" s="2834"/>
      <c r="V30" s="2842"/>
    </row>
    <row r="31" spans="1:22" s="2942" customFormat="1" ht="13.15" customHeight="1">
      <c r="A31" s="2930"/>
      <c r="B31" s="2931"/>
      <c r="C31" s="2964"/>
      <c r="D31" s="2963"/>
      <c r="E31" s="2894"/>
      <c r="F31" s="2935"/>
      <c r="G31" s="2922"/>
      <c r="H31" s="2950"/>
      <c r="I31" s="2941"/>
      <c r="J31" s="2831" t="s">
        <v>2414</v>
      </c>
      <c r="K31" s="2832"/>
      <c r="L31" s="2832"/>
      <c r="M31" s="2832"/>
      <c r="N31" s="2832"/>
      <c r="O31" s="2832"/>
      <c r="P31" s="2832"/>
      <c r="Q31" s="2832"/>
      <c r="R31" s="2833"/>
      <c r="S31" s="2914"/>
      <c r="T31" s="2834"/>
      <c r="U31" s="2834"/>
      <c r="V31" s="2941"/>
    </row>
    <row r="32" spans="1:22" s="2942" customFormat="1" ht="13.15" customHeight="1">
      <c r="A32" s="2923">
        <v>4</v>
      </c>
      <c r="B32" s="2924" t="s">
        <v>2415</v>
      </c>
      <c r="C32" s="2925">
        <f ca="1">C23-C26-C29</f>
        <v>10930.620936399991</v>
      </c>
      <c r="D32" s="2926">
        <f ca="1">D23-D26-D29</f>
        <v>10930.049209599993</v>
      </c>
      <c r="E32" s="2927">
        <f ca="1">E23-E26-E29</f>
        <v>13116.059051519989</v>
      </c>
      <c r="F32" s="2928"/>
      <c r="G32" s="2922"/>
      <c r="H32" s="2841"/>
      <c r="I32" s="2842"/>
      <c r="J32" s="3860" t="s">
        <v>2307</v>
      </c>
      <c r="K32" s="3861"/>
      <c r="L32" s="2843" t="s">
        <v>2308</v>
      </c>
      <c r="M32" s="2843" t="s">
        <v>2309</v>
      </c>
      <c r="N32" s="2843" t="s">
        <v>2310</v>
      </c>
      <c r="O32" s="2843" t="s">
        <v>2311</v>
      </c>
      <c r="P32" s="2843" t="s">
        <v>2312</v>
      </c>
      <c r="Q32" s="2844" t="s">
        <v>2313</v>
      </c>
      <c r="R32" s="2965" t="s">
        <v>2314</v>
      </c>
      <c r="S32" s="2914"/>
      <c r="T32" s="2834"/>
      <c r="U32" s="2834"/>
      <c r="V32" s="2941"/>
    </row>
    <row r="33" spans="1:23" s="2846" customFormat="1" ht="13.15" customHeight="1">
      <c r="A33" s="2923"/>
      <c r="B33" s="2924"/>
      <c r="C33" s="2925"/>
      <c r="D33" s="2966"/>
      <c r="E33" s="2967"/>
      <c r="F33" s="2928"/>
      <c r="G33" s="2922"/>
      <c r="H33" s="2950"/>
      <c r="I33" s="2941"/>
      <c r="J33" s="3862" t="s">
        <v>2317</v>
      </c>
      <c r="K33" s="3863"/>
      <c r="L33" s="2849"/>
      <c r="M33" s="2849"/>
      <c r="N33" s="2849"/>
      <c r="O33" s="2849"/>
      <c r="P33" s="2849"/>
      <c r="Q33" s="2850"/>
      <c r="R33" s="2968">
        <f>SUM(L33:Q33)</f>
        <v>0</v>
      </c>
      <c r="S33" s="2914"/>
      <c r="T33" s="2834"/>
      <c r="U33" s="2834"/>
      <c r="V33" s="2842"/>
    </row>
    <row r="34" spans="1:23" s="2846" customFormat="1" ht="13.15" customHeight="1">
      <c r="A34" s="2923">
        <v>5</v>
      </c>
      <c r="B34" s="2924" t="s">
        <v>2416</v>
      </c>
      <c r="C34" s="2969">
        <f>D34</f>
        <v>0.06</v>
      </c>
      <c r="D34" s="2970">
        <f>'数据-取费表'!I6</f>
        <v>0.06</v>
      </c>
      <c r="E34" s="2971">
        <f>D34</f>
        <v>0.06</v>
      </c>
      <c r="F34" s="2928"/>
      <c r="G34" s="2922"/>
      <c r="H34" s="2950"/>
      <c r="I34" s="2941"/>
      <c r="J34" s="3862" t="s">
        <v>2319</v>
      </c>
      <c r="K34" s="3863"/>
      <c r="L34" s="2854"/>
      <c r="M34" s="2854"/>
      <c r="N34" s="2854"/>
      <c r="O34" s="2854"/>
      <c r="P34" s="2854"/>
      <c r="Q34" s="2855"/>
      <c r="R34" s="2972">
        <f>SUM(L34:Q34)</f>
        <v>0</v>
      </c>
      <c r="S34" s="2914"/>
      <c r="T34" s="2834"/>
      <c r="U34" s="2834" t="e">
        <f>ROUND(R35*10000/365/R33,1)</f>
        <v>#DIV/0!</v>
      </c>
      <c r="V34" s="2842"/>
    </row>
    <row r="35" spans="1:23" s="2846" customFormat="1" ht="13.15" customHeight="1">
      <c r="A35" s="2923">
        <v>6</v>
      </c>
      <c r="B35" s="2924" t="s">
        <v>2417</v>
      </c>
      <c r="C35" s="2973">
        <f>D35</f>
        <v>0.1</v>
      </c>
      <c r="D35" s="2974">
        <v>0.1</v>
      </c>
      <c r="E35" s="2975">
        <f>'数据-取费表'!V6</f>
        <v>2.5000000000000001E-2</v>
      </c>
      <c r="F35" s="2928"/>
      <c r="G35" s="2976"/>
      <c r="H35" s="2841"/>
      <c r="I35" s="2941"/>
      <c r="J35" s="2860" t="s">
        <v>2321</v>
      </c>
      <c r="K35" s="2861"/>
      <c r="L35" s="2861"/>
      <c r="M35" s="2862"/>
      <c r="N35" s="2862"/>
      <c r="O35" s="2862"/>
      <c r="P35" s="2862"/>
      <c r="Q35" s="2862"/>
      <c r="R35" s="2977">
        <f>R40+R41+R43</f>
        <v>0</v>
      </c>
      <c r="S35" s="2914"/>
      <c r="T35" s="2834" t="s">
        <v>2322</v>
      </c>
      <c r="U35" s="2834"/>
      <c r="V35" s="2842"/>
    </row>
    <row r="36" spans="1:23" s="2846" customFormat="1" ht="13.15" customHeight="1" thickBot="1">
      <c r="A36" s="2923">
        <v>7</v>
      </c>
      <c r="B36" s="2978" t="s">
        <v>2418</v>
      </c>
      <c r="C36" s="2979">
        <v>0</v>
      </c>
      <c r="D36" s="2980">
        <v>2</v>
      </c>
      <c r="E36" s="2981">
        <f>'数据-取费表'!F6-'收益法-经营模型'!D36</f>
        <v>27.44</v>
      </c>
      <c r="F36" s="2982">
        <f>C36+D36+E36</f>
        <v>29.44</v>
      </c>
      <c r="G36" s="2922"/>
      <c r="H36" s="2841"/>
      <c r="I36" s="2842"/>
      <c r="J36" s="3867">
        <v>1</v>
      </c>
      <c r="K36" s="3868" t="s">
        <v>2419</v>
      </c>
      <c r="L36" s="2866"/>
      <c r="M36" s="2867"/>
      <c r="N36" s="2867"/>
      <c r="O36" s="2867"/>
      <c r="P36" s="2867"/>
      <c r="Q36" s="2867"/>
      <c r="R36" s="2851" t="s">
        <v>2331</v>
      </c>
      <c r="S36" s="2914"/>
      <c r="T36" s="2834" t="s">
        <v>2332</v>
      </c>
      <c r="U36" s="2834"/>
      <c r="V36" s="2842"/>
    </row>
    <row r="37" spans="1:23" s="2846" customFormat="1" ht="13.15" customHeight="1">
      <c r="A37" s="2923"/>
      <c r="B37" s="2924"/>
      <c r="C37" s="2924"/>
      <c r="D37" s="2924"/>
      <c r="E37" s="2924"/>
      <c r="F37" s="2928"/>
      <c r="G37" s="2922"/>
      <c r="H37" s="2841"/>
      <c r="I37" s="2842"/>
      <c r="J37" s="3867"/>
      <c r="K37" s="3869"/>
      <c r="L37" s="2875"/>
      <c r="M37" s="2876"/>
      <c r="N37" s="2853"/>
      <c r="O37" s="2877"/>
      <c r="P37" s="2877"/>
      <c r="Q37" s="2878"/>
      <c r="R37" s="2879"/>
      <c r="S37" s="2914"/>
      <c r="T37" s="2834" t="s">
        <v>2335</v>
      </c>
      <c r="U37" s="2834"/>
      <c r="V37" s="2842"/>
    </row>
    <row r="38" spans="1:23" s="2846" customFormat="1" ht="13.15" customHeight="1">
      <c r="A38" s="2923">
        <v>8</v>
      </c>
      <c r="B38" s="2924"/>
      <c r="C38" s="2881">
        <f ca="1">ROUND(C32*(1-((1+C35)/(1+C34))^C36)/(C34-C35),0)</f>
        <v>0</v>
      </c>
      <c r="D38" s="2881">
        <f ca="1">IF(D23=0,0,ROUND(D32*(1-((1+D35)/(1+D34))^D36)/(D34-D35),0))</f>
        <v>21012</v>
      </c>
      <c r="E38" s="2881">
        <f ca="1">IF(E23=0,0,ROUND(E32*(1-((1+E35)/(1+E34))^E36)/(E34-E35),0))</f>
        <v>225601</v>
      </c>
      <c r="F38" s="2928"/>
      <c r="G38" s="2922"/>
      <c r="H38" s="2841"/>
      <c r="I38" s="2842"/>
      <c r="J38" s="3867"/>
      <c r="K38" s="3869"/>
      <c r="L38" s="2875"/>
      <c r="M38" s="2876"/>
      <c r="N38" s="2853"/>
      <c r="O38" s="2877"/>
      <c r="P38" s="2877"/>
      <c r="Q38" s="2878"/>
      <c r="R38" s="2879"/>
      <c r="S38" s="2914"/>
      <c r="T38" s="2834" t="s">
        <v>2342</v>
      </c>
      <c r="U38" s="2834"/>
      <c r="V38" s="2842"/>
    </row>
    <row r="39" spans="1:23" s="2846" customFormat="1" ht="13.15" customHeight="1">
      <c r="A39" s="2923">
        <v>9</v>
      </c>
      <c r="B39" s="2924" t="s">
        <v>2420</v>
      </c>
      <c r="C39" s="2889">
        <f ca="1">C38</f>
        <v>0</v>
      </c>
      <c r="D39" s="2924">
        <f ca="1">D38/(1+D34)^C36</f>
        <v>21012</v>
      </c>
      <c r="E39" s="2924">
        <f ca="1">E38/(1+E34)^(C36+D36)</f>
        <v>200784.08686365251</v>
      </c>
      <c r="F39" s="2928"/>
      <c r="G39" s="2983"/>
      <c r="H39" s="2841"/>
      <c r="I39" s="2842"/>
      <c r="J39" s="3867"/>
      <c r="K39" s="3869"/>
      <c r="L39" s="2875"/>
      <c r="M39" s="2876"/>
      <c r="N39" s="2853"/>
      <c r="O39" s="2877"/>
      <c r="P39" s="2877"/>
      <c r="Q39" s="2878"/>
      <c r="R39" s="2879"/>
      <c r="S39" s="2914"/>
      <c r="T39" s="2834"/>
      <c r="U39" s="2834"/>
      <c r="V39" s="2842"/>
    </row>
    <row r="40" spans="1:23" s="2846" customFormat="1" ht="13.15" customHeight="1">
      <c r="A40" s="2984">
        <v>10</v>
      </c>
      <c r="B40" s="2924" t="s">
        <v>2421</v>
      </c>
      <c r="C40" s="2985">
        <f ca="1">C39+D39+E39</f>
        <v>221796.08686365251</v>
      </c>
      <c r="D40" s="2986"/>
      <c r="E40" s="2986"/>
      <c r="F40" s="2987"/>
      <c r="G40" s="2922"/>
      <c r="H40" s="2841"/>
      <c r="I40" s="2842"/>
      <c r="J40" s="3867"/>
      <c r="K40" s="3870"/>
      <c r="L40" s="2895" t="s">
        <v>2360</v>
      </c>
      <c r="M40" s="2896"/>
      <c r="N40" s="2896"/>
      <c r="O40" s="2897"/>
      <c r="P40" s="2897"/>
      <c r="Q40" s="2898"/>
      <c r="R40" s="2845">
        <f>SUM(R37:R39)</f>
        <v>0</v>
      </c>
      <c r="S40" s="2914"/>
      <c r="T40" s="2834"/>
      <c r="U40" s="2834"/>
      <c r="V40" s="2842"/>
    </row>
    <row r="41" spans="1:23" s="2846" customFormat="1" ht="13.15" customHeight="1" thickBot="1">
      <c r="A41" s="2988">
        <v>11</v>
      </c>
      <c r="B41" s="2989" t="s">
        <v>2422</v>
      </c>
      <c r="C41" s="2989">
        <f ca="1">ROUND(C40*10000/B4,0)</f>
        <v>21349</v>
      </c>
      <c r="D41" s="2990"/>
      <c r="E41" s="2990"/>
      <c r="F41" s="2991"/>
      <c r="G41" s="2992"/>
      <c r="H41" s="2841"/>
      <c r="I41" s="2842"/>
      <c r="J41" s="2936">
        <v>2</v>
      </c>
      <c r="K41" s="2937" t="s">
        <v>2400</v>
      </c>
      <c r="L41" s="2938"/>
      <c r="M41" s="2938"/>
      <c r="N41" s="2938"/>
      <c r="O41" s="2938"/>
      <c r="P41" s="2939"/>
      <c r="Q41" s="2940"/>
      <c r="R41" s="2911">
        <f>ROUND(R40*Q41,0)</f>
        <v>0</v>
      </c>
      <c r="S41" s="2914"/>
      <c r="T41" s="2834"/>
      <c r="U41" s="2948"/>
      <c r="V41" s="2842"/>
    </row>
    <row r="42" spans="1:23" s="2846" customFormat="1" ht="13.15" customHeight="1">
      <c r="G42" s="2992"/>
      <c r="H42" s="2841"/>
      <c r="I42" s="2842"/>
      <c r="J42" s="3877">
        <v>3</v>
      </c>
      <c r="K42" s="2943" t="s">
        <v>2402</v>
      </c>
      <c r="L42" s="2944"/>
      <c r="M42" s="2945"/>
      <c r="N42" s="2946" t="s">
        <v>2403</v>
      </c>
      <c r="O42" s="2946" t="s">
        <v>2404</v>
      </c>
      <c r="P42" s="2947" t="s">
        <v>2405</v>
      </c>
      <c r="Q42" s="2947" t="s">
        <v>2406</v>
      </c>
      <c r="R42" s="2851" t="s">
        <v>2331</v>
      </c>
      <c r="S42" s="2948"/>
      <c r="T42" s="2948"/>
      <c r="U42" s="2834"/>
      <c r="V42" s="2842"/>
    </row>
    <row r="43" spans="1:23" ht="13.15" customHeight="1">
      <c r="A43" s="2846"/>
      <c r="B43" s="2846"/>
      <c r="C43" s="2846"/>
      <c r="D43" s="2846"/>
      <c r="E43" s="2846"/>
      <c r="F43" s="2846"/>
      <c r="I43" s="2829"/>
      <c r="J43" s="3878"/>
      <c r="K43" s="2951"/>
      <c r="L43" s="2952"/>
      <c r="M43" s="2953"/>
      <c r="N43" s="2876"/>
      <c r="O43" s="2876"/>
      <c r="P43" s="2876"/>
      <c r="Q43" s="2940"/>
      <c r="R43" s="2911">
        <f>ROUND(O43*N43*P43*(1-Q43)/10000,0)</f>
        <v>0</v>
      </c>
      <c r="S43" s="2914"/>
      <c r="T43" s="2834"/>
      <c r="V43" s="2994"/>
      <c r="W43" s="2995"/>
    </row>
    <row r="44" spans="1:23" ht="13.15" customHeight="1" thickBot="1">
      <c r="J44" s="2956">
        <v>6</v>
      </c>
      <c r="K44" s="2957" t="s">
        <v>2409</v>
      </c>
      <c r="L44" s="2996" t="s">
        <v>2410</v>
      </c>
      <c r="M44" s="2959"/>
      <c r="N44" s="2996" t="s">
        <v>2411</v>
      </c>
      <c r="O44" s="2959"/>
      <c r="P44" s="2996" t="s">
        <v>2412</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9"/>
  <sheetViews>
    <sheetView topLeftCell="A151" zoomScale="85" zoomScaleNormal="85" workbookViewId="0">
      <selection activeCell="F178" sqref="F178"/>
    </sheetView>
  </sheetViews>
  <sheetFormatPr defaultColWidth="8.625" defaultRowHeight="13.5"/>
  <cols>
    <col min="1" max="1" width="8.5" style="3478" customWidth="1"/>
    <col min="2" max="2" width="12.375" style="3478" customWidth="1"/>
    <col min="3" max="3" width="36.25" style="3478" customWidth="1"/>
    <col min="4" max="4" width="8.5" style="3478" customWidth="1"/>
    <col min="5" max="5" width="16.25" style="3478" customWidth="1"/>
    <col min="6" max="6" width="22.125" style="3478" customWidth="1"/>
    <col min="7" max="7" width="10.625" style="3479" customWidth="1"/>
    <col min="8" max="8" width="12.375" style="3479" customWidth="1"/>
    <col min="9" max="9" width="11.375" style="3480" customWidth="1"/>
    <col min="10" max="10" width="22" style="3479" customWidth="1"/>
    <col min="11" max="16384" width="8.625" style="3478"/>
  </cols>
  <sheetData>
    <row r="1" spans="1:12">
      <c r="A1" s="3478" t="s">
        <v>3531</v>
      </c>
      <c r="B1" s="3478" t="s">
        <v>3532</v>
      </c>
      <c r="C1" s="3478" t="s">
        <v>3533</v>
      </c>
      <c r="D1" s="3478" t="s">
        <v>3534</v>
      </c>
      <c r="E1" s="3478" t="s">
        <v>3535</v>
      </c>
      <c r="F1" s="3478" t="s">
        <v>3536</v>
      </c>
      <c r="G1" s="3479" t="s">
        <v>3537</v>
      </c>
      <c r="H1" s="3479" t="s">
        <v>3538</v>
      </c>
      <c r="I1" s="3480" t="s">
        <v>3539</v>
      </c>
      <c r="J1" s="3479" t="s">
        <v>3540</v>
      </c>
    </row>
    <row r="2" spans="1:12" s="3532" customFormat="1">
      <c r="A2" s="3532" t="s">
        <v>3541</v>
      </c>
      <c r="B2" s="3532" t="s">
        <v>3542</v>
      </c>
      <c r="C2" s="3532" t="s">
        <v>3543</v>
      </c>
      <c r="D2" s="3532" t="s">
        <v>3544</v>
      </c>
      <c r="E2" s="3532" t="s">
        <v>3545</v>
      </c>
      <c r="F2" s="3532">
        <v>5039.9799999999996</v>
      </c>
      <c r="G2" s="3533">
        <v>44126</v>
      </c>
      <c r="H2" s="3533">
        <v>49780</v>
      </c>
      <c r="I2" s="3534">
        <v>5478</v>
      </c>
      <c r="J2" s="3535">
        <v>5040000</v>
      </c>
      <c r="L2" s="3532">
        <f>J2/365/F2</f>
        <v>2.7397368993690834</v>
      </c>
    </row>
    <row r="3" spans="1:12">
      <c r="A3" s="3478" t="s">
        <v>3541</v>
      </c>
      <c r="B3" s="3478" t="s">
        <v>3542</v>
      </c>
      <c r="C3" s="3478" t="s">
        <v>3546</v>
      </c>
      <c r="D3" s="3478" t="s">
        <v>3544</v>
      </c>
      <c r="E3" s="3478" t="s">
        <v>3547</v>
      </c>
      <c r="F3" s="3478">
        <v>2020.21</v>
      </c>
      <c r="G3" s="3479">
        <v>44165</v>
      </c>
      <c r="H3" s="3479">
        <v>48555</v>
      </c>
      <c r="I3" s="3480">
        <v>4253</v>
      </c>
      <c r="J3" s="3481">
        <v>4922337.3600000003</v>
      </c>
      <c r="L3" s="3478">
        <f t="shared" ref="L3:L66" si="0">J3/365/F3</f>
        <v>6.6754722433914884</v>
      </c>
    </row>
    <row r="4" spans="1:12">
      <c r="A4" s="3478" t="s">
        <v>3541</v>
      </c>
      <c r="B4" s="3478" t="s">
        <v>3542</v>
      </c>
      <c r="C4" s="3478" t="s">
        <v>3548</v>
      </c>
      <c r="D4" s="3478" t="s">
        <v>3544</v>
      </c>
      <c r="E4" s="3478" t="s">
        <v>3545</v>
      </c>
      <c r="F4" s="3478">
        <v>1956.3</v>
      </c>
      <c r="G4" s="3479">
        <v>44289</v>
      </c>
      <c r="H4" s="3479">
        <v>49780</v>
      </c>
      <c r="I4" s="3480">
        <v>5478</v>
      </c>
      <c r="J4" s="3481">
        <v>3075303.6</v>
      </c>
      <c r="L4" s="3478">
        <f t="shared" si="0"/>
        <v>4.3068493150684928</v>
      </c>
    </row>
    <row r="5" spans="1:12">
      <c r="A5" s="3478" t="s">
        <v>3541</v>
      </c>
      <c r="B5" s="3478" t="s">
        <v>3542</v>
      </c>
      <c r="C5" s="3478" t="s">
        <v>3549</v>
      </c>
      <c r="D5" s="3478" t="s">
        <v>3544</v>
      </c>
      <c r="E5" s="3478" t="s">
        <v>3547</v>
      </c>
      <c r="F5" s="3478">
        <v>1381.27</v>
      </c>
      <c r="G5" s="3479">
        <v>44162</v>
      </c>
      <c r="H5" s="3479">
        <v>47953</v>
      </c>
      <c r="I5" s="3480">
        <v>3651</v>
      </c>
      <c r="J5" s="3481">
        <v>2132008.7999999998</v>
      </c>
      <c r="L5" s="3478">
        <f t="shared" si="0"/>
        <v>4.2288039268209694</v>
      </c>
    </row>
    <row r="6" spans="1:12" s="3532" customFormat="1">
      <c r="A6" s="3532" t="s">
        <v>3541</v>
      </c>
      <c r="B6" s="3532" t="s">
        <v>3542</v>
      </c>
      <c r="C6" s="3532" t="s">
        <v>3550</v>
      </c>
      <c r="D6" s="3532" t="s">
        <v>3544</v>
      </c>
      <c r="E6" s="3532" t="s">
        <v>3551</v>
      </c>
      <c r="F6" s="3532">
        <v>998.64</v>
      </c>
      <c r="G6" s="3533">
        <v>45020</v>
      </c>
      <c r="H6" s="3533">
        <v>47177</v>
      </c>
      <c r="I6" s="3534">
        <v>2080</v>
      </c>
      <c r="J6" s="3535">
        <v>898776</v>
      </c>
      <c r="L6" s="3532">
        <f t="shared" si="0"/>
        <v>2.4657534246575343</v>
      </c>
    </row>
    <row r="7" spans="1:12" s="3532" customFormat="1">
      <c r="A7" s="3532" t="s">
        <v>3541</v>
      </c>
      <c r="B7" s="3532" t="s">
        <v>3542</v>
      </c>
      <c r="C7" s="3532" t="s">
        <v>3552</v>
      </c>
      <c r="D7" s="3532" t="s">
        <v>3544</v>
      </c>
      <c r="E7" s="3532" t="s">
        <v>3551</v>
      </c>
      <c r="F7" s="3532">
        <v>883.45</v>
      </c>
      <c r="G7" s="3533">
        <v>44788</v>
      </c>
      <c r="H7" s="3533">
        <v>48457</v>
      </c>
      <c r="I7" s="3534">
        <v>3607</v>
      </c>
      <c r="J7" s="3535">
        <v>1143718.32</v>
      </c>
      <c r="L7" s="3532">
        <f t="shared" si="0"/>
        <v>3.5468615646783275</v>
      </c>
    </row>
    <row r="8" spans="1:12">
      <c r="A8" s="3478" t="s">
        <v>3541</v>
      </c>
      <c r="B8" s="3478" t="s">
        <v>3542</v>
      </c>
      <c r="C8" s="3478" t="s">
        <v>3553</v>
      </c>
      <c r="D8" s="3478" t="s">
        <v>3544</v>
      </c>
      <c r="E8" s="3478" t="s">
        <v>3551</v>
      </c>
      <c r="F8" s="3478">
        <v>849.1</v>
      </c>
      <c r="G8" s="3479">
        <v>44153</v>
      </c>
      <c r="H8" s="3479">
        <v>46492</v>
      </c>
      <c r="I8" s="3480">
        <v>2190</v>
      </c>
      <c r="J8" s="3481">
        <v>2710327.2</v>
      </c>
      <c r="L8" s="3478">
        <f t="shared" si="0"/>
        <v>8.7452054794520553</v>
      </c>
    </row>
    <row r="9" spans="1:12">
      <c r="A9" s="3478" t="s">
        <v>3541</v>
      </c>
      <c r="B9" s="3478" t="s">
        <v>3542</v>
      </c>
      <c r="C9" s="3478" t="s">
        <v>3554</v>
      </c>
      <c r="D9" s="3478" t="s">
        <v>3544</v>
      </c>
      <c r="E9" s="3478" t="s">
        <v>3551</v>
      </c>
      <c r="F9" s="3478">
        <v>741.66</v>
      </c>
      <c r="G9" s="3479">
        <v>44162</v>
      </c>
      <c r="H9" s="3479">
        <v>46477</v>
      </c>
      <c r="I9" s="3480">
        <v>2175</v>
      </c>
      <c r="J9" s="3481">
        <v>1595820.36</v>
      </c>
      <c r="L9" s="3478">
        <f t="shared" si="0"/>
        <v>5.895033540089079</v>
      </c>
    </row>
    <row r="10" spans="1:12">
      <c r="A10" s="3478" t="s">
        <v>3541</v>
      </c>
      <c r="B10" s="3478" t="s">
        <v>3542</v>
      </c>
      <c r="C10" s="3478" t="s">
        <v>3555</v>
      </c>
      <c r="D10" s="3478" t="s">
        <v>3544</v>
      </c>
      <c r="E10" s="3478" t="s">
        <v>3551</v>
      </c>
      <c r="F10" s="3478">
        <v>709.31</v>
      </c>
      <c r="G10" s="3479">
        <v>44191</v>
      </c>
      <c r="H10" s="3479">
        <v>46477</v>
      </c>
      <c r="I10" s="3480">
        <v>2175</v>
      </c>
      <c r="J10" s="3481">
        <v>3175057.32</v>
      </c>
      <c r="L10" s="3478">
        <f t="shared" si="0"/>
        <v>12.263731200860262</v>
      </c>
    </row>
    <row r="11" spans="1:12">
      <c r="A11" s="3478" t="s">
        <v>3541</v>
      </c>
      <c r="B11" s="3478" t="s">
        <v>3542</v>
      </c>
      <c r="C11" s="3478" t="s">
        <v>3556</v>
      </c>
      <c r="D11" s="3478" t="s">
        <v>3544</v>
      </c>
      <c r="E11" s="3478" t="s">
        <v>3551</v>
      </c>
      <c r="F11" s="3478">
        <v>693.94</v>
      </c>
      <c r="G11" s="3479">
        <v>44159</v>
      </c>
      <c r="H11" s="3479">
        <v>46477</v>
      </c>
      <c r="I11" s="3480">
        <v>2175</v>
      </c>
      <c r="J11" s="3481">
        <v>1665456</v>
      </c>
      <c r="L11" s="3478">
        <f t="shared" si="0"/>
        <v>6.5753424657534234</v>
      </c>
    </row>
    <row r="12" spans="1:12" s="3532" customFormat="1">
      <c r="A12" s="3532" t="s">
        <v>3541</v>
      </c>
      <c r="B12" s="3532" t="s">
        <v>3542</v>
      </c>
      <c r="C12" s="3532" t="s">
        <v>3557</v>
      </c>
      <c r="D12" s="3532" t="s">
        <v>3544</v>
      </c>
      <c r="E12" s="3532" t="s">
        <v>3551</v>
      </c>
      <c r="F12" s="3532">
        <v>653.79999999999995</v>
      </c>
      <c r="G12" s="3533">
        <v>44152</v>
      </c>
      <c r="H12" s="3533">
        <v>47953</v>
      </c>
      <c r="I12" s="3534">
        <v>3651</v>
      </c>
      <c r="J12" s="3535">
        <v>402755.28</v>
      </c>
      <c r="L12" s="3532">
        <f t="shared" si="0"/>
        <v>1.6877319108101427</v>
      </c>
    </row>
    <row r="13" spans="1:12">
      <c r="A13" s="3478" t="s">
        <v>3541</v>
      </c>
      <c r="B13" s="3478" t="s">
        <v>3542</v>
      </c>
      <c r="C13" s="3478" t="s">
        <v>3558</v>
      </c>
      <c r="D13" s="3478" t="s">
        <v>3544</v>
      </c>
      <c r="E13" s="3478" t="s">
        <v>3551</v>
      </c>
      <c r="F13" s="3478">
        <v>622.80999999999995</v>
      </c>
      <c r="G13" s="3479">
        <v>44154</v>
      </c>
      <c r="H13" s="3479">
        <v>46477</v>
      </c>
      <c r="I13" s="3480">
        <v>2175</v>
      </c>
      <c r="J13" s="3481">
        <v>1653724.92</v>
      </c>
      <c r="L13" s="3478">
        <f t="shared" si="0"/>
        <v>7.2746956623680612</v>
      </c>
    </row>
    <row r="14" spans="1:12">
      <c r="A14" s="3478" t="s">
        <v>3541</v>
      </c>
      <c r="B14" s="3478" t="s">
        <v>3542</v>
      </c>
      <c r="C14" s="3478" t="s">
        <v>3559</v>
      </c>
      <c r="D14" s="3478" t="s">
        <v>3544</v>
      </c>
      <c r="E14" s="3478" t="s">
        <v>3551</v>
      </c>
      <c r="F14" s="3478">
        <v>614.62</v>
      </c>
      <c r="G14" s="3479">
        <v>44207</v>
      </c>
      <c r="H14" s="3479">
        <v>46112</v>
      </c>
      <c r="I14" s="3480">
        <v>1810</v>
      </c>
      <c r="J14" s="3481">
        <v>2422832.04</v>
      </c>
      <c r="L14" s="3478">
        <f t="shared" si="0"/>
        <v>10.799999999999999</v>
      </c>
    </row>
    <row r="15" spans="1:12">
      <c r="A15" s="3478" t="s">
        <v>3541</v>
      </c>
      <c r="B15" s="3478" t="s">
        <v>3542</v>
      </c>
      <c r="C15" s="3478" t="s">
        <v>3560</v>
      </c>
      <c r="D15" s="3478" t="s">
        <v>3544</v>
      </c>
      <c r="E15" s="3478" t="s">
        <v>3551</v>
      </c>
      <c r="F15" s="3478">
        <v>611.65</v>
      </c>
      <c r="G15" s="3479">
        <v>44202</v>
      </c>
      <c r="H15" s="3479">
        <v>45382</v>
      </c>
      <c r="I15" s="3480">
        <v>1080</v>
      </c>
      <c r="J15" s="3481">
        <v>1318383.48</v>
      </c>
      <c r="L15" s="3478">
        <f t="shared" si="0"/>
        <v>5.905353607858375</v>
      </c>
    </row>
    <row r="16" spans="1:12">
      <c r="A16" s="3478" t="s">
        <v>3541</v>
      </c>
      <c r="B16" s="3478" t="s">
        <v>3542</v>
      </c>
      <c r="C16" s="3478" t="s">
        <v>3561</v>
      </c>
      <c r="D16" s="3478" t="s">
        <v>3544</v>
      </c>
      <c r="E16" s="3478" t="s">
        <v>3551</v>
      </c>
      <c r="F16" s="3478">
        <v>508.23</v>
      </c>
      <c r="G16" s="3479">
        <v>44186</v>
      </c>
      <c r="H16" s="3479">
        <v>46477</v>
      </c>
      <c r="I16" s="3480">
        <v>2175</v>
      </c>
      <c r="J16" s="3481">
        <v>1890615.6</v>
      </c>
      <c r="L16" s="3478">
        <f t="shared" si="0"/>
        <v>10.191780821917808</v>
      </c>
    </row>
    <row r="17" spans="1:12">
      <c r="A17" s="3478" t="s">
        <v>3541</v>
      </c>
      <c r="B17" s="3478" t="s">
        <v>3542</v>
      </c>
      <c r="C17" s="3478" t="s">
        <v>3562</v>
      </c>
      <c r="D17" s="3478" t="s">
        <v>3544</v>
      </c>
      <c r="E17" s="3478" t="s">
        <v>3551</v>
      </c>
      <c r="F17" s="3478">
        <v>472.93</v>
      </c>
      <c r="G17" s="3479">
        <v>44729</v>
      </c>
      <c r="H17" s="3479">
        <v>46872</v>
      </c>
      <c r="I17" s="3480">
        <v>2106</v>
      </c>
      <c r="J17" s="3481">
        <v>2044320.6</v>
      </c>
      <c r="L17" s="3478">
        <f t="shared" si="0"/>
        <v>11.842933110955922</v>
      </c>
    </row>
    <row r="18" spans="1:12">
      <c r="A18" s="3478" t="s">
        <v>3541</v>
      </c>
      <c r="B18" s="3478" t="s">
        <v>3542</v>
      </c>
      <c r="C18" s="3478" t="s">
        <v>3563</v>
      </c>
      <c r="D18" s="3478" t="s">
        <v>3544</v>
      </c>
      <c r="E18" s="3478" t="s">
        <v>3551</v>
      </c>
      <c r="F18" s="3478">
        <v>437.26</v>
      </c>
      <c r="G18" s="3479">
        <v>44122</v>
      </c>
      <c r="H18" s="3479">
        <v>47223</v>
      </c>
      <c r="I18" s="3480">
        <v>2921</v>
      </c>
      <c r="J18" s="3481">
        <v>1715274.6</v>
      </c>
      <c r="L18" s="3478">
        <f t="shared" si="0"/>
        <v>10.7473413203893</v>
      </c>
    </row>
    <row r="19" spans="1:12">
      <c r="A19" s="3478" t="s">
        <v>3541</v>
      </c>
      <c r="B19" s="3478" t="s">
        <v>3542</v>
      </c>
      <c r="C19" s="3478" t="s">
        <v>3564</v>
      </c>
      <c r="D19" s="3478" t="s">
        <v>3544</v>
      </c>
      <c r="E19" s="3478" t="s">
        <v>3551</v>
      </c>
      <c r="F19" s="3478">
        <v>433.12</v>
      </c>
      <c r="G19" s="3479">
        <v>44251</v>
      </c>
      <c r="H19" s="3479">
        <v>46127</v>
      </c>
      <c r="I19" s="3480">
        <v>1825</v>
      </c>
      <c r="J19" s="3481">
        <v>1299804.3600000001</v>
      </c>
      <c r="L19" s="3478">
        <f t="shared" si="0"/>
        <v>8.2219889075000889</v>
      </c>
    </row>
    <row r="20" spans="1:12">
      <c r="A20" s="3478" t="s">
        <v>3541</v>
      </c>
      <c r="B20" s="3478" t="s">
        <v>3542</v>
      </c>
      <c r="C20" s="3478" t="s">
        <v>3565</v>
      </c>
      <c r="D20" s="3478" t="s">
        <v>3544</v>
      </c>
      <c r="E20" s="3478" t="s">
        <v>3551</v>
      </c>
      <c r="F20" s="3478">
        <v>424.95</v>
      </c>
      <c r="G20" s="3479">
        <v>44207</v>
      </c>
      <c r="H20" s="3479">
        <v>46112</v>
      </c>
      <c r="I20" s="3480">
        <v>1810</v>
      </c>
      <c r="J20" s="3481">
        <v>671382.48</v>
      </c>
      <c r="L20" s="3478">
        <f t="shared" si="0"/>
        <v>4.3285187781963073</v>
      </c>
    </row>
    <row r="21" spans="1:12">
      <c r="A21" s="3478" t="s">
        <v>3541</v>
      </c>
      <c r="B21" s="3478" t="s">
        <v>3542</v>
      </c>
      <c r="C21" s="3478" t="s">
        <v>3566</v>
      </c>
      <c r="D21" s="3478" t="s">
        <v>3544</v>
      </c>
      <c r="E21" s="3478" t="s">
        <v>3551</v>
      </c>
      <c r="F21" s="3478">
        <v>417.81</v>
      </c>
      <c r="G21" s="3479">
        <v>44622</v>
      </c>
      <c r="H21" s="3479">
        <v>45716</v>
      </c>
      <c r="I21" s="3480">
        <v>1050</v>
      </c>
      <c r="J21" s="3481">
        <v>1504116</v>
      </c>
      <c r="L21" s="3478">
        <f t="shared" si="0"/>
        <v>9.8630136986301373</v>
      </c>
    </row>
    <row r="22" spans="1:12">
      <c r="A22" s="3478" t="s">
        <v>3541</v>
      </c>
      <c r="B22" s="3478" t="s">
        <v>3542</v>
      </c>
      <c r="C22" s="3478" t="s">
        <v>3567</v>
      </c>
      <c r="D22" s="3478" t="s">
        <v>3544</v>
      </c>
      <c r="E22" s="3478" t="s">
        <v>3551</v>
      </c>
      <c r="F22" s="3478">
        <v>402.36</v>
      </c>
      <c r="G22" s="3479">
        <v>44137</v>
      </c>
      <c r="H22" s="3479">
        <v>46112</v>
      </c>
      <c r="I22" s="3480">
        <v>1810</v>
      </c>
      <c r="J22" s="3481">
        <v>1593345.6</v>
      </c>
      <c r="L22" s="3478">
        <f t="shared" si="0"/>
        <v>10.849315068493151</v>
      </c>
    </row>
    <row r="23" spans="1:12">
      <c r="A23" s="3478" t="s">
        <v>3541</v>
      </c>
      <c r="B23" s="3478" t="s">
        <v>3542</v>
      </c>
      <c r="C23" s="3478" t="s">
        <v>3568</v>
      </c>
      <c r="D23" s="3478" t="s">
        <v>3544</v>
      </c>
      <c r="E23" s="3478" t="s">
        <v>3551</v>
      </c>
      <c r="F23" s="3478">
        <v>395.35</v>
      </c>
      <c r="G23" s="3479">
        <v>44182</v>
      </c>
      <c r="H23" s="3479">
        <v>46492</v>
      </c>
      <c r="I23" s="3480">
        <v>2190</v>
      </c>
      <c r="J23" s="3481">
        <v>2733673.44</v>
      </c>
      <c r="L23" s="3478">
        <f t="shared" si="0"/>
        <v>18.944014857651709</v>
      </c>
    </row>
    <row r="24" spans="1:12">
      <c r="A24" s="3478" t="s">
        <v>3541</v>
      </c>
      <c r="B24" s="3478" t="s">
        <v>3542</v>
      </c>
      <c r="C24" s="3478" t="s">
        <v>3569</v>
      </c>
      <c r="D24" s="3478" t="s">
        <v>3544</v>
      </c>
      <c r="E24" s="3478" t="s">
        <v>3551</v>
      </c>
      <c r="F24" s="3478">
        <v>389.29</v>
      </c>
      <c r="G24" s="3479">
        <v>44230</v>
      </c>
      <c r="H24" s="3479">
        <v>45747</v>
      </c>
      <c r="I24" s="3480">
        <v>1445</v>
      </c>
      <c r="J24" s="3481">
        <v>1541588.4</v>
      </c>
      <c r="L24" s="3478">
        <f t="shared" si="0"/>
        <v>10.84931506849315</v>
      </c>
    </row>
    <row r="25" spans="1:12">
      <c r="A25" s="3478" t="s">
        <v>3541</v>
      </c>
      <c r="B25" s="3478" t="s">
        <v>3542</v>
      </c>
      <c r="C25" s="3478" t="s">
        <v>3570</v>
      </c>
      <c r="D25" s="3478" t="s">
        <v>3544</v>
      </c>
      <c r="E25" s="3478" t="s">
        <v>3551</v>
      </c>
      <c r="F25" s="3478">
        <v>382.03</v>
      </c>
      <c r="G25" s="3479">
        <v>44192</v>
      </c>
      <c r="H25" s="3479">
        <v>46112</v>
      </c>
      <c r="I25" s="3480">
        <v>1810</v>
      </c>
      <c r="J25" s="3481">
        <v>1706888.76</v>
      </c>
      <c r="L25" s="3478">
        <f t="shared" si="0"/>
        <v>12.240943281008915</v>
      </c>
    </row>
    <row r="26" spans="1:12">
      <c r="A26" s="3478" t="s">
        <v>3541</v>
      </c>
      <c r="B26" s="3478" t="s">
        <v>3542</v>
      </c>
      <c r="C26" s="3478" t="s">
        <v>3571</v>
      </c>
      <c r="D26" s="3478" t="s">
        <v>3544</v>
      </c>
      <c r="E26" s="3478" t="s">
        <v>3551</v>
      </c>
      <c r="F26" s="3478">
        <v>380.48</v>
      </c>
      <c r="G26" s="3479">
        <v>44147</v>
      </c>
      <c r="H26" s="3479">
        <v>46477</v>
      </c>
      <c r="I26" s="3480">
        <v>2141</v>
      </c>
      <c r="J26" s="3481">
        <v>1621142.76</v>
      </c>
      <c r="L26" s="3478">
        <f t="shared" si="0"/>
        <v>11.673378400175121</v>
      </c>
    </row>
    <row r="27" spans="1:12">
      <c r="A27" s="3478" t="s">
        <v>3541</v>
      </c>
      <c r="B27" s="3478" t="s">
        <v>3542</v>
      </c>
      <c r="C27" s="3478" t="s">
        <v>3572</v>
      </c>
      <c r="D27" s="3478" t="s">
        <v>3544</v>
      </c>
      <c r="E27" s="3478" t="s">
        <v>3551</v>
      </c>
      <c r="F27" s="3478">
        <v>376.04</v>
      </c>
      <c r="G27" s="3479">
        <v>44154</v>
      </c>
      <c r="H27" s="3479">
        <v>47208</v>
      </c>
      <c r="I27" s="3480">
        <v>2906</v>
      </c>
      <c r="J27" s="3481">
        <v>676872</v>
      </c>
      <c r="L27" s="3478">
        <f t="shared" si="0"/>
        <v>4.9315068493150678</v>
      </c>
    </row>
    <row r="28" spans="1:12">
      <c r="A28" s="3478" t="s">
        <v>3541</v>
      </c>
      <c r="B28" s="3478" t="s">
        <v>3542</v>
      </c>
      <c r="C28" s="3478" t="s">
        <v>3573</v>
      </c>
      <c r="D28" s="3478" t="s">
        <v>3544</v>
      </c>
      <c r="E28" s="3478" t="s">
        <v>3551</v>
      </c>
      <c r="F28" s="3478">
        <v>370.6</v>
      </c>
      <c r="G28" s="3479">
        <v>44190</v>
      </c>
      <c r="H28" s="3479">
        <v>46477</v>
      </c>
      <c r="I28" s="3480">
        <v>2175</v>
      </c>
      <c r="J28" s="3481">
        <v>1160482.56</v>
      </c>
      <c r="L28" s="3478">
        <f t="shared" si="0"/>
        <v>8.5790725147668709</v>
      </c>
    </row>
    <row r="29" spans="1:12">
      <c r="A29" s="3478" t="s">
        <v>3541</v>
      </c>
      <c r="B29" s="3478" t="s">
        <v>3542</v>
      </c>
      <c r="C29" s="3478" t="s">
        <v>3574</v>
      </c>
      <c r="D29" s="3478" t="s">
        <v>3544</v>
      </c>
      <c r="E29" s="3478" t="s">
        <v>3551</v>
      </c>
      <c r="F29" s="3478">
        <v>344.27</v>
      </c>
      <c r="G29" s="3479">
        <v>45015</v>
      </c>
      <c r="H29" s="3479">
        <v>46112</v>
      </c>
      <c r="I29" s="3480">
        <v>1072</v>
      </c>
      <c r="J29" s="3481">
        <v>619686</v>
      </c>
      <c r="L29" s="3478">
        <f t="shared" si="0"/>
        <v>4.9315068493150687</v>
      </c>
    </row>
    <row r="30" spans="1:12">
      <c r="A30" s="3478" t="s">
        <v>3541</v>
      </c>
      <c r="B30" s="3478" t="s">
        <v>3542</v>
      </c>
      <c r="C30" s="3478" t="s">
        <v>3575</v>
      </c>
      <c r="D30" s="3478" t="s">
        <v>3544</v>
      </c>
      <c r="E30" s="3478" t="s">
        <v>3551</v>
      </c>
      <c r="F30" s="3478">
        <v>331.78</v>
      </c>
      <c r="G30" s="3479">
        <v>44270</v>
      </c>
      <c r="H30" s="3479">
        <v>47223</v>
      </c>
      <c r="I30" s="3480">
        <v>2921</v>
      </c>
      <c r="J30" s="3481">
        <v>1055003.76</v>
      </c>
      <c r="L30" s="3478">
        <f t="shared" si="0"/>
        <v>8.7118610533304377</v>
      </c>
    </row>
    <row r="31" spans="1:12">
      <c r="A31" s="3478" t="s">
        <v>3541</v>
      </c>
      <c r="B31" s="3478" t="s">
        <v>3542</v>
      </c>
      <c r="C31" s="3478" t="s">
        <v>3576</v>
      </c>
      <c r="D31" s="3478" t="s">
        <v>3544</v>
      </c>
      <c r="E31" s="3478" t="s">
        <v>3551</v>
      </c>
      <c r="F31" s="3478">
        <v>314.08999999999997</v>
      </c>
      <c r="G31" s="3479">
        <v>44162</v>
      </c>
      <c r="H31" s="3479">
        <v>46112</v>
      </c>
      <c r="I31" s="3480">
        <v>1810</v>
      </c>
      <c r="J31" s="3481">
        <v>1609050.24</v>
      </c>
      <c r="L31" s="3478">
        <f t="shared" si="0"/>
        <v>14.035330070737075</v>
      </c>
    </row>
    <row r="32" spans="1:12">
      <c r="A32" s="3478" t="s">
        <v>3541</v>
      </c>
      <c r="B32" s="3478" t="s">
        <v>3542</v>
      </c>
      <c r="C32" s="3478" t="s">
        <v>3577</v>
      </c>
      <c r="D32" s="3478" t="s">
        <v>3544</v>
      </c>
      <c r="E32" s="3478" t="s">
        <v>3551</v>
      </c>
      <c r="F32" s="3478">
        <v>310.37</v>
      </c>
      <c r="G32" s="3479">
        <v>44994</v>
      </c>
      <c r="H32" s="3479">
        <v>46081</v>
      </c>
      <c r="I32" s="3480">
        <v>1044</v>
      </c>
      <c r="J32" s="3481">
        <v>931110</v>
      </c>
      <c r="L32" s="3478">
        <f t="shared" si="0"/>
        <v>8.2191780821917817</v>
      </c>
    </row>
    <row r="33" spans="1:12">
      <c r="A33" s="3478" t="s">
        <v>3541</v>
      </c>
      <c r="B33" s="3478" t="s">
        <v>3542</v>
      </c>
      <c r="C33" s="3478" t="s">
        <v>3578</v>
      </c>
      <c r="D33" s="3478" t="s">
        <v>3544</v>
      </c>
      <c r="E33" s="3478" t="s">
        <v>3551</v>
      </c>
      <c r="F33" s="3478">
        <v>305.12</v>
      </c>
      <c r="G33" s="3479">
        <v>44186</v>
      </c>
      <c r="H33" s="3479">
        <v>47223</v>
      </c>
      <c r="I33" s="3480">
        <v>2921</v>
      </c>
      <c r="J33" s="3481">
        <v>1548712.8</v>
      </c>
      <c r="L33" s="3478">
        <f t="shared" si="0"/>
        <v>13.906164024394624</v>
      </c>
    </row>
    <row r="34" spans="1:12">
      <c r="A34" s="3478" t="s">
        <v>3541</v>
      </c>
      <c r="B34" s="3478" t="s">
        <v>3542</v>
      </c>
      <c r="C34" s="3478" t="s">
        <v>3579</v>
      </c>
      <c r="D34" s="3478" t="s">
        <v>3544</v>
      </c>
      <c r="E34" s="3478" t="s">
        <v>3551</v>
      </c>
      <c r="F34" s="3478">
        <v>297.37</v>
      </c>
      <c r="G34" s="3479">
        <v>44988</v>
      </c>
      <c r="H34" s="3479">
        <v>46812</v>
      </c>
      <c r="I34" s="3480">
        <v>1736</v>
      </c>
      <c r="J34" s="3481">
        <v>1200780.1200000001</v>
      </c>
      <c r="L34" s="3478">
        <f t="shared" si="0"/>
        <v>11.06301425142148</v>
      </c>
    </row>
    <row r="35" spans="1:12">
      <c r="A35" s="3478" t="s">
        <v>3541</v>
      </c>
      <c r="B35" s="3478" t="s">
        <v>3542</v>
      </c>
      <c r="C35" s="3478" t="s">
        <v>3580</v>
      </c>
      <c r="D35" s="3478" t="s">
        <v>3544</v>
      </c>
      <c r="E35" s="3478" t="s">
        <v>3551</v>
      </c>
      <c r="F35" s="3478">
        <v>296.48</v>
      </c>
      <c r="G35" s="3479">
        <v>44189</v>
      </c>
      <c r="H35" s="3479">
        <v>46112</v>
      </c>
      <c r="I35" s="3480">
        <v>1810</v>
      </c>
      <c r="J35" s="3481">
        <v>1316371.2</v>
      </c>
      <c r="L35" s="3478">
        <f t="shared" si="0"/>
        <v>12.164383561643834</v>
      </c>
    </row>
    <row r="36" spans="1:12">
      <c r="A36" s="3478" t="s">
        <v>3541</v>
      </c>
      <c r="B36" s="3478" t="s">
        <v>3542</v>
      </c>
      <c r="C36" s="3478" t="s">
        <v>3581</v>
      </c>
      <c r="D36" s="3478" t="s">
        <v>3544</v>
      </c>
      <c r="E36" s="3478" t="s">
        <v>3551</v>
      </c>
      <c r="F36" s="3478">
        <v>289.76</v>
      </c>
      <c r="G36" s="3479">
        <v>44621</v>
      </c>
      <c r="H36" s="3479">
        <v>45761</v>
      </c>
      <c r="I36" s="3480">
        <v>1095</v>
      </c>
      <c r="J36" s="3481">
        <v>1133541.1200000001</v>
      </c>
      <c r="L36" s="3478">
        <f t="shared" si="0"/>
        <v>10.717808219178083</v>
      </c>
    </row>
    <row r="37" spans="1:12">
      <c r="A37" s="3478" t="s">
        <v>3541</v>
      </c>
      <c r="B37" s="3478" t="s">
        <v>3542</v>
      </c>
      <c r="C37" s="3478" t="s">
        <v>3582</v>
      </c>
      <c r="D37" s="3478" t="s">
        <v>3544</v>
      </c>
      <c r="E37" s="3478" t="s">
        <v>3551</v>
      </c>
      <c r="F37" s="3478">
        <v>271.37</v>
      </c>
      <c r="G37" s="3479">
        <v>44193</v>
      </c>
      <c r="H37" s="3479">
        <v>45762</v>
      </c>
      <c r="I37" s="3480">
        <v>1460</v>
      </c>
      <c r="J37" s="3481">
        <v>2256593.4</v>
      </c>
      <c r="L37" s="3478">
        <f t="shared" si="0"/>
        <v>22.782354981143367</v>
      </c>
    </row>
    <row r="38" spans="1:12">
      <c r="A38" s="3478" t="s">
        <v>3541</v>
      </c>
      <c r="B38" s="3478" t="s">
        <v>3542</v>
      </c>
      <c r="C38" s="3478" t="s">
        <v>3583</v>
      </c>
      <c r="D38" s="3478" t="s">
        <v>3544</v>
      </c>
      <c r="E38" s="3478" t="s">
        <v>3551</v>
      </c>
      <c r="F38" s="3478">
        <v>259.14999999999998</v>
      </c>
      <c r="G38" s="3479">
        <v>44180</v>
      </c>
      <c r="H38" s="3479">
        <v>47953</v>
      </c>
      <c r="I38" s="3480">
        <v>3651</v>
      </c>
      <c r="J38" s="3481">
        <v>1348098.36</v>
      </c>
      <c r="L38" s="3478">
        <f t="shared" si="0"/>
        <v>14.25205542883875</v>
      </c>
    </row>
    <row r="39" spans="1:12">
      <c r="A39" s="3478" t="s">
        <v>3541</v>
      </c>
      <c r="B39" s="3478" t="s">
        <v>3542</v>
      </c>
      <c r="C39" s="3478" t="s">
        <v>3584</v>
      </c>
      <c r="D39" s="3478" t="s">
        <v>3544</v>
      </c>
      <c r="E39" s="3478" t="s">
        <v>3551</v>
      </c>
      <c r="F39" s="3478">
        <v>248</v>
      </c>
      <c r="G39" s="3479">
        <v>44152</v>
      </c>
      <c r="H39" s="3479">
        <v>47953</v>
      </c>
      <c r="I39" s="3480">
        <v>3651</v>
      </c>
      <c r="J39" s="3481">
        <v>151686</v>
      </c>
      <c r="L39" s="3478">
        <f t="shared" si="0"/>
        <v>1.675718073353955</v>
      </c>
    </row>
    <row r="40" spans="1:12">
      <c r="A40" s="3478" t="s">
        <v>3541</v>
      </c>
      <c r="B40" s="3478" t="s">
        <v>3542</v>
      </c>
      <c r="C40" s="3478" t="s">
        <v>3585</v>
      </c>
      <c r="D40" s="3478" t="s">
        <v>3544</v>
      </c>
      <c r="E40" s="3478" t="s">
        <v>3551</v>
      </c>
      <c r="F40" s="3478">
        <v>241.58</v>
      </c>
      <c r="G40" s="3479">
        <v>44214</v>
      </c>
      <c r="H40" s="3479">
        <v>45747</v>
      </c>
      <c r="I40" s="3480">
        <v>1445</v>
      </c>
      <c r="J40" s="3481">
        <v>626175.36</v>
      </c>
      <c r="L40" s="3478">
        <f t="shared" si="0"/>
        <v>7.1013698630136988</v>
      </c>
    </row>
    <row r="41" spans="1:12">
      <c r="A41" s="3478" t="s">
        <v>3541</v>
      </c>
      <c r="B41" s="3478" t="s">
        <v>3542</v>
      </c>
      <c r="C41" s="3478" t="s">
        <v>3586</v>
      </c>
      <c r="D41" s="3478" t="s">
        <v>3544</v>
      </c>
      <c r="E41" s="3478" t="s">
        <v>3551</v>
      </c>
      <c r="F41" s="3478">
        <v>238.17</v>
      </c>
      <c r="G41" s="3479">
        <v>44179</v>
      </c>
      <c r="H41" s="3479">
        <v>48684</v>
      </c>
      <c r="I41" s="3480">
        <v>4382</v>
      </c>
      <c r="J41" s="3481">
        <v>1086055.2</v>
      </c>
      <c r="L41" s="3478">
        <f t="shared" si="0"/>
        <v>12.493150684931507</v>
      </c>
    </row>
    <row r="42" spans="1:12">
      <c r="A42" s="3478" t="s">
        <v>3541</v>
      </c>
      <c r="B42" s="3478" t="s">
        <v>3542</v>
      </c>
      <c r="C42" s="3478" t="s">
        <v>3587</v>
      </c>
      <c r="D42" s="3478" t="s">
        <v>3544</v>
      </c>
      <c r="E42" s="3478" t="s">
        <v>3551</v>
      </c>
      <c r="F42" s="3478">
        <v>234.99</v>
      </c>
      <c r="G42" s="3479">
        <v>44174</v>
      </c>
      <c r="H42" s="3479">
        <v>46112</v>
      </c>
      <c r="I42" s="3480">
        <v>1810</v>
      </c>
      <c r="J42" s="3481">
        <v>1205216.28</v>
      </c>
      <c r="L42" s="3478">
        <f t="shared" si="0"/>
        <v>14.051501812668215</v>
      </c>
    </row>
    <row r="43" spans="1:12">
      <c r="A43" s="3478" t="s">
        <v>3541</v>
      </c>
      <c r="B43" s="3478" t="s">
        <v>3542</v>
      </c>
      <c r="C43" s="3478" t="s">
        <v>3588</v>
      </c>
      <c r="D43" s="3478" t="s">
        <v>3544</v>
      </c>
      <c r="E43" s="3478" t="s">
        <v>3551</v>
      </c>
      <c r="F43" s="3478">
        <v>233.73</v>
      </c>
      <c r="G43" s="3479">
        <v>44144</v>
      </c>
      <c r="H43" s="3479">
        <v>46112</v>
      </c>
      <c r="I43" s="3480">
        <v>1810</v>
      </c>
      <c r="J43" s="3481">
        <v>1163975.3999999999</v>
      </c>
      <c r="L43" s="3478">
        <f t="shared" si="0"/>
        <v>13.643835616438356</v>
      </c>
    </row>
    <row r="44" spans="1:12">
      <c r="A44" s="3478" t="s">
        <v>3541</v>
      </c>
      <c r="B44" s="3478" t="s">
        <v>3542</v>
      </c>
      <c r="C44" s="3478" t="s">
        <v>3589</v>
      </c>
      <c r="D44" s="3478" t="s">
        <v>3544</v>
      </c>
      <c r="E44" s="3478" t="s">
        <v>3551</v>
      </c>
      <c r="F44" s="3478">
        <v>228.81</v>
      </c>
      <c r="G44" s="3479">
        <v>44270</v>
      </c>
      <c r="H44" s="3479">
        <v>46492</v>
      </c>
      <c r="I44" s="3480">
        <v>2190</v>
      </c>
      <c r="J44" s="3481">
        <v>907350.36</v>
      </c>
      <c r="L44" s="3478">
        <f t="shared" si="0"/>
        <v>10.864435108868816</v>
      </c>
    </row>
    <row r="45" spans="1:12">
      <c r="A45" s="3478" t="s">
        <v>3541</v>
      </c>
      <c r="B45" s="3478" t="s">
        <v>3542</v>
      </c>
      <c r="C45" s="3478" t="s">
        <v>3590</v>
      </c>
      <c r="D45" s="3478" t="s">
        <v>3544</v>
      </c>
      <c r="E45" s="3478" t="s">
        <v>3551</v>
      </c>
      <c r="F45" s="3478">
        <v>224.33</v>
      </c>
      <c r="G45" s="3479">
        <v>45035</v>
      </c>
      <c r="H45" s="3479">
        <v>46127</v>
      </c>
      <c r="I45" s="3480">
        <v>1061</v>
      </c>
      <c r="J45" s="3481">
        <v>721445.28</v>
      </c>
      <c r="L45" s="3478">
        <f t="shared" si="0"/>
        <v>8.8109589041095884</v>
      </c>
    </row>
    <row r="46" spans="1:12">
      <c r="A46" s="3478" t="s">
        <v>3541</v>
      </c>
      <c r="B46" s="3478" t="s">
        <v>3542</v>
      </c>
      <c r="C46" s="3478" t="s">
        <v>3591</v>
      </c>
      <c r="D46" s="3478" t="s">
        <v>3544</v>
      </c>
      <c r="E46" s="3478" t="s">
        <v>3551</v>
      </c>
      <c r="F46" s="3478">
        <v>218.26</v>
      </c>
      <c r="G46" s="3479">
        <v>44791</v>
      </c>
      <c r="H46" s="3479">
        <v>46251</v>
      </c>
      <c r="I46" s="3480">
        <v>1402</v>
      </c>
      <c r="J46" s="3481">
        <v>1082106.6000000001</v>
      </c>
      <c r="L46" s="3478">
        <f t="shared" si="0"/>
        <v>13.583229251527337</v>
      </c>
    </row>
    <row r="47" spans="1:12">
      <c r="A47" s="3478" t="s">
        <v>3541</v>
      </c>
      <c r="B47" s="3478" t="s">
        <v>3542</v>
      </c>
      <c r="C47" s="3478" t="s">
        <v>3592</v>
      </c>
      <c r="D47" s="3478" t="s">
        <v>3544</v>
      </c>
      <c r="E47" s="3478" t="s">
        <v>3551</v>
      </c>
      <c r="F47" s="3478">
        <v>217.2</v>
      </c>
      <c r="G47" s="3479">
        <v>44161</v>
      </c>
      <c r="H47" s="3479">
        <v>46112</v>
      </c>
      <c r="I47" s="3480">
        <v>1810</v>
      </c>
      <c r="J47" s="3481">
        <v>703728</v>
      </c>
      <c r="L47" s="3478">
        <f t="shared" si="0"/>
        <v>8.8767123287671232</v>
      </c>
    </row>
    <row r="48" spans="1:12">
      <c r="A48" s="3478" t="s">
        <v>3541</v>
      </c>
      <c r="B48" s="3478" t="s">
        <v>3542</v>
      </c>
      <c r="C48" s="3478" t="s">
        <v>3593</v>
      </c>
      <c r="D48" s="3478" t="s">
        <v>3544</v>
      </c>
      <c r="E48" s="3478" t="s">
        <v>3551</v>
      </c>
      <c r="F48" s="3478">
        <v>202.09</v>
      </c>
      <c r="G48" s="3479">
        <v>44160</v>
      </c>
      <c r="H48" s="3479">
        <v>45961</v>
      </c>
      <c r="I48" s="3480">
        <v>1659</v>
      </c>
      <c r="J48" s="3481">
        <v>1199717.52</v>
      </c>
      <c r="L48" s="3478">
        <f t="shared" si="0"/>
        <v>16.264522317128474</v>
      </c>
    </row>
    <row r="49" spans="1:12">
      <c r="A49" s="3478" t="s">
        <v>3541</v>
      </c>
      <c r="B49" s="3478" t="s">
        <v>3542</v>
      </c>
      <c r="C49" s="3478" t="s">
        <v>3594</v>
      </c>
      <c r="D49" s="3478" t="s">
        <v>3544</v>
      </c>
      <c r="E49" s="3478" t="s">
        <v>3551</v>
      </c>
      <c r="F49" s="3478">
        <v>202.06</v>
      </c>
      <c r="G49" s="3479">
        <v>44140</v>
      </c>
      <c r="H49" s="3479">
        <v>46112</v>
      </c>
      <c r="I49" s="3480">
        <v>1810</v>
      </c>
      <c r="J49" s="3481">
        <v>1311245.28</v>
      </c>
      <c r="L49" s="3478">
        <f t="shared" si="0"/>
        <v>17.779138978114464</v>
      </c>
    </row>
    <row r="50" spans="1:12">
      <c r="A50" s="3478" t="s">
        <v>3541</v>
      </c>
      <c r="B50" s="3478" t="s">
        <v>3542</v>
      </c>
      <c r="C50" s="3478" t="s">
        <v>3595</v>
      </c>
      <c r="D50" s="3478" t="s">
        <v>3544</v>
      </c>
      <c r="E50" s="3478" t="s">
        <v>3551</v>
      </c>
      <c r="F50" s="3478">
        <v>199.32</v>
      </c>
      <c r="G50" s="3479">
        <v>44866</v>
      </c>
      <c r="H50" s="3479">
        <v>45961</v>
      </c>
      <c r="I50" s="3480">
        <v>1041</v>
      </c>
      <c r="J50" s="3481">
        <v>695068.68</v>
      </c>
      <c r="L50" s="3478">
        <f t="shared" si="0"/>
        <v>9.5539722728509826</v>
      </c>
    </row>
    <row r="51" spans="1:12">
      <c r="A51" s="3478" t="s">
        <v>3541</v>
      </c>
      <c r="B51" s="3478" t="s">
        <v>3542</v>
      </c>
      <c r="C51" s="3478" t="s">
        <v>3596</v>
      </c>
      <c r="D51" s="3478" t="s">
        <v>3544</v>
      </c>
      <c r="E51" s="3478" t="s">
        <v>3551</v>
      </c>
      <c r="F51" s="3478">
        <v>198.96</v>
      </c>
      <c r="G51" s="3479">
        <v>44280</v>
      </c>
      <c r="H51" s="3479">
        <v>46112</v>
      </c>
      <c r="I51" s="3480">
        <v>1810</v>
      </c>
      <c r="J51" s="3481">
        <v>496604.15999999997</v>
      </c>
      <c r="L51" s="3478">
        <f t="shared" si="0"/>
        <v>6.8383561643835611</v>
      </c>
    </row>
    <row r="52" spans="1:12">
      <c r="A52" s="3478" t="s">
        <v>3541</v>
      </c>
      <c r="B52" s="3478" t="s">
        <v>3542</v>
      </c>
      <c r="C52" s="3478" t="s">
        <v>3597</v>
      </c>
      <c r="D52" s="3478" t="s">
        <v>3544</v>
      </c>
      <c r="E52" s="3478" t="s">
        <v>3551</v>
      </c>
      <c r="F52" s="3478">
        <v>191.35</v>
      </c>
      <c r="G52" s="3479">
        <v>44225</v>
      </c>
      <c r="H52" s="3479">
        <v>45382</v>
      </c>
      <c r="I52" s="3480">
        <v>1080</v>
      </c>
      <c r="J52" s="3481">
        <v>1192712.52</v>
      </c>
      <c r="L52" s="3478">
        <f t="shared" si="0"/>
        <v>17.077112799825322</v>
      </c>
    </row>
    <row r="53" spans="1:12">
      <c r="A53" s="3478" t="s">
        <v>3541</v>
      </c>
      <c r="B53" s="3478" t="s">
        <v>3542</v>
      </c>
      <c r="C53" s="3478" t="s">
        <v>3583</v>
      </c>
      <c r="D53" s="3478" t="s">
        <v>3544</v>
      </c>
      <c r="E53" s="3478" t="s">
        <v>3551</v>
      </c>
      <c r="F53" s="3478">
        <v>189.6</v>
      </c>
      <c r="G53" s="3479">
        <v>44180</v>
      </c>
      <c r="H53" s="3479">
        <v>47953</v>
      </c>
      <c r="I53" s="3480">
        <v>3651</v>
      </c>
      <c r="J53" s="3481">
        <v>1048412.16</v>
      </c>
      <c r="L53" s="3478">
        <f t="shared" si="0"/>
        <v>15.14958904109589</v>
      </c>
    </row>
    <row r="54" spans="1:12">
      <c r="A54" s="3478" t="s">
        <v>3541</v>
      </c>
      <c r="B54" s="3478" t="s">
        <v>3542</v>
      </c>
      <c r="C54" s="3478" t="s">
        <v>3598</v>
      </c>
      <c r="D54" s="3478" t="s">
        <v>3544</v>
      </c>
      <c r="E54" s="3478" t="s">
        <v>3551</v>
      </c>
      <c r="F54" s="3478">
        <v>188.56</v>
      </c>
      <c r="G54" s="3479">
        <v>44861</v>
      </c>
      <c r="H54" s="3479">
        <v>46326</v>
      </c>
      <c r="I54" s="3480">
        <v>1400</v>
      </c>
      <c r="J54" s="3481">
        <v>1812753.36</v>
      </c>
      <c r="L54" s="3478">
        <f t="shared" si="0"/>
        <v>26.338818209820936</v>
      </c>
    </row>
    <row r="55" spans="1:12">
      <c r="A55" s="3478" t="s">
        <v>3541</v>
      </c>
      <c r="B55" s="3478" t="s">
        <v>3542</v>
      </c>
      <c r="C55" s="3478" t="s">
        <v>3599</v>
      </c>
      <c r="D55" s="3478" t="s">
        <v>3544</v>
      </c>
      <c r="E55" s="3478" t="s">
        <v>3551</v>
      </c>
      <c r="F55" s="3478">
        <v>187.6</v>
      </c>
      <c r="G55" s="3479">
        <v>44256</v>
      </c>
      <c r="H55" s="3479">
        <v>45382</v>
      </c>
      <c r="I55" s="3480">
        <v>1080</v>
      </c>
      <c r="J55" s="3481">
        <v>496914.48</v>
      </c>
      <c r="L55" s="3478">
        <f t="shared" si="0"/>
        <v>7.2569804597365426</v>
      </c>
    </row>
    <row r="56" spans="1:12">
      <c r="A56" s="3478" t="s">
        <v>3541</v>
      </c>
      <c r="B56" s="3478" t="s">
        <v>3542</v>
      </c>
      <c r="C56" s="3478" t="s">
        <v>3600</v>
      </c>
      <c r="D56" s="3478" t="s">
        <v>3544</v>
      </c>
      <c r="E56" s="3478" t="s">
        <v>3551</v>
      </c>
      <c r="F56" s="3478">
        <v>187.01</v>
      </c>
      <c r="G56" s="3479">
        <v>44175</v>
      </c>
      <c r="H56" s="3479">
        <v>45382</v>
      </c>
      <c r="I56" s="3480">
        <v>1080</v>
      </c>
      <c r="J56" s="3481">
        <v>662015.4</v>
      </c>
      <c r="L56" s="3478">
        <f t="shared" si="0"/>
        <v>9.6986301369863028</v>
      </c>
    </row>
    <row r="57" spans="1:12">
      <c r="A57" s="3478" t="s">
        <v>3541</v>
      </c>
      <c r="B57" s="3478" t="s">
        <v>3542</v>
      </c>
      <c r="C57" s="3478" t="s">
        <v>3601</v>
      </c>
      <c r="D57" s="3478" t="s">
        <v>3544</v>
      </c>
      <c r="E57" s="3478" t="s">
        <v>3551</v>
      </c>
      <c r="F57" s="3478">
        <v>183.84</v>
      </c>
      <c r="G57" s="3479">
        <v>44225</v>
      </c>
      <c r="H57" s="3479">
        <v>46112</v>
      </c>
      <c r="I57" s="3480">
        <v>1810</v>
      </c>
      <c r="J57" s="3481">
        <v>458864.64000000001</v>
      </c>
      <c r="L57" s="3478">
        <f t="shared" si="0"/>
        <v>6.838356164383562</v>
      </c>
    </row>
    <row r="58" spans="1:12">
      <c r="A58" s="3478" t="s">
        <v>3541</v>
      </c>
      <c r="B58" s="3478" t="s">
        <v>3542</v>
      </c>
      <c r="C58" s="3478" t="s">
        <v>3559</v>
      </c>
      <c r="D58" s="3478" t="s">
        <v>3544</v>
      </c>
      <c r="E58" s="3478" t="s">
        <v>3551</v>
      </c>
      <c r="F58" s="3478">
        <v>183.36</v>
      </c>
      <c r="G58" s="3479">
        <v>44225</v>
      </c>
      <c r="H58" s="3479">
        <v>45382</v>
      </c>
      <c r="I58" s="3480">
        <v>1080</v>
      </c>
      <c r="J58" s="3481">
        <v>1167408.1200000001</v>
      </c>
      <c r="L58" s="3478">
        <f t="shared" si="0"/>
        <v>17.443163236032419</v>
      </c>
    </row>
    <row r="59" spans="1:12">
      <c r="A59" s="3478" t="s">
        <v>3541</v>
      </c>
      <c r="B59" s="3478" t="s">
        <v>3542</v>
      </c>
      <c r="C59" s="3478" t="s">
        <v>3602</v>
      </c>
      <c r="D59" s="3478" t="s">
        <v>3544</v>
      </c>
      <c r="E59" s="3478" t="s">
        <v>3551</v>
      </c>
      <c r="F59" s="3478">
        <v>182.32</v>
      </c>
      <c r="G59" s="3479">
        <v>44144</v>
      </c>
      <c r="H59" s="3479">
        <v>46112</v>
      </c>
      <c r="I59" s="3480">
        <v>1810</v>
      </c>
      <c r="J59" s="3481">
        <v>1206236.8799999999</v>
      </c>
      <c r="L59" s="3478">
        <f t="shared" si="0"/>
        <v>18.126144006924449</v>
      </c>
    </row>
    <row r="60" spans="1:12">
      <c r="A60" s="3478" t="s">
        <v>3541</v>
      </c>
      <c r="B60" s="3478" t="s">
        <v>3542</v>
      </c>
      <c r="C60" s="3478" t="s">
        <v>3603</v>
      </c>
      <c r="D60" s="3478" t="s">
        <v>3544</v>
      </c>
      <c r="E60" s="3478" t="s">
        <v>3551</v>
      </c>
      <c r="F60" s="3478">
        <v>181.54</v>
      </c>
      <c r="G60" s="3479">
        <v>44225</v>
      </c>
      <c r="H60" s="3479">
        <v>45382</v>
      </c>
      <c r="I60" s="3480">
        <v>1080</v>
      </c>
      <c r="J60" s="3481">
        <v>1045670.4</v>
      </c>
      <c r="L60" s="3478">
        <f t="shared" si="0"/>
        <v>15.780821917808222</v>
      </c>
    </row>
    <row r="61" spans="1:12">
      <c r="A61" s="3478" t="s">
        <v>3541</v>
      </c>
      <c r="B61" s="3478" t="s">
        <v>3542</v>
      </c>
      <c r="C61" s="3478" t="s">
        <v>3604</v>
      </c>
      <c r="D61" s="3478" t="s">
        <v>3544</v>
      </c>
      <c r="E61" s="3478" t="s">
        <v>3551</v>
      </c>
      <c r="F61" s="3478">
        <v>175.8</v>
      </c>
      <c r="G61" s="3479">
        <v>45120</v>
      </c>
      <c r="H61" s="3479">
        <v>46217</v>
      </c>
      <c r="I61" s="3480">
        <v>1070</v>
      </c>
      <c r="J61" s="3481">
        <v>495756</v>
      </c>
      <c r="L61" s="3478">
        <f t="shared" si="0"/>
        <v>7.7260273972602738</v>
      </c>
    </row>
    <row r="62" spans="1:12">
      <c r="A62" s="3478" t="s">
        <v>3541</v>
      </c>
      <c r="B62" s="3478" t="s">
        <v>3542</v>
      </c>
      <c r="C62" s="3478" t="s">
        <v>3605</v>
      </c>
      <c r="D62" s="3478" t="s">
        <v>3544</v>
      </c>
      <c r="E62" s="3478" t="s">
        <v>3551</v>
      </c>
      <c r="F62" s="3478">
        <v>169.76</v>
      </c>
      <c r="G62" s="3479">
        <v>44195</v>
      </c>
      <c r="H62" s="3479">
        <v>45747</v>
      </c>
      <c r="I62" s="3480">
        <v>1445</v>
      </c>
      <c r="J62" s="3481">
        <v>841330.56</v>
      </c>
      <c r="L62" s="3478">
        <f t="shared" si="0"/>
        <v>13.578082191780824</v>
      </c>
    </row>
    <row r="63" spans="1:12">
      <c r="A63" s="3478" t="s">
        <v>3541</v>
      </c>
      <c r="B63" s="3478" t="s">
        <v>3542</v>
      </c>
      <c r="C63" s="3478" t="s">
        <v>3606</v>
      </c>
      <c r="D63" s="3478" t="s">
        <v>3544</v>
      </c>
      <c r="E63" s="3478" t="s">
        <v>3551</v>
      </c>
      <c r="F63" s="3478">
        <v>167.03</v>
      </c>
      <c r="G63" s="3479">
        <v>44257</v>
      </c>
      <c r="H63" s="3479">
        <v>45762</v>
      </c>
      <c r="I63" s="3480">
        <v>1460</v>
      </c>
      <c r="J63" s="3481">
        <v>705184.08</v>
      </c>
      <c r="L63" s="3478">
        <f t="shared" si="0"/>
        <v>11.566851332588108</v>
      </c>
    </row>
    <row r="64" spans="1:12">
      <c r="A64" s="3478" t="s">
        <v>3541</v>
      </c>
      <c r="B64" s="3478" t="s">
        <v>3542</v>
      </c>
      <c r="C64" s="3478" t="s">
        <v>3607</v>
      </c>
      <c r="D64" s="3478" t="s">
        <v>3544</v>
      </c>
      <c r="E64" s="3478" t="s">
        <v>3551</v>
      </c>
      <c r="F64" s="3478">
        <v>166.78</v>
      </c>
      <c r="G64" s="3479">
        <v>44833</v>
      </c>
      <c r="H64" s="3479">
        <v>45904</v>
      </c>
      <c r="I64" s="3480">
        <v>978</v>
      </c>
      <c r="J64" s="3481">
        <v>700476</v>
      </c>
      <c r="L64" s="3478">
        <f t="shared" si="0"/>
        <v>11.506849315068493</v>
      </c>
    </row>
    <row r="65" spans="1:12">
      <c r="A65" s="3478" t="s">
        <v>3541</v>
      </c>
      <c r="B65" s="3478" t="s">
        <v>3542</v>
      </c>
      <c r="C65" s="3478" t="s">
        <v>3608</v>
      </c>
      <c r="D65" s="3478" t="s">
        <v>3544</v>
      </c>
      <c r="E65" s="3478" t="s">
        <v>3551</v>
      </c>
      <c r="F65" s="3478">
        <v>161.13999999999999</v>
      </c>
      <c r="G65" s="3479">
        <v>44190</v>
      </c>
      <c r="H65" s="3479">
        <v>46127</v>
      </c>
      <c r="I65" s="3480">
        <v>1825</v>
      </c>
      <c r="J65" s="3481">
        <v>792808.8</v>
      </c>
      <c r="L65" s="3478">
        <f t="shared" si="0"/>
        <v>13.479452054794521</v>
      </c>
    </row>
    <row r="66" spans="1:12">
      <c r="A66" s="3478" t="s">
        <v>3541</v>
      </c>
      <c r="B66" s="3478" t="s">
        <v>3542</v>
      </c>
      <c r="C66" s="3478" t="s">
        <v>3609</v>
      </c>
      <c r="D66" s="3478" t="s">
        <v>3544</v>
      </c>
      <c r="E66" s="3478" t="s">
        <v>3551</v>
      </c>
      <c r="F66" s="3478">
        <v>157.59</v>
      </c>
      <c r="G66" s="3479">
        <v>44190</v>
      </c>
      <c r="H66" s="3479">
        <v>45382</v>
      </c>
      <c r="I66" s="3480">
        <v>1080</v>
      </c>
      <c r="J66" s="3481">
        <v>620121.48</v>
      </c>
      <c r="L66" s="3478">
        <f t="shared" si="0"/>
        <v>10.780905888090039</v>
      </c>
    </row>
    <row r="67" spans="1:12">
      <c r="A67" s="3478" t="s">
        <v>3541</v>
      </c>
      <c r="B67" s="3478" t="s">
        <v>3542</v>
      </c>
      <c r="C67" s="3478" t="s">
        <v>3610</v>
      </c>
      <c r="D67" s="3478" t="s">
        <v>3544</v>
      </c>
      <c r="E67" s="3478" t="s">
        <v>3551</v>
      </c>
      <c r="F67" s="3478">
        <v>156.66</v>
      </c>
      <c r="G67" s="3479">
        <v>44172</v>
      </c>
      <c r="H67" s="3479">
        <v>45382</v>
      </c>
      <c r="I67" s="3480">
        <v>1080</v>
      </c>
      <c r="J67" s="3481">
        <v>892056.24</v>
      </c>
      <c r="L67" s="3478">
        <f t="shared" ref="L67:L130" si="1">J67/365/F67</f>
        <v>15.600598101813718</v>
      </c>
    </row>
    <row r="68" spans="1:12">
      <c r="A68" s="3478" t="s">
        <v>3541</v>
      </c>
      <c r="B68" s="3478" t="s">
        <v>3542</v>
      </c>
      <c r="C68" s="3478" t="s">
        <v>3611</v>
      </c>
      <c r="D68" s="3478" t="s">
        <v>3544</v>
      </c>
      <c r="E68" s="3478" t="s">
        <v>3551</v>
      </c>
      <c r="F68" s="3478">
        <v>156.53</v>
      </c>
      <c r="G68" s="3479">
        <v>44257</v>
      </c>
      <c r="H68" s="3479">
        <v>45382</v>
      </c>
      <c r="I68" s="3480">
        <v>1080</v>
      </c>
      <c r="J68" s="3481">
        <v>873437.4</v>
      </c>
      <c r="L68" s="3478">
        <f t="shared" si="1"/>
        <v>15.287671232876713</v>
      </c>
    </row>
    <row r="69" spans="1:12">
      <c r="A69" s="3478" t="s">
        <v>3541</v>
      </c>
      <c r="B69" s="3478" t="s">
        <v>3542</v>
      </c>
      <c r="C69" s="3478" t="s">
        <v>3612</v>
      </c>
      <c r="D69" s="3478" t="s">
        <v>3544</v>
      </c>
      <c r="E69" s="3478" t="s">
        <v>3551</v>
      </c>
      <c r="F69" s="3478">
        <v>156.47999999999999</v>
      </c>
      <c r="G69" s="3479">
        <v>44195</v>
      </c>
      <c r="H69" s="3479">
        <v>47026</v>
      </c>
      <c r="I69" s="3480">
        <v>2724</v>
      </c>
      <c r="J69" s="3481">
        <v>920102.40000000002</v>
      </c>
      <c r="L69" s="3478">
        <f t="shared" si="1"/>
        <v>16.109589041095891</v>
      </c>
    </row>
    <row r="70" spans="1:12">
      <c r="A70" s="3478" t="s">
        <v>3541</v>
      </c>
      <c r="B70" s="3478" t="s">
        <v>3542</v>
      </c>
      <c r="C70" s="3478" t="s">
        <v>3613</v>
      </c>
      <c r="D70" s="3478" t="s">
        <v>3544</v>
      </c>
      <c r="E70" s="3478" t="s">
        <v>3551</v>
      </c>
      <c r="F70" s="3478">
        <v>156.32</v>
      </c>
      <c r="G70" s="3479">
        <v>44207</v>
      </c>
      <c r="H70" s="3479">
        <v>45382</v>
      </c>
      <c r="I70" s="3480">
        <v>1080</v>
      </c>
      <c r="J70" s="3481">
        <v>889148.16</v>
      </c>
      <c r="L70" s="3478">
        <f t="shared" si="1"/>
        <v>15.583561643835619</v>
      </c>
    </row>
    <row r="71" spans="1:12">
      <c r="A71" s="3478" t="s">
        <v>3541</v>
      </c>
      <c r="B71" s="3478" t="s">
        <v>3542</v>
      </c>
      <c r="C71" s="3478" t="s">
        <v>3614</v>
      </c>
      <c r="D71" s="3478" t="s">
        <v>3544</v>
      </c>
      <c r="E71" s="3478" t="s">
        <v>3551</v>
      </c>
      <c r="F71" s="3478">
        <v>155.47999999999999</v>
      </c>
      <c r="G71" s="3479">
        <v>44222</v>
      </c>
      <c r="H71" s="3479">
        <v>46127</v>
      </c>
      <c r="I71" s="3480">
        <v>1825</v>
      </c>
      <c r="J71" s="3481">
        <v>772732.44</v>
      </c>
      <c r="L71" s="3478">
        <f t="shared" si="1"/>
        <v>13.616382673541239</v>
      </c>
    </row>
    <row r="72" spans="1:12">
      <c r="A72" s="3478" t="s">
        <v>3541</v>
      </c>
      <c r="B72" s="3478" t="s">
        <v>3542</v>
      </c>
      <c r="C72" s="3478" t="s">
        <v>3615</v>
      </c>
      <c r="D72" s="3478" t="s">
        <v>3544</v>
      </c>
      <c r="E72" s="3478" t="s">
        <v>3551</v>
      </c>
      <c r="F72" s="3478">
        <v>152.75</v>
      </c>
      <c r="G72" s="3479">
        <v>44191</v>
      </c>
      <c r="H72" s="3479">
        <v>45747</v>
      </c>
      <c r="I72" s="3480">
        <v>1445</v>
      </c>
      <c r="J72" s="3481">
        <v>576796.19999999995</v>
      </c>
      <c r="L72" s="3478">
        <f t="shared" si="1"/>
        <v>10.345424298813981</v>
      </c>
    </row>
    <row r="73" spans="1:12">
      <c r="A73" s="3478" t="s">
        <v>3541</v>
      </c>
      <c r="B73" s="3478" t="s">
        <v>3542</v>
      </c>
      <c r="C73" s="3478" t="s">
        <v>3616</v>
      </c>
      <c r="D73" s="3478" t="s">
        <v>3544</v>
      </c>
      <c r="E73" s="3478" t="s">
        <v>3551</v>
      </c>
      <c r="F73" s="3478">
        <v>148.72999999999999</v>
      </c>
      <c r="G73" s="3479">
        <v>44194</v>
      </c>
      <c r="H73" s="3479">
        <v>45382</v>
      </c>
      <c r="I73" s="3480">
        <v>1080</v>
      </c>
      <c r="J73" s="3481">
        <v>768130.68</v>
      </c>
      <c r="L73" s="3478">
        <f t="shared" si="1"/>
        <v>14.149583920112663</v>
      </c>
    </row>
    <row r="74" spans="1:12">
      <c r="A74" s="3478" t="s">
        <v>3541</v>
      </c>
      <c r="B74" s="3478" t="s">
        <v>3542</v>
      </c>
      <c r="C74" s="3478" t="s">
        <v>3617</v>
      </c>
      <c r="D74" s="3478" t="s">
        <v>3544</v>
      </c>
      <c r="E74" s="3478" t="s">
        <v>3551</v>
      </c>
      <c r="F74" s="3478">
        <v>148.18</v>
      </c>
      <c r="G74" s="3479">
        <v>44155</v>
      </c>
      <c r="H74" s="3479">
        <v>45596</v>
      </c>
      <c r="I74" s="3480">
        <v>1294</v>
      </c>
      <c r="J74" s="3481">
        <v>1185977.1599999999</v>
      </c>
      <c r="L74" s="3478">
        <f t="shared" si="1"/>
        <v>21.927739864696211</v>
      </c>
    </row>
    <row r="75" spans="1:12">
      <c r="A75" s="3478" t="s">
        <v>3541</v>
      </c>
      <c r="B75" s="3478" t="s">
        <v>3542</v>
      </c>
      <c r="C75" s="3478" t="s">
        <v>3618</v>
      </c>
      <c r="D75" s="3478" t="s">
        <v>3544</v>
      </c>
      <c r="E75" s="3478" t="s">
        <v>3551</v>
      </c>
      <c r="F75" s="3478">
        <v>148</v>
      </c>
      <c r="G75" s="3479">
        <v>44881</v>
      </c>
      <c r="H75" s="3479">
        <v>45961</v>
      </c>
      <c r="I75" s="3480">
        <v>1063</v>
      </c>
      <c r="J75" s="3481">
        <v>370954.8</v>
      </c>
      <c r="L75" s="3478">
        <f t="shared" si="1"/>
        <v>6.8669900037023321</v>
      </c>
    </row>
    <row r="76" spans="1:12">
      <c r="A76" s="3478" t="s">
        <v>3541</v>
      </c>
      <c r="B76" s="3478" t="s">
        <v>3542</v>
      </c>
      <c r="C76" s="3478" t="s">
        <v>3619</v>
      </c>
      <c r="D76" s="3478" t="s">
        <v>3544</v>
      </c>
      <c r="E76" s="3478" t="s">
        <v>3551</v>
      </c>
      <c r="F76" s="3478">
        <v>146.63999999999999</v>
      </c>
      <c r="G76" s="3479">
        <v>44256</v>
      </c>
      <c r="H76" s="3479">
        <v>45382</v>
      </c>
      <c r="I76" s="3480">
        <v>1080</v>
      </c>
      <c r="J76" s="3481">
        <v>739065.6</v>
      </c>
      <c r="L76" s="3478">
        <f t="shared" si="1"/>
        <v>13.808219178082192</v>
      </c>
    </row>
    <row r="77" spans="1:12">
      <c r="A77" s="3478" t="s">
        <v>3541</v>
      </c>
      <c r="B77" s="3478" t="s">
        <v>3542</v>
      </c>
      <c r="C77" s="3478" t="s">
        <v>3620</v>
      </c>
      <c r="D77" s="3478" t="s">
        <v>3544</v>
      </c>
      <c r="E77" s="3478" t="s">
        <v>3551</v>
      </c>
      <c r="F77" s="3478">
        <v>146.22999999999999</v>
      </c>
      <c r="G77" s="3479">
        <v>44207</v>
      </c>
      <c r="H77" s="3479">
        <v>45382</v>
      </c>
      <c r="I77" s="3480">
        <v>1080</v>
      </c>
      <c r="J77" s="3481">
        <v>870360.96</v>
      </c>
      <c r="L77" s="3478">
        <f t="shared" si="1"/>
        <v>16.306849315068494</v>
      </c>
    </row>
    <row r="78" spans="1:12">
      <c r="A78" s="3478" t="s">
        <v>3541</v>
      </c>
      <c r="B78" s="3478" t="s">
        <v>3542</v>
      </c>
      <c r="C78" s="3478" t="s">
        <v>3621</v>
      </c>
      <c r="D78" s="3478" t="s">
        <v>3544</v>
      </c>
      <c r="E78" s="3478" t="s">
        <v>3551</v>
      </c>
      <c r="F78" s="3478">
        <v>146</v>
      </c>
      <c r="G78" s="3479">
        <v>44805</v>
      </c>
      <c r="H78" s="3479">
        <v>45900</v>
      </c>
      <c r="I78" s="3480">
        <v>1064</v>
      </c>
      <c r="J78" s="3481">
        <v>1137747.1200000001</v>
      </c>
      <c r="L78" s="3478">
        <f t="shared" si="1"/>
        <v>21.350105460686809</v>
      </c>
    </row>
    <row r="79" spans="1:12">
      <c r="A79" s="3478" t="s">
        <v>3541</v>
      </c>
      <c r="B79" s="3478" t="s">
        <v>3542</v>
      </c>
      <c r="C79" s="3478" t="s">
        <v>3622</v>
      </c>
      <c r="D79" s="3478" t="s">
        <v>3544</v>
      </c>
      <c r="E79" s="3478" t="s">
        <v>3551</v>
      </c>
      <c r="F79" s="3478">
        <v>145.97</v>
      </c>
      <c r="G79" s="3479">
        <v>44192</v>
      </c>
      <c r="H79" s="3479">
        <v>45382</v>
      </c>
      <c r="I79" s="3480">
        <v>1080</v>
      </c>
      <c r="J79" s="3481">
        <v>746391.72</v>
      </c>
      <c r="L79" s="3478">
        <f t="shared" si="1"/>
        <v>14.009103390544688</v>
      </c>
    </row>
    <row r="80" spans="1:12">
      <c r="A80" s="3478" t="s">
        <v>3541</v>
      </c>
      <c r="B80" s="3478" t="s">
        <v>3542</v>
      </c>
      <c r="C80" s="3478" t="s">
        <v>3623</v>
      </c>
      <c r="D80" s="3478" t="s">
        <v>3544</v>
      </c>
      <c r="E80" s="3478" t="s">
        <v>3551</v>
      </c>
      <c r="F80" s="3478">
        <v>145.02000000000001</v>
      </c>
      <c r="G80" s="3479">
        <v>44760</v>
      </c>
      <c r="H80" s="3479">
        <v>45487</v>
      </c>
      <c r="I80" s="3480">
        <v>700</v>
      </c>
      <c r="J80" s="3481">
        <v>687394.8</v>
      </c>
      <c r="L80" s="3478">
        <f t="shared" si="1"/>
        <v>12.986301369863014</v>
      </c>
    </row>
    <row r="81" spans="1:12">
      <c r="A81" s="3478" t="s">
        <v>3541</v>
      </c>
      <c r="B81" s="3478" t="s">
        <v>3542</v>
      </c>
      <c r="C81" s="3478" t="s">
        <v>3624</v>
      </c>
      <c r="D81" s="3478" t="s">
        <v>3544</v>
      </c>
      <c r="E81" s="3478" t="s">
        <v>3551</v>
      </c>
      <c r="F81" s="3478">
        <v>143.09</v>
      </c>
      <c r="G81" s="3479">
        <v>44222</v>
      </c>
      <c r="H81" s="3479">
        <v>46127</v>
      </c>
      <c r="I81" s="3480">
        <v>1825</v>
      </c>
      <c r="J81" s="3481">
        <v>1037563.32</v>
      </c>
      <c r="L81" s="3478">
        <f t="shared" si="1"/>
        <v>19.866092898712086</v>
      </c>
    </row>
    <row r="82" spans="1:12">
      <c r="A82" s="3478" t="s">
        <v>3541</v>
      </c>
      <c r="B82" s="3478" t="s">
        <v>3542</v>
      </c>
      <c r="C82" s="3478" t="s">
        <v>3625</v>
      </c>
      <c r="D82" s="3478" t="s">
        <v>3544</v>
      </c>
      <c r="E82" s="3478" t="s">
        <v>3551</v>
      </c>
      <c r="F82" s="3478">
        <v>141.47999999999999</v>
      </c>
      <c r="G82" s="3479">
        <v>44263</v>
      </c>
      <c r="H82" s="3479">
        <v>45382</v>
      </c>
      <c r="I82" s="3480">
        <v>1080</v>
      </c>
      <c r="J82" s="3481">
        <v>780805.32</v>
      </c>
      <c r="L82" s="3478">
        <f t="shared" si="1"/>
        <v>15.120106428712514</v>
      </c>
    </row>
    <row r="83" spans="1:12">
      <c r="A83" s="3478" t="s">
        <v>3541</v>
      </c>
      <c r="B83" s="3478" t="s">
        <v>3542</v>
      </c>
      <c r="C83" s="3478" t="s">
        <v>3626</v>
      </c>
      <c r="D83" s="3478" t="s">
        <v>3544</v>
      </c>
      <c r="E83" s="3478" t="s">
        <v>3551</v>
      </c>
      <c r="F83" s="3478">
        <v>139.41</v>
      </c>
      <c r="G83" s="3479">
        <v>44176</v>
      </c>
      <c r="H83" s="3479">
        <v>45382</v>
      </c>
      <c r="I83" s="3480">
        <v>1080</v>
      </c>
      <c r="J83" s="3481">
        <v>938910.24</v>
      </c>
      <c r="L83" s="3478">
        <f t="shared" si="1"/>
        <v>18.451738196096464</v>
      </c>
    </row>
    <row r="84" spans="1:12">
      <c r="A84" s="3478" t="s">
        <v>3541</v>
      </c>
      <c r="B84" s="3478" t="s">
        <v>3542</v>
      </c>
      <c r="C84" s="3478" t="s">
        <v>3627</v>
      </c>
      <c r="D84" s="3478" t="s">
        <v>3544</v>
      </c>
      <c r="E84" s="3478" t="s">
        <v>3551</v>
      </c>
      <c r="F84" s="3478">
        <v>138.44</v>
      </c>
      <c r="G84" s="3479">
        <v>44196</v>
      </c>
      <c r="H84" s="3479">
        <v>45747</v>
      </c>
      <c r="I84" s="3480">
        <v>1445</v>
      </c>
      <c r="J84" s="3481">
        <v>1715505.72</v>
      </c>
      <c r="L84" s="3478">
        <f t="shared" si="1"/>
        <v>33.949838711592577</v>
      </c>
    </row>
    <row r="85" spans="1:12">
      <c r="A85" s="3478" t="s">
        <v>3541</v>
      </c>
      <c r="B85" s="3478" t="s">
        <v>3542</v>
      </c>
      <c r="C85" s="3478" t="s">
        <v>3628</v>
      </c>
      <c r="D85" s="3478" t="s">
        <v>3544</v>
      </c>
      <c r="E85" s="3478" t="s">
        <v>3551</v>
      </c>
      <c r="F85" s="3478">
        <v>138.41999999999999</v>
      </c>
      <c r="G85" s="3479">
        <v>44196</v>
      </c>
      <c r="H85" s="3479">
        <v>45382</v>
      </c>
      <c r="I85" s="3480">
        <v>1080</v>
      </c>
      <c r="J85" s="3481">
        <v>1101375.6000000001</v>
      </c>
      <c r="L85" s="3478">
        <f t="shared" si="1"/>
        <v>21.799359899293993</v>
      </c>
    </row>
    <row r="86" spans="1:12">
      <c r="A86" s="3478" t="s">
        <v>3541</v>
      </c>
      <c r="B86" s="3478" t="s">
        <v>3542</v>
      </c>
      <c r="C86" s="3478" t="s">
        <v>3629</v>
      </c>
      <c r="D86" s="3478" t="s">
        <v>3544</v>
      </c>
      <c r="E86" s="3478" t="s">
        <v>3551</v>
      </c>
      <c r="F86" s="3478">
        <v>137.16</v>
      </c>
      <c r="G86" s="3479">
        <v>44218</v>
      </c>
      <c r="H86" s="3479">
        <v>45747</v>
      </c>
      <c r="I86" s="3480">
        <v>1445</v>
      </c>
      <c r="J86" s="3481">
        <v>1057932.72</v>
      </c>
      <c r="L86" s="3478">
        <f t="shared" si="1"/>
        <v>21.131859202531192</v>
      </c>
    </row>
    <row r="87" spans="1:12">
      <c r="A87" s="3478" t="s">
        <v>3541</v>
      </c>
      <c r="B87" s="3478" t="s">
        <v>3542</v>
      </c>
      <c r="C87" s="3478" t="s">
        <v>3630</v>
      </c>
      <c r="D87" s="3478" t="s">
        <v>3544</v>
      </c>
      <c r="E87" s="3478" t="s">
        <v>3551</v>
      </c>
      <c r="F87" s="3478">
        <v>135.37</v>
      </c>
      <c r="G87" s="3479">
        <v>44271</v>
      </c>
      <c r="H87" s="3479">
        <v>45382</v>
      </c>
      <c r="I87" s="3480">
        <v>1080</v>
      </c>
      <c r="J87" s="3481">
        <v>656977.19999999995</v>
      </c>
      <c r="L87" s="3478">
        <f t="shared" si="1"/>
        <v>13.296428560586358</v>
      </c>
    </row>
    <row r="88" spans="1:12">
      <c r="A88" s="3478" t="s">
        <v>3541</v>
      </c>
      <c r="B88" s="3478" t="s">
        <v>3542</v>
      </c>
      <c r="C88" s="3478" t="s">
        <v>3631</v>
      </c>
      <c r="D88" s="3478" t="s">
        <v>3544</v>
      </c>
      <c r="E88" s="3478" t="s">
        <v>3551</v>
      </c>
      <c r="F88" s="3478">
        <v>132.59</v>
      </c>
      <c r="G88" s="3479">
        <v>44958</v>
      </c>
      <c r="H88" s="3479">
        <v>45961</v>
      </c>
      <c r="I88" s="3480">
        <v>931</v>
      </c>
      <c r="J88" s="3481">
        <v>636432</v>
      </c>
      <c r="L88" s="3478">
        <f t="shared" si="1"/>
        <v>13.15068493150685</v>
      </c>
    </row>
    <row r="89" spans="1:12">
      <c r="A89" s="3478" t="s">
        <v>3541</v>
      </c>
      <c r="B89" s="3478" t="s">
        <v>3542</v>
      </c>
      <c r="C89" s="3478" t="s">
        <v>3632</v>
      </c>
      <c r="D89" s="3478" t="s">
        <v>3544</v>
      </c>
      <c r="E89" s="3478" t="s">
        <v>3551</v>
      </c>
      <c r="F89" s="3478">
        <v>130.82</v>
      </c>
      <c r="G89" s="3479">
        <v>44195</v>
      </c>
      <c r="H89" s="3479">
        <v>45747</v>
      </c>
      <c r="I89" s="3480">
        <v>1445</v>
      </c>
      <c r="J89" s="3481">
        <v>1062928.2</v>
      </c>
      <c r="L89" s="3478">
        <f t="shared" si="1"/>
        <v>22.260602773234375</v>
      </c>
    </row>
    <row r="90" spans="1:12">
      <c r="A90" s="3478" t="s">
        <v>3541</v>
      </c>
      <c r="B90" s="3478" t="s">
        <v>3542</v>
      </c>
      <c r="C90" s="3478" t="s">
        <v>3633</v>
      </c>
      <c r="D90" s="3478" t="s">
        <v>3544</v>
      </c>
      <c r="E90" s="3478" t="s">
        <v>3551</v>
      </c>
      <c r="F90" s="3478">
        <v>130.16999999999999</v>
      </c>
      <c r="G90" s="3479">
        <v>44182</v>
      </c>
      <c r="H90" s="3479">
        <v>46477</v>
      </c>
      <c r="I90" s="3480">
        <v>2175</v>
      </c>
      <c r="J90" s="3481">
        <v>855437.28</v>
      </c>
      <c r="L90" s="3478">
        <f t="shared" si="1"/>
        <v>18.004638402257957</v>
      </c>
    </row>
    <row r="91" spans="1:12">
      <c r="A91" s="3478" t="s">
        <v>3541</v>
      </c>
      <c r="B91" s="3478" t="s">
        <v>3542</v>
      </c>
      <c r="C91" s="3478" t="s">
        <v>3577</v>
      </c>
      <c r="D91" s="3478" t="s">
        <v>3544</v>
      </c>
      <c r="E91" s="3478" t="s">
        <v>3551</v>
      </c>
      <c r="F91" s="3478">
        <v>130.15</v>
      </c>
      <c r="G91" s="3479">
        <v>44271</v>
      </c>
      <c r="H91" s="3479">
        <v>45382</v>
      </c>
      <c r="I91" s="3480">
        <v>1080</v>
      </c>
      <c r="J91" s="3481">
        <v>550394.52</v>
      </c>
      <c r="L91" s="3478">
        <f t="shared" si="1"/>
        <v>11.58609444318726</v>
      </c>
    </row>
    <row r="92" spans="1:12">
      <c r="A92" s="3478" t="s">
        <v>3541</v>
      </c>
      <c r="B92" s="3478" t="s">
        <v>3542</v>
      </c>
      <c r="C92" s="3478" t="s">
        <v>3634</v>
      </c>
      <c r="D92" s="3478" t="s">
        <v>3544</v>
      </c>
      <c r="E92" s="3478" t="s">
        <v>3551</v>
      </c>
      <c r="F92" s="3478">
        <v>129.72999999999999</v>
      </c>
      <c r="G92" s="3479">
        <v>44175</v>
      </c>
      <c r="H92" s="3479">
        <v>45747</v>
      </c>
      <c r="I92" s="3480">
        <v>1445</v>
      </c>
      <c r="J92" s="3481">
        <v>1163113.44</v>
      </c>
      <c r="L92" s="3478">
        <f t="shared" si="1"/>
        <v>24.563417593336634</v>
      </c>
    </row>
    <row r="93" spans="1:12">
      <c r="A93" s="3478" t="s">
        <v>3541</v>
      </c>
      <c r="B93" s="3478" t="s">
        <v>3542</v>
      </c>
      <c r="C93" s="3478" t="s">
        <v>3635</v>
      </c>
      <c r="D93" s="3478" t="s">
        <v>3544</v>
      </c>
      <c r="E93" s="3478" t="s">
        <v>3551</v>
      </c>
      <c r="F93" s="3478">
        <v>127.05</v>
      </c>
      <c r="G93" s="3479">
        <v>44256</v>
      </c>
      <c r="H93" s="3479">
        <v>45397</v>
      </c>
      <c r="I93" s="3480">
        <v>1095</v>
      </c>
      <c r="J93" s="3481">
        <v>597280.07999999996</v>
      </c>
      <c r="L93" s="3478">
        <f t="shared" si="1"/>
        <v>12.879840856528279</v>
      </c>
    </row>
    <row r="94" spans="1:12">
      <c r="A94" s="3478" t="s">
        <v>3541</v>
      </c>
      <c r="B94" s="3478" t="s">
        <v>3542</v>
      </c>
      <c r="C94" s="3478" t="s">
        <v>3636</v>
      </c>
      <c r="D94" s="3478" t="s">
        <v>3544</v>
      </c>
      <c r="E94" s="3478" t="s">
        <v>3551</v>
      </c>
      <c r="F94" s="3478">
        <v>125.75</v>
      </c>
      <c r="G94" s="3479">
        <v>44792</v>
      </c>
      <c r="H94" s="3479">
        <v>45960</v>
      </c>
      <c r="I94" s="3480">
        <v>1139</v>
      </c>
      <c r="J94" s="3481">
        <v>633780</v>
      </c>
      <c r="L94" s="3478">
        <f t="shared" si="1"/>
        <v>13.808219178082192</v>
      </c>
    </row>
    <row r="95" spans="1:12">
      <c r="A95" s="3478" t="s">
        <v>3541</v>
      </c>
      <c r="B95" s="3478" t="s">
        <v>3542</v>
      </c>
      <c r="C95" s="3478" t="s">
        <v>3637</v>
      </c>
      <c r="D95" s="3478" t="s">
        <v>3544</v>
      </c>
      <c r="E95" s="3478" t="s">
        <v>3551</v>
      </c>
      <c r="F95" s="3478">
        <v>123.54</v>
      </c>
      <c r="G95" s="3479">
        <v>44222</v>
      </c>
      <c r="H95" s="3479">
        <v>45397</v>
      </c>
      <c r="I95" s="3480">
        <v>1095</v>
      </c>
      <c r="J95" s="3481">
        <v>595956.96</v>
      </c>
      <c r="L95" s="3478">
        <f t="shared" si="1"/>
        <v>13.216438356164382</v>
      </c>
    </row>
    <row r="96" spans="1:12">
      <c r="A96" s="3478" t="s">
        <v>3541</v>
      </c>
      <c r="B96" s="3478" t="s">
        <v>3542</v>
      </c>
      <c r="C96" s="3478" t="s">
        <v>3638</v>
      </c>
      <c r="D96" s="3478" t="s">
        <v>3544</v>
      </c>
      <c r="E96" s="3478" t="s">
        <v>3551</v>
      </c>
      <c r="F96" s="3478">
        <v>122.58</v>
      </c>
      <c r="G96" s="3479">
        <v>44230</v>
      </c>
      <c r="H96" s="3479">
        <v>45747</v>
      </c>
      <c r="I96" s="3480">
        <v>1445</v>
      </c>
      <c r="J96" s="3481">
        <v>935530.56</v>
      </c>
      <c r="L96" s="3478">
        <f t="shared" si="1"/>
        <v>20.909589041095892</v>
      </c>
    </row>
    <row r="97" spans="1:12">
      <c r="A97" s="3478" t="s">
        <v>3541</v>
      </c>
      <c r="B97" s="3478" t="s">
        <v>3542</v>
      </c>
      <c r="C97" s="3478" t="s">
        <v>3639</v>
      </c>
      <c r="D97" s="3478" t="s">
        <v>3544</v>
      </c>
      <c r="E97" s="3478" t="s">
        <v>3551</v>
      </c>
      <c r="F97" s="3478">
        <v>121.75</v>
      </c>
      <c r="G97" s="3479">
        <v>44258</v>
      </c>
      <c r="H97" s="3479">
        <v>45382</v>
      </c>
      <c r="I97" s="3480">
        <v>1080</v>
      </c>
      <c r="J97" s="3481">
        <v>800244.24</v>
      </c>
      <c r="L97" s="3478">
        <f t="shared" si="1"/>
        <v>18.007802649714495</v>
      </c>
    </row>
    <row r="98" spans="1:12">
      <c r="A98" s="3478" t="s">
        <v>3541</v>
      </c>
      <c r="B98" s="3478" t="s">
        <v>3542</v>
      </c>
      <c r="C98" s="3478" t="s">
        <v>3640</v>
      </c>
      <c r="D98" s="3478" t="s">
        <v>3544</v>
      </c>
      <c r="E98" s="3478" t="s">
        <v>3551</v>
      </c>
      <c r="F98" s="3478">
        <v>120.81</v>
      </c>
      <c r="G98" s="3479">
        <v>44765</v>
      </c>
      <c r="H98" s="3479">
        <v>45838</v>
      </c>
      <c r="I98" s="3480">
        <v>1045</v>
      </c>
      <c r="J98" s="3481">
        <v>652374</v>
      </c>
      <c r="L98" s="3478">
        <f t="shared" si="1"/>
        <v>14.794520547945206</v>
      </c>
    </row>
    <row r="99" spans="1:12">
      <c r="A99" s="3478" t="s">
        <v>3541</v>
      </c>
      <c r="B99" s="3478" t="s">
        <v>3542</v>
      </c>
      <c r="C99" s="3478" t="s">
        <v>3641</v>
      </c>
      <c r="D99" s="3478" t="s">
        <v>3544</v>
      </c>
      <c r="E99" s="3478" t="s">
        <v>3551</v>
      </c>
      <c r="F99" s="3478">
        <v>120.28</v>
      </c>
      <c r="G99" s="3479">
        <v>44931</v>
      </c>
      <c r="H99" s="3479">
        <v>45991</v>
      </c>
      <c r="I99" s="3480">
        <v>995</v>
      </c>
      <c r="J99" s="3481">
        <v>216969.60000000001</v>
      </c>
      <c r="L99" s="3478">
        <f t="shared" si="1"/>
        <v>4.9421122403888642</v>
      </c>
    </row>
    <row r="100" spans="1:12">
      <c r="A100" s="3478" t="s">
        <v>3541</v>
      </c>
      <c r="B100" s="3478" t="s">
        <v>3542</v>
      </c>
      <c r="C100" s="3478" t="s">
        <v>3642</v>
      </c>
      <c r="D100" s="3478" t="s">
        <v>3544</v>
      </c>
      <c r="E100" s="3478" t="s">
        <v>3551</v>
      </c>
      <c r="F100" s="3478">
        <v>119.87</v>
      </c>
      <c r="G100" s="3479">
        <v>44256</v>
      </c>
      <c r="H100" s="3479">
        <v>45397</v>
      </c>
      <c r="I100" s="3480">
        <v>1095</v>
      </c>
      <c r="J100" s="3481">
        <v>455697.84</v>
      </c>
      <c r="L100" s="3478">
        <f t="shared" si="1"/>
        <v>10.415343562832337</v>
      </c>
    </row>
    <row r="101" spans="1:12">
      <c r="A101" s="3478" t="s">
        <v>3541</v>
      </c>
      <c r="B101" s="3478" t="s">
        <v>3542</v>
      </c>
      <c r="C101" s="3478" t="s">
        <v>3643</v>
      </c>
      <c r="D101" s="3478" t="s">
        <v>3544</v>
      </c>
      <c r="E101" s="3478" t="s">
        <v>3551</v>
      </c>
      <c r="F101" s="3478">
        <v>117.95</v>
      </c>
      <c r="G101" s="3479">
        <v>44805</v>
      </c>
      <c r="H101" s="3479">
        <v>45900</v>
      </c>
      <c r="I101" s="3480">
        <v>1065</v>
      </c>
      <c r="J101" s="3481">
        <v>2094484.32</v>
      </c>
      <c r="L101" s="3478">
        <f t="shared" si="1"/>
        <v>48.650387498766023</v>
      </c>
    </row>
    <row r="102" spans="1:12">
      <c r="A102" s="3478" t="s">
        <v>3541</v>
      </c>
      <c r="B102" s="3478" t="s">
        <v>3542</v>
      </c>
      <c r="C102" s="3478" t="s">
        <v>3644</v>
      </c>
      <c r="D102" s="3478" t="s">
        <v>3544</v>
      </c>
      <c r="E102" s="3478" t="s">
        <v>3551</v>
      </c>
      <c r="F102" s="3478">
        <v>117.49</v>
      </c>
      <c r="G102" s="3479">
        <v>44977</v>
      </c>
      <c r="H102" s="3479">
        <v>46112</v>
      </c>
      <c r="I102" s="3480">
        <v>1090</v>
      </c>
      <c r="J102" s="3481">
        <v>838878.6</v>
      </c>
      <c r="L102" s="3478">
        <f t="shared" si="1"/>
        <v>19.561643835616437</v>
      </c>
    </row>
    <row r="103" spans="1:12">
      <c r="A103" s="3478" t="s">
        <v>3541</v>
      </c>
      <c r="B103" s="3478" t="s">
        <v>3542</v>
      </c>
      <c r="C103" s="3478" t="s">
        <v>3645</v>
      </c>
      <c r="D103" s="3478" t="s">
        <v>3544</v>
      </c>
      <c r="E103" s="3478" t="s">
        <v>3551</v>
      </c>
      <c r="F103" s="3478">
        <v>117.06</v>
      </c>
      <c r="G103" s="3479">
        <v>44225</v>
      </c>
      <c r="H103" s="3479">
        <v>45382</v>
      </c>
      <c r="I103" s="3480">
        <v>1080</v>
      </c>
      <c r="J103" s="3481">
        <v>753996.84</v>
      </c>
      <c r="L103" s="3478">
        <f t="shared" si="1"/>
        <v>17.64688849413367</v>
      </c>
    </row>
    <row r="104" spans="1:12">
      <c r="A104" s="3478" t="s">
        <v>3541</v>
      </c>
      <c r="B104" s="3478" t="s">
        <v>3542</v>
      </c>
      <c r="C104" s="3478" t="s">
        <v>3646</v>
      </c>
      <c r="D104" s="3478" t="s">
        <v>3544</v>
      </c>
      <c r="E104" s="3478" t="s">
        <v>3551</v>
      </c>
      <c r="F104" s="3478">
        <v>114.23</v>
      </c>
      <c r="G104" s="3479">
        <v>44260</v>
      </c>
      <c r="H104" s="3479">
        <v>45382</v>
      </c>
      <c r="I104" s="3480">
        <v>1080</v>
      </c>
      <c r="J104" s="3481">
        <v>417094.2</v>
      </c>
      <c r="L104" s="3478">
        <f t="shared" si="1"/>
        <v>10.003710370449431</v>
      </c>
    </row>
    <row r="105" spans="1:12">
      <c r="A105" s="3478" t="s">
        <v>3541</v>
      </c>
      <c r="B105" s="3478" t="s">
        <v>3542</v>
      </c>
      <c r="C105" s="3478" t="s">
        <v>3647</v>
      </c>
      <c r="D105" s="3478" t="s">
        <v>3544</v>
      </c>
      <c r="E105" s="3478" t="s">
        <v>3551</v>
      </c>
      <c r="F105" s="3478">
        <v>112.85</v>
      </c>
      <c r="G105" s="3479">
        <v>44866</v>
      </c>
      <c r="H105" s="3479">
        <v>45961</v>
      </c>
      <c r="I105" s="3480">
        <v>1037</v>
      </c>
      <c r="J105" s="3481">
        <v>406260</v>
      </c>
      <c r="L105" s="3478">
        <f t="shared" si="1"/>
        <v>9.8630136986301391</v>
      </c>
    </row>
    <row r="106" spans="1:12">
      <c r="A106" s="3478" t="s">
        <v>3541</v>
      </c>
      <c r="B106" s="3478" t="s">
        <v>3542</v>
      </c>
      <c r="C106" s="3478" t="s">
        <v>3648</v>
      </c>
      <c r="D106" s="3478" t="s">
        <v>3544</v>
      </c>
      <c r="E106" s="3478" t="s">
        <v>3551</v>
      </c>
      <c r="F106" s="3478">
        <v>112.1</v>
      </c>
      <c r="G106" s="3479">
        <v>44967</v>
      </c>
      <c r="H106" s="3479">
        <v>45322</v>
      </c>
      <c r="I106" s="3480">
        <v>355</v>
      </c>
      <c r="J106" s="3481">
        <v>181602</v>
      </c>
      <c r="L106" s="3478">
        <f t="shared" si="1"/>
        <v>4.4383561643835616</v>
      </c>
    </row>
    <row r="107" spans="1:12">
      <c r="A107" s="3478" t="s">
        <v>3541</v>
      </c>
      <c r="B107" s="3478" t="s">
        <v>3542</v>
      </c>
      <c r="C107" s="3478" t="s">
        <v>3649</v>
      </c>
      <c r="D107" s="3478" t="s">
        <v>3544</v>
      </c>
      <c r="E107" s="3478" t="s">
        <v>3551</v>
      </c>
      <c r="F107" s="3478">
        <v>108.59</v>
      </c>
      <c r="G107" s="3479">
        <v>44550</v>
      </c>
      <c r="H107" s="3479">
        <v>45657</v>
      </c>
      <c r="I107" s="3480">
        <v>1081</v>
      </c>
      <c r="J107" s="3481">
        <v>672731.88</v>
      </c>
      <c r="L107" s="3478">
        <f t="shared" si="1"/>
        <v>16.97302736067677</v>
      </c>
    </row>
    <row r="108" spans="1:12">
      <c r="A108" s="3478" t="s">
        <v>3541</v>
      </c>
      <c r="B108" s="3478" t="s">
        <v>3542</v>
      </c>
      <c r="C108" s="3478" t="s">
        <v>3650</v>
      </c>
      <c r="D108" s="3478" t="s">
        <v>3544</v>
      </c>
      <c r="E108" s="3478" t="s">
        <v>3551</v>
      </c>
      <c r="F108" s="3478">
        <v>108.08</v>
      </c>
      <c r="G108" s="3479">
        <v>44140</v>
      </c>
      <c r="H108" s="3479">
        <v>45747</v>
      </c>
      <c r="I108" s="3480">
        <v>1445</v>
      </c>
      <c r="J108" s="3481">
        <v>671176.8</v>
      </c>
      <c r="L108" s="3478">
        <f t="shared" si="1"/>
        <v>17.013698630136986</v>
      </c>
    </row>
    <row r="109" spans="1:12">
      <c r="A109" s="3478" t="s">
        <v>3541</v>
      </c>
      <c r="B109" s="3478" t="s">
        <v>3542</v>
      </c>
      <c r="C109" s="3478" t="s">
        <v>3651</v>
      </c>
      <c r="D109" s="3478" t="s">
        <v>3544</v>
      </c>
      <c r="E109" s="3478" t="s">
        <v>3551</v>
      </c>
      <c r="F109" s="3478">
        <v>107.89</v>
      </c>
      <c r="G109" s="3479">
        <v>44271</v>
      </c>
      <c r="H109" s="3479">
        <v>45382</v>
      </c>
      <c r="I109" s="3480">
        <v>1080</v>
      </c>
      <c r="J109" s="3481">
        <v>835620.24</v>
      </c>
      <c r="L109" s="3478">
        <f t="shared" si="1"/>
        <v>21.219487631364771</v>
      </c>
    </row>
    <row r="110" spans="1:12">
      <c r="A110" s="3478" t="s">
        <v>3541</v>
      </c>
      <c r="B110" s="3478" t="s">
        <v>3542</v>
      </c>
      <c r="C110" s="3478" t="s">
        <v>3652</v>
      </c>
      <c r="D110" s="3478" t="s">
        <v>3544</v>
      </c>
      <c r="E110" s="3478" t="s">
        <v>3551</v>
      </c>
      <c r="F110" s="3478">
        <v>107.87</v>
      </c>
      <c r="G110" s="3479">
        <v>44153</v>
      </c>
      <c r="H110" s="3479">
        <v>45747</v>
      </c>
      <c r="I110" s="3480">
        <v>1445</v>
      </c>
      <c r="J110" s="3481">
        <v>1621599.24</v>
      </c>
      <c r="L110" s="3478">
        <f t="shared" si="1"/>
        <v>41.186035448554897</v>
      </c>
    </row>
    <row r="111" spans="1:12">
      <c r="A111" s="3478" t="s">
        <v>3541</v>
      </c>
      <c r="B111" s="3478" t="s">
        <v>3542</v>
      </c>
      <c r="C111" s="3478" t="s">
        <v>3653</v>
      </c>
      <c r="D111" s="3478" t="s">
        <v>3544</v>
      </c>
      <c r="E111" s="3478" t="s">
        <v>3551</v>
      </c>
      <c r="F111" s="3478">
        <v>106.91</v>
      </c>
      <c r="G111" s="3479">
        <v>44225</v>
      </c>
      <c r="H111" s="3479">
        <v>45382</v>
      </c>
      <c r="I111" s="3480">
        <v>1080</v>
      </c>
      <c r="J111" s="3481">
        <v>739618.92</v>
      </c>
      <c r="L111" s="3478">
        <f t="shared" si="1"/>
        <v>18.953822892895445</v>
      </c>
    </row>
    <row r="112" spans="1:12">
      <c r="A112" s="3478" t="s">
        <v>3541</v>
      </c>
      <c r="B112" s="3478" t="s">
        <v>3542</v>
      </c>
      <c r="C112" s="3478" t="s">
        <v>3654</v>
      </c>
      <c r="D112" s="3478" t="s">
        <v>3544</v>
      </c>
      <c r="E112" s="3478" t="s">
        <v>3551</v>
      </c>
      <c r="F112" s="3478">
        <v>106.29</v>
      </c>
      <c r="G112" s="3479">
        <v>44189</v>
      </c>
      <c r="H112" s="3479">
        <v>45397</v>
      </c>
      <c r="I112" s="3480">
        <v>1095</v>
      </c>
      <c r="J112" s="3481">
        <v>1085380.8</v>
      </c>
      <c r="L112" s="3478">
        <f t="shared" si="1"/>
        <v>27.976724314585191</v>
      </c>
    </row>
    <row r="113" spans="1:12">
      <c r="A113" s="3478" t="s">
        <v>3541</v>
      </c>
      <c r="B113" s="3478" t="s">
        <v>3542</v>
      </c>
      <c r="C113" s="3478" t="s">
        <v>3655</v>
      </c>
      <c r="D113" s="3478" t="s">
        <v>3544</v>
      </c>
      <c r="E113" s="3478" t="s">
        <v>3551</v>
      </c>
      <c r="F113" s="3478">
        <v>105.63</v>
      </c>
      <c r="G113" s="3479">
        <v>44285</v>
      </c>
      <c r="H113" s="3479">
        <v>45382</v>
      </c>
      <c r="I113" s="3480">
        <v>1080</v>
      </c>
      <c r="J113" s="3481">
        <v>278863.2</v>
      </c>
      <c r="L113" s="3478">
        <f t="shared" si="1"/>
        <v>7.2328767123287676</v>
      </c>
    </row>
    <row r="114" spans="1:12">
      <c r="A114" s="3478" t="s">
        <v>3541</v>
      </c>
      <c r="B114" s="3478" t="s">
        <v>3542</v>
      </c>
      <c r="C114" s="3478" t="s">
        <v>3656</v>
      </c>
      <c r="D114" s="3478" t="s">
        <v>3544</v>
      </c>
      <c r="E114" s="3478" t="s">
        <v>3551</v>
      </c>
      <c r="F114" s="3478">
        <v>105.57</v>
      </c>
      <c r="G114" s="3479">
        <v>44253</v>
      </c>
      <c r="H114" s="3479">
        <v>45397</v>
      </c>
      <c r="I114" s="3480">
        <v>1095</v>
      </c>
      <c r="J114" s="3481">
        <v>948164.16</v>
      </c>
      <c r="L114" s="3478">
        <f t="shared" si="1"/>
        <v>24.606517262453924</v>
      </c>
    </row>
    <row r="115" spans="1:12">
      <c r="A115" s="3478" t="s">
        <v>3541</v>
      </c>
      <c r="B115" s="3478" t="s">
        <v>3542</v>
      </c>
      <c r="C115" s="3478" t="s">
        <v>3657</v>
      </c>
      <c r="D115" s="3478" t="s">
        <v>3544</v>
      </c>
      <c r="E115" s="3478" t="s">
        <v>3551</v>
      </c>
      <c r="F115" s="3478">
        <v>104.02</v>
      </c>
      <c r="G115" s="3479">
        <v>44147</v>
      </c>
      <c r="H115" s="3479">
        <v>45230</v>
      </c>
      <c r="I115" s="3480">
        <v>928</v>
      </c>
      <c r="J115" s="3481">
        <v>649084.80000000005</v>
      </c>
      <c r="L115" s="3478">
        <f t="shared" si="1"/>
        <v>17.095890410958905</v>
      </c>
    </row>
    <row r="116" spans="1:12">
      <c r="A116" s="3478" t="s">
        <v>3541</v>
      </c>
      <c r="B116" s="3478" t="s">
        <v>3542</v>
      </c>
      <c r="C116" s="3478" t="s">
        <v>3595</v>
      </c>
      <c r="D116" s="3478" t="s">
        <v>3544</v>
      </c>
      <c r="E116" s="3478" t="s">
        <v>3551</v>
      </c>
      <c r="F116" s="3478">
        <v>102.98</v>
      </c>
      <c r="G116" s="3479">
        <v>44257</v>
      </c>
      <c r="H116" s="3479">
        <v>45397</v>
      </c>
      <c r="I116" s="3480">
        <v>1095</v>
      </c>
      <c r="J116" s="3481">
        <v>438200.52</v>
      </c>
      <c r="L116" s="3478">
        <f t="shared" si="1"/>
        <v>11.658082830287567</v>
      </c>
    </row>
    <row r="117" spans="1:12">
      <c r="A117" s="3478" t="s">
        <v>3541</v>
      </c>
      <c r="B117" s="3478" t="s">
        <v>3542</v>
      </c>
      <c r="C117" s="3478" t="s">
        <v>3658</v>
      </c>
      <c r="D117" s="3478" t="s">
        <v>3544</v>
      </c>
      <c r="E117" s="3478" t="s">
        <v>3551</v>
      </c>
      <c r="F117" s="3478">
        <v>102.44</v>
      </c>
      <c r="G117" s="3479">
        <v>45037</v>
      </c>
      <c r="H117" s="3479">
        <v>46130</v>
      </c>
      <c r="I117" s="3480">
        <v>1064</v>
      </c>
      <c r="J117" s="3481">
        <v>676104</v>
      </c>
      <c r="L117" s="3478">
        <f t="shared" si="1"/>
        <v>18.082191780821919</v>
      </c>
    </row>
    <row r="118" spans="1:12">
      <c r="A118" s="3478" t="s">
        <v>3541</v>
      </c>
      <c r="B118" s="3478" t="s">
        <v>3542</v>
      </c>
      <c r="C118" s="3478" t="s">
        <v>3659</v>
      </c>
      <c r="D118" s="3478" t="s">
        <v>3544</v>
      </c>
      <c r="E118" s="3478" t="s">
        <v>3551</v>
      </c>
      <c r="F118" s="3478">
        <v>102.27</v>
      </c>
      <c r="G118" s="3479">
        <v>45035</v>
      </c>
      <c r="H118" s="3479">
        <v>46173</v>
      </c>
      <c r="I118" s="3480">
        <v>1098</v>
      </c>
      <c r="J118" s="3481">
        <v>447942.6</v>
      </c>
      <c r="L118" s="3478">
        <f t="shared" si="1"/>
        <v>12</v>
      </c>
    </row>
    <row r="119" spans="1:12">
      <c r="A119" s="3478" t="s">
        <v>3541</v>
      </c>
      <c r="B119" s="3478" t="s">
        <v>3542</v>
      </c>
      <c r="C119" s="3478" t="s">
        <v>3660</v>
      </c>
      <c r="D119" s="3478" t="s">
        <v>3544</v>
      </c>
      <c r="E119" s="3478" t="s">
        <v>3551</v>
      </c>
      <c r="F119" s="3478">
        <v>99.28</v>
      </c>
      <c r="G119" s="3479">
        <v>44638</v>
      </c>
      <c r="H119" s="3479">
        <v>45747</v>
      </c>
      <c r="I119" s="3480">
        <v>1078</v>
      </c>
      <c r="J119" s="3481">
        <v>774384</v>
      </c>
      <c r="L119" s="3478">
        <f t="shared" si="1"/>
        <v>21.36986301369863</v>
      </c>
    </row>
    <row r="120" spans="1:12">
      <c r="A120" s="3478" t="s">
        <v>3541</v>
      </c>
      <c r="B120" s="3478" t="s">
        <v>3542</v>
      </c>
      <c r="C120" s="3478" t="s">
        <v>3661</v>
      </c>
      <c r="D120" s="3478" t="s">
        <v>3544</v>
      </c>
      <c r="E120" s="3478" t="s">
        <v>3551</v>
      </c>
      <c r="F120" s="3478">
        <v>97.73</v>
      </c>
      <c r="G120" s="3479">
        <v>44190</v>
      </c>
      <c r="H120" s="3479">
        <v>46127</v>
      </c>
      <c r="I120" s="3480">
        <v>1825</v>
      </c>
      <c r="J120" s="3481">
        <v>921749.04</v>
      </c>
      <c r="L120" s="3478">
        <f t="shared" si="1"/>
        <v>25.839965574710309</v>
      </c>
    </row>
    <row r="121" spans="1:12">
      <c r="A121" s="3478" t="s">
        <v>3541</v>
      </c>
      <c r="B121" s="3478" t="s">
        <v>3542</v>
      </c>
      <c r="C121" s="3478" t="s">
        <v>3662</v>
      </c>
      <c r="D121" s="3478" t="s">
        <v>3544</v>
      </c>
      <c r="E121" s="3478" t="s">
        <v>3551</v>
      </c>
      <c r="F121" s="3478">
        <v>96.95</v>
      </c>
      <c r="G121" s="3479">
        <v>44774</v>
      </c>
      <c r="H121" s="3479">
        <v>46649</v>
      </c>
      <c r="I121" s="3480">
        <v>1819</v>
      </c>
      <c r="J121" s="3481">
        <v>732942</v>
      </c>
      <c r="L121" s="3478">
        <f t="shared" si="1"/>
        <v>20.712328767123289</v>
      </c>
    </row>
    <row r="122" spans="1:12">
      <c r="A122" s="3478" t="s">
        <v>3541</v>
      </c>
      <c r="B122" s="3478" t="s">
        <v>3542</v>
      </c>
      <c r="C122" s="3478" t="s">
        <v>3663</v>
      </c>
      <c r="D122" s="3478" t="s">
        <v>3544</v>
      </c>
      <c r="E122" s="3478" t="s">
        <v>3551</v>
      </c>
      <c r="F122" s="3478">
        <v>96.24</v>
      </c>
      <c r="G122" s="3479">
        <v>44866</v>
      </c>
      <c r="H122" s="3479">
        <v>45596</v>
      </c>
      <c r="I122" s="3480">
        <v>673</v>
      </c>
      <c r="J122" s="3481">
        <v>296019.24</v>
      </c>
      <c r="L122" s="3478">
        <f t="shared" si="1"/>
        <v>8.4269702456188291</v>
      </c>
    </row>
    <row r="123" spans="1:12">
      <c r="A123" s="3478" t="s">
        <v>3541</v>
      </c>
      <c r="B123" s="3478" t="s">
        <v>3542</v>
      </c>
      <c r="C123" s="3478" t="s">
        <v>3664</v>
      </c>
      <c r="D123" s="3478" t="s">
        <v>3544</v>
      </c>
      <c r="E123" s="3478" t="s">
        <v>3551</v>
      </c>
      <c r="F123" s="3478">
        <v>94.02</v>
      </c>
      <c r="G123" s="3479">
        <v>44195</v>
      </c>
      <c r="H123" s="3479">
        <v>45382</v>
      </c>
      <c r="I123" s="3480">
        <v>1080</v>
      </c>
      <c r="J123" s="3481">
        <v>415072.08</v>
      </c>
      <c r="L123" s="3478">
        <f t="shared" si="1"/>
        <v>12.095126364836396</v>
      </c>
    </row>
    <row r="124" spans="1:12">
      <c r="A124" s="3478" t="s">
        <v>3541</v>
      </c>
      <c r="B124" s="3478" t="s">
        <v>3542</v>
      </c>
      <c r="C124" s="3478" t="s">
        <v>3665</v>
      </c>
      <c r="D124" s="3478" t="s">
        <v>3544</v>
      </c>
      <c r="E124" s="3478" t="s">
        <v>3551</v>
      </c>
      <c r="F124" s="3478">
        <v>92.58</v>
      </c>
      <c r="G124" s="3479">
        <v>44897</v>
      </c>
      <c r="H124" s="3479">
        <v>45991</v>
      </c>
      <c r="I124" s="3480">
        <v>1068</v>
      </c>
      <c r="J124" s="3481">
        <v>607780.31999999995</v>
      </c>
      <c r="L124" s="3478">
        <f t="shared" si="1"/>
        <v>17.986082973037757</v>
      </c>
    </row>
    <row r="125" spans="1:12">
      <c r="A125" s="3478" t="s">
        <v>3541</v>
      </c>
      <c r="B125" s="3478" t="s">
        <v>3542</v>
      </c>
      <c r="C125" s="3478" t="s">
        <v>3666</v>
      </c>
      <c r="D125" s="3478" t="s">
        <v>3544</v>
      </c>
      <c r="E125" s="3478" t="s">
        <v>3551</v>
      </c>
      <c r="F125" s="3478">
        <v>92.35</v>
      </c>
      <c r="G125" s="3479">
        <v>44252</v>
      </c>
      <c r="H125" s="3479">
        <v>45382</v>
      </c>
      <c r="I125" s="3480">
        <v>1080</v>
      </c>
      <c r="J125" s="3481">
        <v>576264</v>
      </c>
      <c r="L125" s="3478">
        <f t="shared" si="1"/>
        <v>17.095890410958905</v>
      </c>
    </row>
    <row r="126" spans="1:12">
      <c r="A126" s="3478" t="s">
        <v>3541</v>
      </c>
      <c r="B126" s="3478" t="s">
        <v>3542</v>
      </c>
      <c r="C126" s="3478" t="s">
        <v>3667</v>
      </c>
      <c r="D126" s="3478" t="s">
        <v>3544</v>
      </c>
      <c r="E126" s="3478" t="s">
        <v>3551</v>
      </c>
      <c r="F126" s="3478">
        <v>89.92</v>
      </c>
      <c r="G126" s="3479">
        <v>44204</v>
      </c>
      <c r="H126" s="3479">
        <v>45382</v>
      </c>
      <c r="I126" s="3480">
        <v>1080</v>
      </c>
      <c r="J126" s="3481">
        <v>497697.48</v>
      </c>
      <c r="L126" s="3478">
        <f t="shared" si="1"/>
        <v>15.164087407985178</v>
      </c>
    </row>
    <row r="127" spans="1:12">
      <c r="A127" s="3478" t="s">
        <v>3541</v>
      </c>
      <c r="B127" s="3478" t="s">
        <v>3542</v>
      </c>
      <c r="C127" s="3478" t="s">
        <v>3668</v>
      </c>
      <c r="D127" s="3478" t="s">
        <v>3544</v>
      </c>
      <c r="E127" s="3478" t="s">
        <v>3551</v>
      </c>
      <c r="F127" s="3478">
        <v>88.42</v>
      </c>
      <c r="G127" s="3479">
        <v>44774</v>
      </c>
      <c r="H127" s="3479">
        <v>45169</v>
      </c>
      <c r="I127" s="3480">
        <v>376</v>
      </c>
      <c r="J127" s="3481">
        <v>1007988</v>
      </c>
      <c r="L127" s="3478">
        <f t="shared" si="1"/>
        <v>31.232876712328768</v>
      </c>
    </row>
    <row r="128" spans="1:12">
      <c r="A128" s="3478" t="s">
        <v>3541</v>
      </c>
      <c r="B128" s="3478" t="s">
        <v>3542</v>
      </c>
      <c r="C128" s="3478" t="s">
        <v>3669</v>
      </c>
      <c r="D128" s="3478" t="s">
        <v>3544</v>
      </c>
      <c r="E128" s="3478" t="s">
        <v>3551</v>
      </c>
      <c r="F128" s="3478">
        <v>87.62</v>
      </c>
      <c r="G128" s="3479">
        <v>44880</v>
      </c>
      <c r="H128" s="3479">
        <v>45961</v>
      </c>
      <c r="I128" s="3480">
        <v>1038</v>
      </c>
      <c r="J128" s="3481">
        <v>479456.64</v>
      </c>
      <c r="L128" s="3478">
        <f t="shared" si="1"/>
        <v>14.991780821917809</v>
      </c>
    </row>
    <row r="129" spans="1:12">
      <c r="A129" s="3478" t="s">
        <v>3541</v>
      </c>
      <c r="B129" s="3478" t="s">
        <v>3542</v>
      </c>
      <c r="C129" s="3478" t="s">
        <v>3655</v>
      </c>
      <c r="D129" s="3478" t="s">
        <v>3544</v>
      </c>
      <c r="E129" s="3478" t="s">
        <v>3551</v>
      </c>
      <c r="F129" s="3478">
        <v>87.54</v>
      </c>
      <c r="G129" s="3479">
        <v>44272</v>
      </c>
      <c r="H129" s="3479">
        <v>45382</v>
      </c>
      <c r="I129" s="3480">
        <v>1080</v>
      </c>
      <c r="J129" s="3481">
        <v>474674.4</v>
      </c>
      <c r="L129" s="3478">
        <f t="shared" si="1"/>
        <v>14.855812294027622</v>
      </c>
    </row>
    <row r="130" spans="1:12">
      <c r="A130" s="3478" t="s">
        <v>3541</v>
      </c>
      <c r="B130" s="3478" t="s">
        <v>3542</v>
      </c>
      <c r="C130" s="3478" t="s">
        <v>3595</v>
      </c>
      <c r="D130" s="3478" t="s">
        <v>3544</v>
      </c>
      <c r="E130" s="3478" t="s">
        <v>3551</v>
      </c>
      <c r="F130" s="3478">
        <v>85.52</v>
      </c>
      <c r="G130" s="3479">
        <v>45097</v>
      </c>
      <c r="H130" s="3479">
        <v>45828</v>
      </c>
      <c r="I130" s="3480">
        <v>701</v>
      </c>
      <c r="J130" s="3481">
        <v>719058.84</v>
      </c>
      <c r="L130" s="3478">
        <f t="shared" si="1"/>
        <v>23.035830439406947</v>
      </c>
    </row>
    <row r="131" spans="1:12">
      <c r="A131" s="3478" t="s">
        <v>3541</v>
      </c>
      <c r="B131" s="3478" t="s">
        <v>3542</v>
      </c>
      <c r="C131" s="3478" t="s">
        <v>3670</v>
      </c>
      <c r="D131" s="3478" t="s">
        <v>3544</v>
      </c>
      <c r="E131" s="3478" t="s">
        <v>3551</v>
      </c>
      <c r="F131" s="3478">
        <v>82.66</v>
      </c>
      <c r="G131" s="3479">
        <v>44224</v>
      </c>
      <c r="H131" s="3479">
        <v>45397</v>
      </c>
      <c r="I131" s="3480">
        <v>1095</v>
      </c>
      <c r="J131" s="3481">
        <v>346180.08</v>
      </c>
      <c r="L131" s="3478">
        <f t="shared" ref="L131:L177" si="2">J131/365/F131</f>
        <v>11.473972602739726</v>
      </c>
    </row>
    <row r="132" spans="1:12">
      <c r="A132" s="3478" t="s">
        <v>3541</v>
      </c>
      <c r="B132" s="3478" t="s">
        <v>3542</v>
      </c>
      <c r="C132" s="3478" t="s">
        <v>3595</v>
      </c>
      <c r="D132" s="3478" t="s">
        <v>3544</v>
      </c>
      <c r="E132" s="3478" t="s">
        <v>3551</v>
      </c>
      <c r="F132" s="3478">
        <v>81.540000000000006</v>
      </c>
      <c r="G132" s="3479">
        <v>44257</v>
      </c>
      <c r="H132" s="3479">
        <v>45397</v>
      </c>
      <c r="I132" s="3480">
        <v>1095</v>
      </c>
      <c r="J132" s="3481">
        <v>341685.24</v>
      </c>
      <c r="L132" s="3478">
        <f t="shared" si="2"/>
        <v>11.480548751600189</v>
      </c>
    </row>
    <row r="133" spans="1:12">
      <c r="A133" s="3478" t="s">
        <v>3541</v>
      </c>
      <c r="B133" s="3478" t="s">
        <v>3542</v>
      </c>
      <c r="C133" s="3478" t="s">
        <v>3652</v>
      </c>
      <c r="D133" s="3478" t="s">
        <v>3544</v>
      </c>
      <c r="E133" s="3478" t="s">
        <v>3551</v>
      </c>
      <c r="F133" s="3478">
        <v>80.52</v>
      </c>
      <c r="G133" s="3479">
        <v>44770</v>
      </c>
      <c r="H133" s="3479">
        <v>45852</v>
      </c>
      <c r="I133" s="3480">
        <v>1050</v>
      </c>
      <c r="J133" s="3481">
        <v>405820.8</v>
      </c>
      <c r="L133" s="3478">
        <f t="shared" si="2"/>
        <v>13.808219178082192</v>
      </c>
    </row>
    <row r="134" spans="1:12">
      <c r="A134" s="3478" t="s">
        <v>3541</v>
      </c>
      <c r="B134" s="3478" t="s">
        <v>3542</v>
      </c>
      <c r="C134" s="3478" t="s">
        <v>3671</v>
      </c>
      <c r="D134" s="3478" t="s">
        <v>3544</v>
      </c>
      <c r="E134" s="3478" t="s">
        <v>3551</v>
      </c>
      <c r="F134" s="3478">
        <v>78.73</v>
      </c>
      <c r="G134" s="3479">
        <v>44264</v>
      </c>
      <c r="H134" s="3479">
        <v>45382</v>
      </c>
      <c r="I134" s="3480">
        <v>1080</v>
      </c>
      <c r="J134" s="3481">
        <v>350033.64</v>
      </c>
      <c r="L134" s="3478">
        <f t="shared" si="2"/>
        <v>12.180824005748796</v>
      </c>
    </row>
    <row r="135" spans="1:12">
      <c r="A135" s="3478" t="s">
        <v>3541</v>
      </c>
      <c r="B135" s="3478" t="s">
        <v>3542</v>
      </c>
      <c r="C135" s="3478" t="s">
        <v>3672</v>
      </c>
      <c r="D135" s="3478" t="s">
        <v>3544</v>
      </c>
      <c r="E135" s="3478" t="s">
        <v>3551</v>
      </c>
      <c r="F135" s="3478">
        <v>77.180000000000007</v>
      </c>
      <c r="G135" s="3479">
        <v>44179</v>
      </c>
      <c r="H135" s="3479">
        <v>45382</v>
      </c>
      <c r="I135" s="3480">
        <v>1080</v>
      </c>
      <c r="J135" s="3481">
        <v>840306.36</v>
      </c>
      <c r="L135" s="3478">
        <f t="shared" si="2"/>
        <v>29.829090508933039</v>
      </c>
    </row>
    <row r="136" spans="1:12">
      <c r="A136" s="3478" t="s">
        <v>3541</v>
      </c>
      <c r="B136" s="3478" t="s">
        <v>3542</v>
      </c>
      <c r="C136" s="3478" t="s">
        <v>3673</v>
      </c>
      <c r="D136" s="3478" t="s">
        <v>3544</v>
      </c>
      <c r="E136" s="3478" t="s">
        <v>3551</v>
      </c>
      <c r="F136" s="3478">
        <v>76.23</v>
      </c>
      <c r="G136" s="3479">
        <v>44258</v>
      </c>
      <c r="H136" s="3479">
        <v>45747</v>
      </c>
      <c r="I136" s="3480">
        <v>1445</v>
      </c>
      <c r="J136" s="3481">
        <v>509521.32</v>
      </c>
      <c r="L136" s="3478">
        <f t="shared" si="2"/>
        <v>18.312328767123287</v>
      </c>
    </row>
    <row r="137" spans="1:12">
      <c r="A137" s="3478" t="s">
        <v>3541</v>
      </c>
      <c r="B137" s="3478" t="s">
        <v>3542</v>
      </c>
      <c r="C137" s="3478" t="s">
        <v>3674</v>
      </c>
      <c r="D137" s="3478" t="s">
        <v>3544</v>
      </c>
      <c r="E137" s="3478" t="s">
        <v>3551</v>
      </c>
      <c r="F137" s="3478">
        <v>75.84</v>
      </c>
      <c r="G137" s="3479">
        <v>45046</v>
      </c>
      <c r="H137" s="3479">
        <v>46141</v>
      </c>
      <c r="I137" s="3480">
        <v>1069</v>
      </c>
      <c r="J137" s="3481">
        <v>427737.59999999998</v>
      </c>
      <c r="L137" s="3478">
        <f t="shared" si="2"/>
        <v>15.452054794520548</v>
      </c>
    </row>
    <row r="138" spans="1:12">
      <c r="A138" s="3478" t="s">
        <v>3541</v>
      </c>
      <c r="B138" s="3478" t="s">
        <v>3542</v>
      </c>
      <c r="C138" s="3478" t="s">
        <v>3595</v>
      </c>
      <c r="D138" s="3478" t="s">
        <v>3544</v>
      </c>
      <c r="E138" s="3478" t="s">
        <v>3551</v>
      </c>
      <c r="F138" s="3478">
        <v>66.91</v>
      </c>
      <c r="G138" s="3479">
        <v>44902</v>
      </c>
      <c r="H138" s="3479">
        <v>45991</v>
      </c>
      <c r="I138" s="3480">
        <v>968</v>
      </c>
      <c r="J138" s="3481">
        <v>285582.59999999998</v>
      </c>
      <c r="L138" s="3478">
        <f t="shared" si="2"/>
        <v>11.693589630724567</v>
      </c>
    </row>
    <row r="139" spans="1:12">
      <c r="A139" s="3478" t="s">
        <v>3541</v>
      </c>
      <c r="B139" s="3478" t="s">
        <v>3542</v>
      </c>
      <c r="C139" s="3478" t="s">
        <v>3675</v>
      </c>
      <c r="D139" s="3478" t="s">
        <v>3544</v>
      </c>
      <c r="E139" s="3478" t="s">
        <v>3551</v>
      </c>
      <c r="F139" s="3478">
        <v>66.069999999999993</v>
      </c>
      <c r="G139" s="3479">
        <v>44789</v>
      </c>
      <c r="H139" s="3479">
        <v>45900</v>
      </c>
      <c r="I139" s="3480">
        <v>1082</v>
      </c>
      <c r="J139" s="3481">
        <v>412276.8</v>
      </c>
      <c r="L139" s="3478">
        <f t="shared" si="2"/>
        <v>17.095890410958905</v>
      </c>
    </row>
    <row r="140" spans="1:12">
      <c r="A140" s="3478" t="s">
        <v>3541</v>
      </c>
      <c r="B140" s="3478" t="s">
        <v>3542</v>
      </c>
      <c r="C140" s="3478" t="s">
        <v>3620</v>
      </c>
      <c r="D140" s="3478" t="s">
        <v>3544</v>
      </c>
      <c r="E140" s="3478" t="s">
        <v>3551</v>
      </c>
      <c r="F140" s="3478">
        <v>64.400000000000006</v>
      </c>
      <c r="G140" s="3479">
        <v>44207</v>
      </c>
      <c r="H140" s="3479">
        <v>45382</v>
      </c>
      <c r="I140" s="3480">
        <v>1080</v>
      </c>
      <c r="J140" s="3481">
        <v>383308.79999999999</v>
      </c>
      <c r="L140" s="3478">
        <f t="shared" si="2"/>
        <v>16.30684931506849</v>
      </c>
    </row>
    <row r="141" spans="1:12">
      <c r="A141" s="3478" t="s">
        <v>3541</v>
      </c>
      <c r="B141" s="3478" t="s">
        <v>3542</v>
      </c>
      <c r="C141" s="3478" t="s">
        <v>3676</v>
      </c>
      <c r="D141" s="3478" t="s">
        <v>3544</v>
      </c>
      <c r="E141" s="3478" t="s">
        <v>3551</v>
      </c>
      <c r="F141" s="3478">
        <v>64.16</v>
      </c>
      <c r="G141" s="3479">
        <v>45032</v>
      </c>
      <c r="H141" s="3479">
        <v>45398</v>
      </c>
      <c r="I141" s="3480">
        <v>366</v>
      </c>
      <c r="J141" s="3481">
        <v>454252.79999999999</v>
      </c>
      <c r="L141" s="3478">
        <f t="shared" si="2"/>
        <v>19.397260273972602</v>
      </c>
    </row>
    <row r="142" spans="1:12">
      <c r="A142" s="3478" t="s">
        <v>3541</v>
      </c>
      <c r="B142" s="3478" t="s">
        <v>3542</v>
      </c>
      <c r="C142" s="3478" t="s">
        <v>3677</v>
      </c>
      <c r="D142" s="3478" t="s">
        <v>3544</v>
      </c>
      <c r="E142" s="3478" t="s">
        <v>3551</v>
      </c>
      <c r="F142" s="3478">
        <v>59.72</v>
      </c>
      <c r="G142" s="3479">
        <v>44272</v>
      </c>
      <c r="H142" s="3479">
        <v>45382</v>
      </c>
      <c r="I142" s="3480">
        <v>1080</v>
      </c>
      <c r="J142" s="3481">
        <v>446466.72</v>
      </c>
      <c r="L142" s="3478">
        <f t="shared" si="2"/>
        <v>20.482191780821914</v>
      </c>
    </row>
    <row r="143" spans="1:12">
      <c r="A143" s="3478" t="s">
        <v>3541</v>
      </c>
      <c r="B143" s="3478" t="s">
        <v>3542</v>
      </c>
      <c r="C143" s="3478" t="s">
        <v>3678</v>
      </c>
      <c r="D143" s="3478" t="s">
        <v>3544</v>
      </c>
      <c r="E143" s="3478" t="s">
        <v>3551</v>
      </c>
      <c r="F143" s="3478">
        <v>58.99</v>
      </c>
      <c r="G143" s="3479">
        <v>44547</v>
      </c>
      <c r="H143" s="3479">
        <v>45260</v>
      </c>
      <c r="I143" s="3480">
        <v>690</v>
      </c>
      <c r="J143" s="3481">
        <v>526662.72</v>
      </c>
      <c r="L143" s="3478">
        <f t="shared" si="2"/>
        <v>24.460273972602739</v>
      </c>
    </row>
    <row r="144" spans="1:12">
      <c r="A144" s="3478" t="s">
        <v>3541</v>
      </c>
      <c r="B144" s="3478" t="s">
        <v>3542</v>
      </c>
      <c r="C144" s="3478" t="s">
        <v>3588</v>
      </c>
      <c r="D144" s="3478" t="s">
        <v>3544</v>
      </c>
      <c r="E144" s="3478" t="s">
        <v>3551</v>
      </c>
      <c r="F144" s="3478">
        <v>58.46</v>
      </c>
      <c r="G144" s="3479">
        <v>44144</v>
      </c>
      <c r="H144" s="3479">
        <v>45382</v>
      </c>
      <c r="I144" s="3480">
        <v>1080</v>
      </c>
      <c r="J144" s="3481">
        <v>420912</v>
      </c>
      <c r="L144" s="3478">
        <f t="shared" si="2"/>
        <v>19.726027397260275</v>
      </c>
    </row>
    <row r="145" spans="1:12">
      <c r="A145" s="3478" t="s">
        <v>3541</v>
      </c>
      <c r="B145" s="3478" t="s">
        <v>3542</v>
      </c>
      <c r="C145" s="3478" t="s">
        <v>3679</v>
      </c>
      <c r="D145" s="3478" t="s">
        <v>3544</v>
      </c>
      <c r="E145" s="3478" t="s">
        <v>3551</v>
      </c>
      <c r="F145" s="3478">
        <v>56.75</v>
      </c>
      <c r="G145" s="3479">
        <v>44886</v>
      </c>
      <c r="H145" s="3479">
        <v>45616</v>
      </c>
      <c r="I145" s="3480">
        <v>689</v>
      </c>
      <c r="J145" s="3481">
        <v>408600</v>
      </c>
      <c r="L145" s="3478">
        <f t="shared" si="2"/>
        <v>19.726027397260275</v>
      </c>
    </row>
    <row r="146" spans="1:12">
      <c r="A146" s="3478" t="s">
        <v>3541</v>
      </c>
      <c r="B146" s="3478" t="s">
        <v>3542</v>
      </c>
      <c r="C146" s="3478" t="s">
        <v>3680</v>
      </c>
      <c r="D146" s="3478" t="s">
        <v>3544</v>
      </c>
      <c r="E146" s="3478" t="s">
        <v>3551</v>
      </c>
      <c r="F146" s="3478">
        <v>55.49</v>
      </c>
      <c r="G146" s="3479">
        <v>45078</v>
      </c>
      <c r="H146" s="3479">
        <v>45808</v>
      </c>
      <c r="I146" s="3480">
        <v>702</v>
      </c>
      <c r="J146" s="3481">
        <v>356245.8</v>
      </c>
      <c r="L146" s="3478">
        <f t="shared" si="2"/>
        <v>17.589041095890408</v>
      </c>
    </row>
    <row r="147" spans="1:12">
      <c r="A147" s="3478" t="s">
        <v>3541</v>
      </c>
      <c r="B147" s="3478" t="s">
        <v>3542</v>
      </c>
      <c r="C147" s="3478" t="s">
        <v>3681</v>
      </c>
      <c r="D147" s="3478" t="s">
        <v>3544</v>
      </c>
      <c r="E147" s="3478" t="s">
        <v>3551</v>
      </c>
      <c r="F147" s="3478">
        <v>54.09</v>
      </c>
      <c r="G147" s="3479">
        <v>44772</v>
      </c>
      <c r="H147" s="3479">
        <v>45473</v>
      </c>
      <c r="I147" s="3480">
        <v>691</v>
      </c>
      <c r="J147" s="3481">
        <v>259632</v>
      </c>
      <c r="L147" s="3478">
        <f t="shared" si="2"/>
        <v>13.150684931506849</v>
      </c>
    </row>
    <row r="148" spans="1:12">
      <c r="A148" s="3478" t="s">
        <v>3541</v>
      </c>
      <c r="B148" s="3478" t="s">
        <v>3542</v>
      </c>
      <c r="C148" s="3478" t="s">
        <v>3682</v>
      </c>
      <c r="D148" s="3478" t="s">
        <v>3544</v>
      </c>
      <c r="E148" s="3478" t="s">
        <v>3551</v>
      </c>
      <c r="F148" s="3478">
        <v>54</v>
      </c>
      <c r="G148" s="3479">
        <v>45017</v>
      </c>
      <c r="H148" s="3479">
        <v>45747</v>
      </c>
      <c r="I148" s="3480">
        <v>683</v>
      </c>
      <c r="J148" s="3481">
        <v>777600</v>
      </c>
      <c r="L148" s="3478">
        <f t="shared" si="2"/>
        <v>39.452054794520549</v>
      </c>
    </row>
    <row r="149" spans="1:12">
      <c r="A149" s="3478" t="s">
        <v>3541</v>
      </c>
      <c r="B149" s="3478" t="s">
        <v>3542</v>
      </c>
      <c r="C149" s="3478" t="s">
        <v>3683</v>
      </c>
      <c r="D149" s="3478" t="s">
        <v>3544</v>
      </c>
      <c r="E149" s="3478" t="s">
        <v>3551</v>
      </c>
      <c r="F149" s="3478">
        <v>50.33</v>
      </c>
      <c r="G149" s="3479">
        <v>45014</v>
      </c>
      <c r="H149" s="3479">
        <v>45777</v>
      </c>
      <c r="I149" s="3480">
        <v>731</v>
      </c>
      <c r="J149" s="3481">
        <v>338217.6</v>
      </c>
      <c r="L149" s="3478">
        <f t="shared" si="2"/>
        <v>18.410958904109588</v>
      </c>
    </row>
    <row r="150" spans="1:12">
      <c r="A150" s="3478" t="s">
        <v>3541</v>
      </c>
      <c r="B150" s="3478" t="s">
        <v>3542</v>
      </c>
      <c r="C150" s="3478" t="s">
        <v>3684</v>
      </c>
      <c r="D150" s="3478" t="s">
        <v>3544</v>
      </c>
      <c r="E150" s="3478" t="s">
        <v>3551</v>
      </c>
      <c r="F150" s="3478">
        <v>47.33</v>
      </c>
      <c r="G150" s="3479">
        <v>44471</v>
      </c>
      <c r="H150" s="3479">
        <v>45199</v>
      </c>
      <c r="I150" s="3480">
        <v>708</v>
      </c>
      <c r="J150" s="3481">
        <v>241383</v>
      </c>
      <c r="L150" s="3478">
        <f t="shared" si="2"/>
        <v>13.972602739726026</v>
      </c>
    </row>
    <row r="151" spans="1:12">
      <c r="A151" s="3478" t="s">
        <v>3541</v>
      </c>
      <c r="B151" s="3478" t="s">
        <v>3542</v>
      </c>
      <c r="C151" s="3478" t="s">
        <v>3685</v>
      </c>
      <c r="D151" s="3478" t="s">
        <v>3544</v>
      </c>
      <c r="E151" s="3478" t="s">
        <v>3551</v>
      </c>
      <c r="F151" s="3478">
        <v>44.84</v>
      </c>
      <c r="G151" s="3479">
        <v>45139</v>
      </c>
      <c r="H151" s="3479">
        <v>45869</v>
      </c>
      <c r="I151" s="3480">
        <v>700</v>
      </c>
      <c r="J151" s="3481">
        <v>329304.96000000002</v>
      </c>
      <c r="L151" s="3478">
        <f t="shared" si="2"/>
        <v>20.12054794520548</v>
      </c>
    </row>
    <row r="152" spans="1:12">
      <c r="A152" s="3478" t="s">
        <v>3541</v>
      </c>
      <c r="B152" s="3478" t="s">
        <v>3542</v>
      </c>
      <c r="C152" s="3478" t="s">
        <v>3686</v>
      </c>
      <c r="D152" s="3478" t="s">
        <v>3544</v>
      </c>
      <c r="E152" s="3478" t="s">
        <v>3551</v>
      </c>
      <c r="F152" s="3478">
        <v>40.75</v>
      </c>
      <c r="G152" s="3479">
        <v>44193</v>
      </c>
      <c r="H152" s="3479">
        <v>45397</v>
      </c>
      <c r="I152" s="3480">
        <v>1095</v>
      </c>
      <c r="J152" s="3481">
        <v>1408223.04</v>
      </c>
      <c r="L152" s="3478">
        <f t="shared" si="2"/>
        <v>94.678412639717635</v>
      </c>
    </row>
    <row r="153" spans="1:12">
      <c r="A153" s="3478" t="s">
        <v>3541</v>
      </c>
      <c r="B153" s="3478" t="s">
        <v>3542</v>
      </c>
      <c r="C153" s="3478" t="s">
        <v>3687</v>
      </c>
      <c r="D153" s="3478" t="s">
        <v>3544</v>
      </c>
      <c r="E153" s="3478" t="s">
        <v>3551</v>
      </c>
      <c r="F153" s="3478">
        <v>38.93</v>
      </c>
      <c r="G153" s="3479">
        <v>44501</v>
      </c>
      <c r="H153" s="3479">
        <v>45230</v>
      </c>
      <c r="I153" s="3480">
        <v>704</v>
      </c>
      <c r="J153" s="3481">
        <v>633820.19999999995</v>
      </c>
      <c r="L153" s="3478">
        <f t="shared" si="2"/>
        <v>44.60554067891438</v>
      </c>
    </row>
    <row r="154" spans="1:12">
      <c r="A154" s="3478" t="s">
        <v>3541</v>
      </c>
      <c r="B154" s="3478" t="s">
        <v>3542</v>
      </c>
      <c r="C154" s="3478" t="s">
        <v>3688</v>
      </c>
      <c r="D154" s="3478" t="s">
        <v>3544</v>
      </c>
      <c r="E154" s="3478" t="s">
        <v>3551</v>
      </c>
      <c r="F154" s="3478">
        <v>38.130000000000003</v>
      </c>
      <c r="G154" s="3479">
        <v>45032</v>
      </c>
      <c r="H154" s="3479">
        <v>45398</v>
      </c>
      <c r="I154" s="3480">
        <v>366</v>
      </c>
      <c r="J154" s="3481">
        <v>338594.4</v>
      </c>
      <c r="L154" s="3478">
        <f t="shared" si="2"/>
        <v>24.328767123287669</v>
      </c>
    </row>
    <row r="155" spans="1:12">
      <c r="A155" s="3478" t="s">
        <v>3541</v>
      </c>
      <c r="B155" s="3478" t="s">
        <v>3542</v>
      </c>
      <c r="C155" s="3478" t="s">
        <v>3689</v>
      </c>
      <c r="D155" s="3478" t="s">
        <v>3544</v>
      </c>
      <c r="E155" s="3478" t="s">
        <v>3551</v>
      </c>
      <c r="F155" s="3478">
        <v>35</v>
      </c>
      <c r="G155" s="3479">
        <v>45106</v>
      </c>
      <c r="H155" s="3479">
        <v>45827</v>
      </c>
      <c r="I155" s="3480">
        <v>693</v>
      </c>
      <c r="J155" s="3481">
        <v>336000</v>
      </c>
      <c r="L155" s="3478">
        <f t="shared" si="2"/>
        <v>26.301369863013697</v>
      </c>
    </row>
    <row r="156" spans="1:12">
      <c r="A156" s="3478" t="s">
        <v>3541</v>
      </c>
      <c r="B156" s="3478" t="s">
        <v>3542</v>
      </c>
      <c r="C156" s="3478" t="s">
        <v>3690</v>
      </c>
      <c r="D156" s="3478" t="s">
        <v>3544</v>
      </c>
      <c r="E156" s="3478" t="s">
        <v>3551</v>
      </c>
      <c r="F156" s="3478">
        <v>32.9</v>
      </c>
      <c r="G156" s="3479">
        <v>44270</v>
      </c>
      <c r="H156" s="3479">
        <v>45397</v>
      </c>
      <c r="I156" s="3480">
        <v>1095</v>
      </c>
      <c r="J156" s="3481">
        <v>465091.08</v>
      </c>
      <c r="L156" s="3478">
        <f t="shared" si="2"/>
        <v>38.730156139401259</v>
      </c>
    </row>
    <row r="157" spans="1:12">
      <c r="A157" s="3478" t="s">
        <v>3541</v>
      </c>
      <c r="B157" s="3478" t="s">
        <v>3542</v>
      </c>
      <c r="C157" s="3478" t="s">
        <v>3691</v>
      </c>
      <c r="D157" s="3478" t="s">
        <v>3544</v>
      </c>
      <c r="E157" s="3478" t="s">
        <v>3551</v>
      </c>
      <c r="F157" s="3478">
        <v>32.82</v>
      </c>
      <c r="G157" s="3479">
        <v>45108</v>
      </c>
      <c r="H157" s="3479">
        <v>45657</v>
      </c>
      <c r="I157" s="3480">
        <v>549</v>
      </c>
      <c r="J157" s="3481">
        <v>353668.32</v>
      </c>
      <c r="L157" s="3478">
        <f t="shared" si="2"/>
        <v>29.523287671232879</v>
      </c>
    </row>
    <row r="158" spans="1:12">
      <c r="A158" s="3478" t="s">
        <v>3541</v>
      </c>
      <c r="B158" s="3478" t="s">
        <v>3542</v>
      </c>
      <c r="C158" s="3478" t="s">
        <v>3692</v>
      </c>
      <c r="D158" s="3478" t="s">
        <v>3544</v>
      </c>
      <c r="E158" s="3478" t="s">
        <v>3551</v>
      </c>
      <c r="F158" s="3478">
        <v>32.36</v>
      </c>
      <c r="G158" s="3479">
        <v>45000</v>
      </c>
      <c r="H158" s="3479">
        <v>45716</v>
      </c>
      <c r="I158" s="3480">
        <v>701</v>
      </c>
      <c r="J158" s="3481">
        <v>239981.76</v>
      </c>
      <c r="L158" s="3478">
        <f t="shared" si="2"/>
        <v>20.317808219178083</v>
      </c>
    </row>
    <row r="159" spans="1:12">
      <c r="A159" s="3478" t="s">
        <v>3541</v>
      </c>
      <c r="B159" s="3478" t="s">
        <v>3542</v>
      </c>
      <c r="C159" s="3478" t="s">
        <v>3693</v>
      </c>
      <c r="D159" s="3478" t="s">
        <v>3544</v>
      </c>
      <c r="E159" s="3478" t="s">
        <v>3551</v>
      </c>
      <c r="F159" s="3478">
        <v>31.94</v>
      </c>
      <c r="G159" s="3479">
        <v>45017</v>
      </c>
      <c r="H159" s="3479">
        <v>45382</v>
      </c>
      <c r="I159" s="3480">
        <v>365</v>
      </c>
      <c r="J159" s="3481">
        <v>227285.04</v>
      </c>
      <c r="L159" s="3478">
        <f t="shared" si="2"/>
        <v>19.495890410958904</v>
      </c>
    </row>
    <row r="160" spans="1:12">
      <c r="A160" s="3478" t="s">
        <v>3541</v>
      </c>
      <c r="B160" s="3478" t="s">
        <v>3542</v>
      </c>
      <c r="C160" s="3478" t="s">
        <v>3694</v>
      </c>
      <c r="D160" s="3478" t="s">
        <v>3544</v>
      </c>
      <c r="E160" s="3478" t="s">
        <v>3551</v>
      </c>
      <c r="F160" s="3478">
        <v>31.8</v>
      </c>
      <c r="G160" s="3479">
        <v>45017</v>
      </c>
      <c r="H160" s="3479">
        <v>45199</v>
      </c>
      <c r="I160" s="3480">
        <v>182</v>
      </c>
      <c r="J160" s="3481">
        <v>254908.79999999999</v>
      </c>
      <c r="L160" s="3478">
        <f t="shared" si="2"/>
        <v>21.961643835616435</v>
      </c>
    </row>
    <row r="161" spans="1:12">
      <c r="A161" s="3478" t="s">
        <v>3541</v>
      </c>
      <c r="B161" s="3478" t="s">
        <v>3542</v>
      </c>
      <c r="C161" s="3478" t="s">
        <v>3695</v>
      </c>
      <c r="D161" s="3478" t="s">
        <v>3544</v>
      </c>
      <c r="E161" s="3478" t="s">
        <v>3551</v>
      </c>
      <c r="F161" s="3478">
        <v>31.46</v>
      </c>
      <c r="G161" s="3479">
        <v>45076</v>
      </c>
      <c r="H161" s="3479">
        <v>45431</v>
      </c>
      <c r="I161" s="3480">
        <v>332</v>
      </c>
      <c r="J161" s="3481">
        <v>283140</v>
      </c>
      <c r="L161" s="3478">
        <f t="shared" si="2"/>
        <v>24.657534246575342</v>
      </c>
    </row>
    <row r="162" spans="1:12">
      <c r="A162" s="3478" t="s">
        <v>3541</v>
      </c>
      <c r="B162" s="3478" t="s">
        <v>3542</v>
      </c>
      <c r="C162" s="3478" t="s">
        <v>3696</v>
      </c>
      <c r="D162" s="3478" t="s">
        <v>3544</v>
      </c>
      <c r="E162" s="3478" t="s">
        <v>3551</v>
      </c>
      <c r="F162" s="3478">
        <v>30.79</v>
      </c>
      <c r="G162" s="3479">
        <v>45019</v>
      </c>
      <c r="H162" s="3479">
        <v>45382</v>
      </c>
      <c r="I162" s="3480">
        <v>363</v>
      </c>
      <c r="J162" s="3481">
        <v>278957.40000000002</v>
      </c>
      <c r="L162" s="3478">
        <f t="shared" si="2"/>
        <v>24.821917808219183</v>
      </c>
    </row>
    <row r="163" spans="1:12">
      <c r="A163" s="3478" t="s">
        <v>3541</v>
      </c>
      <c r="B163" s="3478" t="s">
        <v>3542</v>
      </c>
      <c r="C163" s="3478" t="s">
        <v>3697</v>
      </c>
      <c r="D163" s="3478" t="s">
        <v>3544</v>
      </c>
      <c r="E163" s="3478" t="s">
        <v>3551</v>
      </c>
      <c r="F163" s="3478">
        <v>28.64</v>
      </c>
      <c r="G163" s="3479">
        <v>45016</v>
      </c>
      <c r="H163" s="3479">
        <v>45747</v>
      </c>
      <c r="I163" s="3480">
        <v>707</v>
      </c>
      <c r="J163" s="3481">
        <v>343680</v>
      </c>
      <c r="L163" s="3478">
        <f t="shared" si="2"/>
        <v>32.87671232876712</v>
      </c>
    </row>
    <row r="164" spans="1:12">
      <c r="A164" s="3478" t="s">
        <v>3541</v>
      </c>
      <c r="B164" s="3478" t="s">
        <v>3542</v>
      </c>
      <c r="C164" s="3478" t="s">
        <v>3698</v>
      </c>
      <c r="D164" s="3478" t="s">
        <v>3544</v>
      </c>
      <c r="E164" s="3478" t="s">
        <v>3551</v>
      </c>
      <c r="F164" s="3478">
        <v>28.46</v>
      </c>
      <c r="G164" s="3479">
        <v>44821</v>
      </c>
      <c r="H164" s="3479">
        <v>45169</v>
      </c>
      <c r="I164" s="3480">
        <v>348</v>
      </c>
      <c r="J164" s="3481">
        <v>263105.40000000002</v>
      </c>
      <c r="L164" s="3478">
        <f t="shared" si="2"/>
        <v>25.328064382598985</v>
      </c>
    </row>
    <row r="165" spans="1:12">
      <c r="A165" s="3478" t="s">
        <v>3541</v>
      </c>
      <c r="B165" s="3478" t="s">
        <v>3542</v>
      </c>
      <c r="C165" s="3478" t="s">
        <v>3699</v>
      </c>
      <c r="D165" s="3478" t="s">
        <v>3544</v>
      </c>
      <c r="E165" s="3478" t="s">
        <v>3551</v>
      </c>
      <c r="F165" s="3478">
        <v>27.37</v>
      </c>
      <c r="G165" s="3479">
        <v>45040</v>
      </c>
      <c r="H165" s="3479">
        <v>45777</v>
      </c>
      <c r="I165" s="3480">
        <v>707</v>
      </c>
      <c r="J165" s="3481">
        <v>279174</v>
      </c>
      <c r="L165" s="3478">
        <f t="shared" si="2"/>
        <v>27.945205479452053</v>
      </c>
    </row>
    <row r="166" spans="1:12">
      <c r="A166" s="3478" t="s">
        <v>3541</v>
      </c>
      <c r="B166" s="3478" t="s">
        <v>3542</v>
      </c>
      <c r="C166" s="3478" t="s">
        <v>3700</v>
      </c>
      <c r="D166" s="3478" t="s">
        <v>3544</v>
      </c>
      <c r="E166" s="3478" t="s">
        <v>3551</v>
      </c>
      <c r="F166" s="3478">
        <v>27.04</v>
      </c>
      <c r="G166" s="3479">
        <v>45017</v>
      </c>
      <c r="H166" s="3479">
        <v>45382</v>
      </c>
      <c r="I166" s="3480">
        <v>365</v>
      </c>
      <c r="J166" s="3481">
        <v>198744</v>
      </c>
      <c r="L166" s="3478">
        <f t="shared" si="2"/>
        <v>20.136986301369866</v>
      </c>
    </row>
    <row r="167" spans="1:12">
      <c r="A167" s="3478" t="s">
        <v>3541</v>
      </c>
      <c r="B167" s="3478" t="s">
        <v>3542</v>
      </c>
      <c r="C167" s="3478" t="s">
        <v>3701</v>
      </c>
      <c r="D167" s="3478" t="s">
        <v>3544</v>
      </c>
      <c r="E167" s="3478" t="s">
        <v>3551</v>
      </c>
      <c r="F167" s="3478">
        <v>26.17</v>
      </c>
      <c r="G167" s="3479">
        <v>44850</v>
      </c>
      <c r="H167" s="3479">
        <v>45230</v>
      </c>
      <c r="I167" s="3480">
        <v>380</v>
      </c>
      <c r="J167" s="3481">
        <v>314040</v>
      </c>
      <c r="L167" s="3478">
        <f t="shared" si="2"/>
        <v>32.87671232876712</v>
      </c>
    </row>
    <row r="168" spans="1:12">
      <c r="A168" s="3478" t="s">
        <v>3541</v>
      </c>
      <c r="B168" s="3478" t="s">
        <v>3542</v>
      </c>
      <c r="C168" s="3478" t="s">
        <v>3702</v>
      </c>
      <c r="D168" s="3478" t="s">
        <v>3544</v>
      </c>
      <c r="E168" s="3478" t="s">
        <v>3551</v>
      </c>
      <c r="F168" s="3478">
        <v>25.96</v>
      </c>
      <c r="G168" s="3479">
        <v>44815</v>
      </c>
      <c r="H168" s="3479">
        <v>45565</v>
      </c>
      <c r="I168" s="3480">
        <v>730</v>
      </c>
      <c r="J168" s="3481">
        <v>371521.44</v>
      </c>
      <c r="L168" s="3478">
        <f t="shared" si="2"/>
        <v>39.209050805243052</v>
      </c>
    </row>
    <row r="169" spans="1:12">
      <c r="A169" s="3478" t="s">
        <v>3541</v>
      </c>
      <c r="B169" s="3478" t="s">
        <v>3542</v>
      </c>
      <c r="C169" s="3478" t="s">
        <v>3703</v>
      </c>
      <c r="D169" s="3478" t="s">
        <v>3544</v>
      </c>
      <c r="E169" s="3478" t="s">
        <v>3551</v>
      </c>
      <c r="F169" s="3478">
        <v>24.48</v>
      </c>
      <c r="G169" s="3479">
        <v>45017</v>
      </c>
      <c r="H169" s="3479">
        <v>45382</v>
      </c>
      <c r="I169" s="3480">
        <v>365</v>
      </c>
      <c r="J169" s="3481">
        <v>204163.20000000001</v>
      </c>
      <c r="L169" s="3478">
        <f t="shared" si="2"/>
        <v>22.849315068493155</v>
      </c>
    </row>
    <row r="170" spans="1:12">
      <c r="A170" s="3478" t="s">
        <v>3541</v>
      </c>
      <c r="B170" s="3478" t="s">
        <v>3542</v>
      </c>
      <c r="C170" s="3478" t="s">
        <v>3652</v>
      </c>
      <c r="D170" s="3478" t="s">
        <v>3544</v>
      </c>
      <c r="E170" s="3478" t="s">
        <v>3551</v>
      </c>
      <c r="F170" s="3478">
        <v>20</v>
      </c>
      <c r="G170" s="3479">
        <v>45017</v>
      </c>
      <c r="H170" s="3479">
        <v>45382</v>
      </c>
      <c r="I170" s="3480">
        <v>365</v>
      </c>
      <c r="J170" s="3481">
        <v>829736.04</v>
      </c>
      <c r="L170" s="3478">
        <f t="shared" si="2"/>
        <v>113.66247123287671</v>
      </c>
    </row>
    <row r="171" spans="1:12">
      <c r="A171" s="3478" t="s">
        <v>3541</v>
      </c>
      <c r="B171" s="3478" t="s">
        <v>3542</v>
      </c>
      <c r="C171" s="3478" t="s">
        <v>3704</v>
      </c>
      <c r="D171" s="3478" t="s">
        <v>3544</v>
      </c>
      <c r="E171" s="3478" t="s">
        <v>3551</v>
      </c>
      <c r="F171" s="3478">
        <v>20</v>
      </c>
      <c r="G171" s="3479">
        <v>45035</v>
      </c>
      <c r="H171" s="3479">
        <v>45397</v>
      </c>
      <c r="I171" s="3480">
        <v>362</v>
      </c>
      <c r="J171" s="3481">
        <v>194400</v>
      </c>
      <c r="L171" s="3478">
        <f t="shared" si="2"/>
        <v>26.63013698630137</v>
      </c>
    </row>
    <row r="172" spans="1:12">
      <c r="A172" s="3478" t="s">
        <v>3541</v>
      </c>
      <c r="B172" s="3478" t="s">
        <v>3542</v>
      </c>
      <c r="C172" s="3478" t="s">
        <v>3705</v>
      </c>
      <c r="D172" s="3478" t="s">
        <v>3544</v>
      </c>
      <c r="E172" s="3478" t="s">
        <v>3551</v>
      </c>
      <c r="F172" s="3478">
        <v>19.93</v>
      </c>
      <c r="G172" s="3479">
        <v>44927</v>
      </c>
      <c r="H172" s="3479">
        <v>45291</v>
      </c>
      <c r="I172" s="3480">
        <v>364</v>
      </c>
      <c r="J172" s="3481">
        <v>101882.16</v>
      </c>
      <c r="L172" s="3478">
        <f t="shared" si="2"/>
        <v>14.005479452054796</v>
      </c>
    </row>
    <row r="173" spans="1:12">
      <c r="A173" s="3478" t="s">
        <v>3541</v>
      </c>
      <c r="B173" s="3478" t="s">
        <v>3542</v>
      </c>
      <c r="C173" s="3478" t="s">
        <v>3706</v>
      </c>
      <c r="D173" s="3478" t="s">
        <v>3544</v>
      </c>
      <c r="E173" s="3478" t="s">
        <v>3551</v>
      </c>
      <c r="F173" s="3478">
        <v>14.25</v>
      </c>
      <c r="G173" s="3479">
        <v>44854</v>
      </c>
      <c r="H173" s="3479">
        <v>45230</v>
      </c>
      <c r="I173" s="3480">
        <v>358</v>
      </c>
      <c r="J173" s="3481">
        <v>60363</v>
      </c>
      <c r="L173" s="3478">
        <f t="shared" si="2"/>
        <v>11.605479452054796</v>
      </c>
    </row>
    <row r="174" spans="1:12">
      <c r="A174" s="3478" t="s">
        <v>3541</v>
      </c>
      <c r="B174" s="3478" t="s">
        <v>3542</v>
      </c>
      <c r="C174" s="3478" t="s">
        <v>3707</v>
      </c>
      <c r="D174" s="3478" t="s">
        <v>3544</v>
      </c>
      <c r="E174" s="3478" t="s">
        <v>3551</v>
      </c>
      <c r="F174" s="3478">
        <v>10.199999999999999</v>
      </c>
      <c r="G174" s="3479">
        <v>45017</v>
      </c>
      <c r="H174" s="3479">
        <v>45382</v>
      </c>
      <c r="I174" s="3480">
        <v>365</v>
      </c>
      <c r="J174" s="3481">
        <v>140760</v>
      </c>
      <c r="L174" s="3478">
        <f t="shared" si="2"/>
        <v>37.808219178082197</v>
      </c>
    </row>
    <row r="175" spans="1:12">
      <c r="A175" s="3478" t="s">
        <v>3541</v>
      </c>
      <c r="B175" s="3478" t="s">
        <v>3542</v>
      </c>
      <c r="C175" s="3478" t="s">
        <v>3708</v>
      </c>
      <c r="D175" s="3478" t="s">
        <v>3544</v>
      </c>
      <c r="E175" s="3478" t="s">
        <v>3551</v>
      </c>
      <c r="F175" s="3478">
        <v>10.119999999999999</v>
      </c>
      <c r="G175" s="3479">
        <v>45020</v>
      </c>
      <c r="H175" s="3479">
        <v>45382</v>
      </c>
      <c r="I175" s="3480">
        <v>351</v>
      </c>
      <c r="J175" s="3481">
        <v>163944</v>
      </c>
      <c r="L175" s="3478">
        <f t="shared" si="2"/>
        <v>44.38356164383562</v>
      </c>
    </row>
    <row r="176" spans="1:12">
      <c r="A176" s="3478" t="s">
        <v>3541</v>
      </c>
      <c r="B176" s="3478" t="s">
        <v>3542</v>
      </c>
      <c r="C176" s="3478" t="s">
        <v>3709</v>
      </c>
      <c r="D176" s="3478" t="s">
        <v>3544</v>
      </c>
      <c r="E176" s="3478" t="s">
        <v>3551</v>
      </c>
      <c r="F176" s="3478">
        <v>8</v>
      </c>
      <c r="G176" s="3479">
        <v>45043</v>
      </c>
      <c r="H176" s="3479">
        <v>45382</v>
      </c>
      <c r="I176" s="3480">
        <v>339</v>
      </c>
      <c r="J176" s="3481">
        <v>81600</v>
      </c>
      <c r="L176" s="3478">
        <f t="shared" si="2"/>
        <v>27.945205479452056</v>
      </c>
    </row>
    <row r="177" spans="1:12">
      <c r="A177" s="3478" t="s">
        <v>3541</v>
      </c>
      <c r="B177" s="3478" t="s">
        <v>3542</v>
      </c>
      <c r="C177" s="3478" t="s">
        <v>3710</v>
      </c>
      <c r="D177" s="3478" t="s">
        <v>3544</v>
      </c>
      <c r="E177" s="3478" t="s">
        <v>3551</v>
      </c>
      <c r="F177" s="3478">
        <v>7.52</v>
      </c>
      <c r="G177" s="3479">
        <v>44827</v>
      </c>
      <c r="H177" s="3479">
        <v>45191</v>
      </c>
      <c r="I177" s="3480">
        <v>364</v>
      </c>
      <c r="J177" s="3481">
        <v>342213.48</v>
      </c>
      <c r="L177" s="3478">
        <f t="shared" si="2"/>
        <v>124.67701836199359</v>
      </c>
    </row>
    <row r="178" spans="1:12">
      <c r="F178" s="3478">
        <f>SUM(F2:F177)</f>
        <v>41562.829999999994</v>
      </c>
      <c r="J178" s="3482">
        <f>SUM(J2:J177)</f>
        <v>156638115.11999992</v>
      </c>
      <c r="L178" s="3536">
        <f>J178/F178/365</f>
        <v>10.325223784730543</v>
      </c>
    </row>
    <row r="179" spans="1:12">
      <c r="F179" s="3478">
        <f>F178/'数据-汇总表'!E19</f>
        <v>0.4517030196181826</v>
      </c>
      <c r="J179" s="3483">
        <f>J178/10000</f>
        <v>15663.811511999991</v>
      </c>
      <c r="L179" s="3478">
        <f>J179/F179/365</f>
        <v>95.006121774315787</v>
      </c>
    </row>
  </sheetData>
  <phoneticPr fontId="134" type="noConversion"/>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zoomScaleNormal="100" workbookViewId="0">
      <selection activeCell="D29" sqref="D29"/>
    </sheetView>
  </sheetViews>
  <sheetFormatPr defaultRowHeight="13.5"/>
  <cols>
    <col min="2" max="2" width="32.375" customWidth="1"/>
    <col min="3" max="3" width="28.25" customWidth="1"/>
    <col min="4" max="4" width="37.125" style="3477" customWidth="1"/>
    <col min="8" max="8" width="9" style="3477"/>
  </cols>
  <sheetData>
    <row r="1" spans="1:8">
      <c r="A1" s="3537" t="s">
        <v>3498</v>
      </c>
      <c r="B1" s="3537" t="s">
        <v>3499</v>
      </c>
      <c r="C1" s="3537" t="s">
        <v>3500</v>
      </c>
      <c r="D1" s="3538" t="s">
        <v>3501</v>
      </c>
      <c r="E1" s="3537" t="s">
        <v>3502</v>
      </c>
      <c r="F1" s="3537" t="s">
        <v>3503</v>
      </c>
      <c r="G1" s="3537" t="s">
        <v>3504</v>
      </c>
      <c r="H1" s="3538" t="s">
        <v>3505</v>
      </c>
    </row>
    <row r="2" spans="1:8">
      <c r="A2" s="3539">
        <v>1</v>
      </c>
      <c r="B2" s="3537" t="s">
        <v>3910</v>
      </c>
      <c r="C2" s="3879" t="s">
        <v>3909</v>
      </c>
      <c r="D2" s="3538" t="s">
        <v>3935</v>
      </c>
      <c r="E2" s="3537" t="s">
        <v>3506</v>
      </c>
      <c r="F2" s="3539">
        <v>27182.77</v>
      </c>
      <c r="G2" s="3879" t="s">
        <v>3960</v>
      </c>
      <c r="H2" s="3538" t="s">
        <v>3507</v>
      </c>
    </row>
    <row r="3" spans="1:8">
      <c r="A3" s="3539">
        <v>2</v>
      </c>
      <c r="B3" s="3537" t="s">
        <v>3911</v>
      </c>
      <c r="C3" s="3879"/>
      <c r="D3" s="3538" t="s">
        <v>3936</v>
      </c>
      <c r="E3" s="3537" t="s">
        <v>3506</v>
      </c>
      <c r="F3" s="3539">
        <v>5183.5200000000004</v>
      </c>
      <c r="G3" s="3879"/>
      <c r="H3" s="3538" t="s">
        <v>3508</v>
      </c>
    </row>
    <row r="4" spans="1:8">
      <c r="A4" s="3539">
        <v>3</v>
      </c>
      <c r="B4" s="3537" t="s">
        <v>3912</v>
      </c>
      <c r="C4" s="3879"/>
      <c r="D4" s="3538" t="s">
        <v>3937</v>
      </c>
      <c r="E4" s="3537" t="s">
        <v>3506</v>
      </c>
      <c r="F4" s="3539">
        <v>409.1</v>
      </c>
      <c r="G4" s="3879"/>
      <c r="H4" s="3538" t="s">
        <v>3509</v>
      </c>
    </row>
    <row r="5" spans="1:8">
      <c r="A5" s="3539">
        <v>4</v>
      </c>
      <c r="B5" s="3537" t="s">
        <v>3913</v>
      </c>
      <c r="C5" s="3879"/>
      <c r="D5" s="3538" t="s">
        <v>3938</v>
      </c>
      <c r="E5" s="3537" t="s">
        <v>3506</v>
      </c>
      <c r="F5" s="3539">
        <v>128.97</v>
      </c>
      <c r="G5" s="3879"/>
      <c r="H5" s="3538" t="s">
        <v>3510</v>
      </c>
    </row>
    <row r="6" spans="1:8">
      <c r="A6" s="3539">
        <v>5</v>
      </c>
      <c r="B6" s="3537" t="s">
        <v>3914</v>
      </c>
      <c r="C6" s="3879"/>
      <c r="D6" s="3538" t="s">
        <v>3939</v>
      </c>
      <c r="E6" s="3537" t="s">
        <v>3506</v>
      </c>
      <c r="F6" s="3539">
        <v>247.5</v>
      </c>
      <c r="G6" s="3879"/>
      <c r="H6" s="3538" t="s">
        <v>3511</v>
      </c>
    </row>
    <row r="7" spans="1:8">
      <c r="A7" s="3539">
        <v>6</v>
      </c>
      <c r="B7" s="3537" t="s">
        <v>3915</v>
      </c>
      <c r="C7" s="3879"/>
      <c r="D7" s="3538" t="s">
        <v>3940</v>
      </c>
      <c r="E7" s="3537" t="s">
        <v>3506</v>
      </c>
      <c r="F7" s="3539">
        <v>251.51</v>
      </c>
      <c r="G7" s="3879"/>
      <c r="H7" s="3538" t="s">
        <v>3510</v>
      </c>
    </row>
    <row r="8" spans="1:8">
      <c r="A8" s="3539">
        <v>7</v>
      </c>
      <c r="B8" s="3537" t="s">
        <v>3916</v>
      </c>
      <c r="C8" s="3879"/>
      <c r="D8" s="3538" t="s">
        <v>3941</v>
      </c>
      <c r="E8" s="3537" t="s">
        <v>3506</v>
      </c>
      <c r="F8" s="3539">
        <v>305.85000000000002</v>
      </c>
      <c r="G8" s="3879"/>
      <c r="H8" s="3538" t="s">
        <v>3512</v>
      </c>
    </row>
    <row r="9" spans="1:8">
      <c r="A9" s="3539">
        <v>8</v>
      </c>
      <c r="B9" s="3537" t="s">
        <v>3917</v>
      </c>
      <c r="C9" s="3879"/>
      <c r="D9" s="3538" t="s">
        <v>3942</v>
      </c>
      <c r="E9" s="3537" t="s">
        <v>3506</v>
      </c>
      <c r="F9" s="3539">
        <v>331.82</v>
      </c>
      <c r="G9" s="3879"/>
      <c r="H9" s="3538" t="s">
        <v>3513</v>
      </c>
    </row>
    <row r="10" spans="1:8">
      <c r="A10" s="3539">
        <v>9</v>
      </c>
      <c r="B10" s="3537" t="s">
        <v>3918</v>
      </c>
      <c r="C10" s="3879"/>
      <c r="D10" s="3538" t="s">
        <v>3943</v>
      </c>
      <c r="E10" s="3537" t="s">
        <v>3506</v>
      </c>
      <c r="F10" s="3539">
        <v>28379.040000000001</v>
      </c>
      <c r="G10" s="3879"/>
      <c r="H10" s="3538" t="s">
        <v>3507</v>
      </c>
    </row>
    <row r="11" spans="1:8">
      <c r="A11" s="3539">
        <v>10</v>
      </c>
      <c r="B11" s="3537" t="s">
        <v>3919</v>
      </c>
      <c r="C11" s="3879"/>
      <c r="D11" s="3538" t="s">
        <v>3944</v>
      </c>
      <c r="E11" s="3537" t="s">
        <v>3506</v>
      </c>
      <c r="F11" s="3539">
        <v>239.07</v>
      </c>
      <c r="G11" s="3879"/>
      <c r="H11" s="3538" t="s">
        <v>3511</v>
      </c>
    </row>
    <row r="12" spans="1:8">
      <c r="A12" s="3539">
        <v>11</v>
      </c>
      <c r="B12" s="3537" t="s">
        <v>3920</v>
      </c>
      <c r="C12" s="3879"/>
      <c r="D12" s="3538" t="s">
        <v>3945</v>
      </c>
      <c r="E12" s="3537" t="s">
        <v>3506</v>
      </c>
      <c r="F12" s="3539">
        <v>223.07</v>
      </c>
      <c r="G12" s="3879"/>
      <c r="H12" s="3538" t="s">
        <v>3510</v>
      </c>
    </row>
    <row r="13" spans="1:8">
      <c r="A13" s="3539">
        <v>12</v>
      </c>
      <c r="B13" s="3537" t="s">
        <v>3921</v>
      </c>
      <c r="C13" s="3879"/>
      <c r="D13" s="3538" t="s">
        <v>3946</v>
      </c>
      <c r="E13" s="3537" t="s">
        <v>3506</v>
      </c>
      <c r="F13" s="3539">
        <v>8901.81</v>
      </c>
      <c r="G13" s="3879"/>
      <c r="H13" s="3538" t="s">
        <v>3514</v>
      </c>
    </row>
    <row r="14" spans="1:8">
      <c r="A14" s="3539">
        <v>13</v>
      </c>
      <c r="B14" s="3537" t="s">
        <v>3922</v>
      </c>
      <c r="C14" s="3879"/>
      <c r="D14" s="3538" t="s">
        <v>3947</v>
      </c>
      <c r="E14" s="3537" t="s">
        <v>3506</v>
      </c>
      <c r="F14" s="3539">
        <v>959.03</v>
      </c>
      <c r="G14" s="3879"/>
      <c r="H14" s="3538" t="s">
        <v>3515</v>
      </c>
    </row>
    <row r="15" spans="1:8">
      <c r="A15" s="3539">
        <v>14</v>
      </c>
      <c r="B15" s="3537" t="s">
        <v>3923</v>
      </c>
      <c r="C15" s="3879"/>
      <c r="D15" s="3538" t="s">
        <v>3948</v>
      </c>
      <c r="E15" s="3537" t="s">
        <v>3506</v>
      </c>
      <c r="F15" s="3539">
        <v>575.5</v>
      </c>
      <c r="G15" s="3879"/>
      <c r="H15" s="3538" t="s">
        <v>3513</v>
      </c>
    </row>
    <row r="16" spans="1:8">
      <c r="A16" s="3539">
        <v>15</v>
      </c>
      <c r="B16" s="3537" t="s">
        <v>3924</v>
      </c>
      <c r="C16" s="3879"/>
      <c r="D16" s="3538" t="s">
        <v>3949</v>
      </c>
      <c r="E16" s="3537" t="s">
        <v>3506</v>
      </c>
      <c r="F16" s="3539">
        <v>932.3</v>
      </c>
      <c r="G16" s="3879"/>
      <c r="H16" s="3538" t="s">
        <v>3515</v>
      </c>
    </row>
    <row r="17" spans="1:8">
      <c r="A17" s="3539">
        <v>16</v>
      </c>
      <c r="B17" s="3537" t="s">
        <v>3925</v>
      </c>
      <c r="C17" s="3879"/>
      <c r="D17" s="3538" t="s">
        <v>3950</v>
      </c>
      <c r="E17" s="3537" t="s">
        <v>3506</v>
      </c>
      <c r="F17" s="3539">
        <v>286.05</v>
      </c>
      <c r="G17" s="3879"/>
      <c r="H17" s="3538" t="s">
        <v>3509</v>
      </c>
    </row>
    <row r="18" spans="1:8">
      <c r="A18" s="3539">
        <v>17</v>
      </c>
      <c r="B18" s="3537" t="s">
        <v>3926</v>
      </c>
      <c r="C18" s="3879"/>
      <c r="D18" s="3538" t="s">
        <v>3951</v>
      </c>
      <c r="E18" s="3537" t="s">
        <v>3506</v>
      </c>
      <c r="F18" s="3539">
        <v>856.18</v>
      </c>
      <c r="G18" s="3879"/>
      <c r="H18" s="3538" t="s">
        <v>3509</v>
      </c>
    </row>
    <row r="19" spans="1:8">
      <c r="A19" s="3539">
        <v>18</v>
      </c>
      <c r="B19" s="3537" t="s">
        <v>3927</v>
      </c>
      <c r="C19" s="3879"/>
      <c r="D19" s="3538" t="s">
        <v>3952</v>
      </c>
      <c r="E19" s="3537" t="s">
        <v>3506</v>
      </c>
      <c r="F19" s="3539">
        <v>14176.07</v>
      </c>
      <c r="G19" s="3879"/>
      <c r="H19" s="3538" t="s">
        <v>3516</v>
      </c>
    </row>
    <row r="20" spans="1:8">
      <c r="A20" s="3539">
        <v>19</v>
      </c>
      <c r="B20" s="3537" t="s">
        <v>3928</v>
      </c>
      <c r="C20" s="3879"/>
      <c r="D20" s="3538" t="s">
        <v>3953</v>
      </c>
      <c r="E20" s="3537" t="s">
        <v>3506</v>
      </c>
      <c r="F20" s="3539">
        <v>531.07000000000005</v>
      </c>
      <c r="G20" s="3879"/>
      <c r="H20" s="3538" t="s">
        <v>3517</v>
      </c>
    </row>
    <row r="21" spans="1:8">
      <c r="A21" s="3539">
        <v>20</v>
      </c>
      <c r="B21" s="3537" t="s">
        <v>3929</v>
      </c>
      <c r="C21" s="3879"/>
      <c r="D21" s="3538" t="s">
        <v>3954</v>
      </c>
      <c r="E21" s="3537" t="s">
        <v>3506</v>
      </c>
      <c r="F21" s="3539">
        <v>286.45</v>
      </c>
      <c r="G21" s="3879"/>
      <c r="H21" s="3538" t="s">
        <v>3517</v>
      </c>
    </row>
    <row r="22" spans="1:8">
      <c r="A22" s="3539">
        <v>21</v>
      </c>
      <c r="B22" s="3537" t="s">
        <v>3930</v>
      </c>
      <c r="C22" s="3879"/>
      <c r="D22" s="3538" t="s">
        <v>3955</v>
      </c>
      <c r="E22" s="3537" t="s">
        <v>3506</v>
      </c>
      <c r="F22" s="3539">
        <v>409.1</v>
      </c>
      <c r="G22" s="3879"/>
      <c r="H22" s="3538" t="s">
        <v>3517</v>
      </c>
    </row>
    <row r="23" spans="1:8">
      <c r="A23" s="3539">
        <v>22</v>
      </c>
      <c r="B23" s="3537" t="s">
        <v>3931</v>
      </c>
      <c r="C23" s="3879"/>
      <c r="D23" s="3538" t="s">
        <v>3956</v>
      </c>
      <c r="E23" s="3537" t="s">
        <v>3506</v>
      </c>
      <c r="F23" s="3539">
        <v>425.52</v>
      </c>
      <c r="G23" s="3879"/>
      <c r="H23" s="3538" t="s">
        <v>3512</v>
      </c>
    </row>
    <row r="24" spans="1:8">
      <c r="A24" s="3539">
        <v>23</v>
      </c>
      <c r="B24" s="3537" t="s">
        <v>3932</v>
      </c>
      <c r="C24" s="3879"/>
      <c r="D24" s="3538" t="s">
        <v>3957</v>
      </c>
      <c r="E24" s="3537" t="s">
        <v>3506</v>
      </c>
      <c r="F24" s="3539">
        <v>240.2</v>
      </c>
      <c r="G24" s="3879"/>
      <c r="H24" s="3538" t="s">
        <v>3512</v>
      </c>
    </row>
    <row r="25" spans="1:8">
      <c r="A25" s="3539">
        <v>24</v>
      </c>
      <c r="B25" s="3537" t="s">
        <v>3933</v>
      </c>
      <c r="C25" s="3879"/>
      <c r="D25" s="3538" t="s">
        <v>3958</v>
      </c>
      <c r="E25" s="3537" t="s">
        <v>3506</v>
      </c>
      <c r="F25" s="3539">
        <v>283.20999999999998</v>
      </c>
      <c r="G25" s="3879"/>
      <c r="H25" s="3538" t="s">
        <v>3512</v>
      </c>
    </row>
    <row r="26" spans="1:8">
      <c r="A26" s="3539">
        <v>25</v>
      </c>
      <c r="B26" s="3537" t="s">
        <v>3934</v>
      </c>
      <c r="C26" s="3879"/>
      <c r="D26" s="3538" t="s">
        <v>3959</v>
      </c>
      <c r="E26" s="3537" t="s">
        <v>3506</v>
      </c>
      <c r="F26" s="3539">
        <v>268.91000000000003</v>
      </c>
      <c r="G26" s="3879"/>
      <c r="H26" s="3538" t="s">
        <v>3511</v>
      </c>
    </row>
    <row r="28" spans="1:8">
      <c r="B28" s="3450"/>
      <c r="D28" s="3476"/>
    </row>
    <row r="29" spans="1:8">
      <c r="B29" s="3450"/>
    </row>
    <row r="31" spans="1:8">
      <c r="D31" s="3476" t="s">
        <v>3518</v>
      </c>
      <c r="F31" s="3450" t="s">
        <v>3520</v>
      </c>
      <c r="H31" s="3476" t="s">
        <v>3519</v>
      </c>
    </row>
    <row r="32" spans="1:8">
      <c r="B32" s="3450"/>
      <c r="C32" s="3477">
        <f>SUM(D32:F32)</f>
        <v>12446.259999999998</v>
      </c>
      <c r="D32" s="3476" t="s">
        <v>3518</v>
      </c>
      <c r="E32">
        <f>F41/2</f>
        <v>11538.939999999999</v>
      </c>
      <c r="F32">
        <f>F9+F15</f>
        <v>907.31999999999994</v>
      </c>
      <c r="H32" s="3476" t="s">
        <v>3513</v>
      </c>
    </row>
    <row r="33" spans="3:8">
      <c r="C33" s="3477">
        <f t="shared" ref="C33:C38" si="0">SUM(D33:F33)</f>
        <v>12142.489999999998</v>
      </c>
      <c r="E33">
        <f>F41-E32</f>
        <v>11538.939999999999</v>
      </c>
      <c r="F33">
        <f>F12+F7+F5</f>
        <v>603.54999999999995</v>
      </c>
      <c r="H33" s="3476" t="s">
        <v>3510</v>
      </c>
    </row>
    <row r="34" spans="3:8">
      <c r="C34" s="3477">
        <f t="shared" si="0"/>
        <v>11867.841999999999</v>
      </c>
      <c r="E34">
        <f>F42/5</f>
        <v>11112.361999999999</v>
      </c>
      <c r="F34">
        <f>F26+F11+F6</f>
        <v>755.48</v>
      </c>
      <c r="H34" s="3476" t="s">
        <v>3511</v>
      </c>
    </row>
    <row r="35" spans="3:8">
      <c r="C35" s="3477">
        <f t="shared" si="0"/>
        <v>12367.142</v>
      </c>
      <c r="E35">
        <f>E34</f>
        <v>11112.361999999999</v>
      </c>
      <c r="F35">
        <f>F25+F24+F23+F8</f>
        <v>1254.78</v>
      </c>
      <c r="H35" s="3476" t="s">
        <v>3512</v>
      </c>
    </row>
    <row r="36" spans="3:8">
      <c r="C36" s="3477">
        <f t="shared" si="0"/>
        <v>14066.822</v>
      </c>
      <c r="D36" s="3200">
        <f>F43/3</f>
        <v>1727.8400000000001</v>
      </c>
      <c r="E36">
        <f>E35</f>
        <v>11112.361999999999</v>
      </c>
      <c r="F36">
        <f>F22+F21+F20</f>
        <v>1226.6199999999999</v>
      </c>
      <c r="H36" s="3476" t="s">
        <v>3517</v>
      </c>
    </row>
    <row r="37" spans="3:8">
      <c r="C37" s="3477">
        <f t="shared" si="0"/>
        <v>14391.531999999999</v>
      </c>
      <c r="D37" s="3200">
        <f>D36</f>
        <v>1727.8400000000001</v>
      </c>
      <c r="E37">
        <f>E36</f>
        <v>11112.361999999999</v>
      </c>
      <c r="F37">
        <f>F18+F17+F4</f>
        <v>1551.33</v>
      </c>
      <c r="H37" s="3476" t="s">
        <v>3509</v>
      </c>
    </row>
    <row r="38" spans="3:8">
      <c r="C38" s="3477">
        <f t="shared" si="0"/>
        <v>14731.531999999996</v>
      </c>
      <c r="D38" s="3200">
        <f>F43-D37-D36</f>
        <v>1727.8400000000001</v>
      </c>
      <c r="E38">
        <f>F42-E37-E36-E35-E34</f>
        <v>11112.361999999996</v>
      </c>
      <c r="F38">
        <f>F16+F14</f>
        <v>1891.33</v>
      </c>
      <c r="H38" s="3476" t="s">
        <v>3515</v>
      </c>
    </row>
    <row r="39" spans="3:8">
      <c r="C39" s="3477">
        <f>SUM(C32:C38)</f>
        <v>92013.619999999981</v>
      </c>
    </row>
    <row r="41" spans="3:8">
      <c r="F41">
        <f>F19+F13</f>
        <v>23077.879999999997</v>
      </c>
      <c r="H41" s="3476" t="s">
        <v>3521</v>
      </c>
    </row>
    <row r="42" spans="3:8">
      <c r="F42">
        <f>F10+F2</f>
        <v>55561.81</v>
      </c>
      <c r="H42" s="3476" t="s">
        <v>3507</v>
      </c>
    </row>
    <row r="43" spans="3:8">
      <c r="F43">
        <f>F3</f>
        <v>5183.5200000000004</v>
      </c>
      <c r="H43" s="3476" t="s">
        <v>3522</v>
      </c>
    </row>
    <row r="46" spans="3:8">
      <c r="D46" s="3476"/>
    </row>
    <row r="47" spans="3:8">
      <c r="D47" s="3476"/>
    </row>
    <row r="48" spans="3:8">
      <c r="D48" s="3476"/>
    </row>
    <row r="49" spans="4:4">
      <c r="D49" s="3476"/>
    </row>
    <row r="50" spans="4:4">
      <c r="D50" s="3476"/>
    </row>
    <row r="51" spans="4:4">
      <c r="D51" s="3476"/>
    </row>
    <row r="52" spans="4:4">
      <c r="D52" s="3476"/>
    </row>
    <row r="53" spans="4:4">
      <c r="D53" s="3476"/>
    </row>
    <row r="54" spans="4:4">
      <c r="D54" s="3476"/>
    </row>
    <row r="55" spans="4:4">
      <c r="D55" s="3476"/>
    </row>
    <row r="56" spans="4:4">
      <c r="D56" s="3476"/>
    </row>
    <row r="57" spans="4:4">
      <c r="D57" s="3476"/>
    </row>
    <row r="58" spans="4:4">
      <c r="D58" s="3476"/>
    </row>
    <row r="59" spans="4:4">
      <c r="D59" s="3476"/>
    </row>
    <row r="60" spans="4:4">
      <c r="D60" s="3476"/>
    </row>
    <row r="61" spans="4:4">
      <c r="D61" s="3476"/>
    </row>
    <row r="62" spans="4:4">
      <c r="D62" s="3476"/>
    </row>
    <row r="63" spans="4:4">
      <c r="D63" s="3476"/>
    </row>
    <row r="64" spans="4:4">
      <c r="D64" s="3476"/>
    </row>
    <row r="65" spans="4:4">
      <c r="D65" s="3476"/>
    </row>
    <row r="66" spans="4:4">
      <c r="D66" s="3476"/>
    </row>
    <row r="67" spans="4:4">
      <c r="D67" s="3476"/>
    </row>
    <row r="68" spans="4:4">
      <c r="D68" s="3476"/>
    </row>
    <row r="69" spans="4:4">
      <c r="D69" s="3476"/>
    </row>
    <row r="70" spans="4:4">
      <c r="D70" s="3476"/>
    </row>
  </sheetData>
  <autoFilter ref="H1:H43"/>
  <mergeCells count="2">
    <mergeCell ref="C2:C26"/>
    <mergeCell ref="G2:G26"/>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zoomScale="80" zoomScaleNormal="80" workbookViewId="0">
      <selection activeCell="E16" sqref="E16:F17"/>
    </sheetView>
  </sheetViews>
  <sheetFormatPr defaultRowHeight="13.5"/>
  <sheetData>
    <row r="1" spans="1:6">
      <c r="A1" s="3450" t="s">
        <v>3523</v>
      </c>
      <c r="B1" s="3450" t="s">
        <v>3524</v>
      </c>
      <c r="C1" s="3450" t="s">
        <v>3525</v>
      </c>
      <c r="D1" s="3450" t="s">
        <v>3526</v>
      </c>
      <c r="E1" s="3450" t="s">
        <v>3527</v>
      </c>
      <c r="F1" s="3450" t="s">
        <v>3415</v>
      </c>
    </row>
    <row r="2" spans="1:6">
      <c r="A2">
        <v>1</v>
      </c>
      <c r="B2">
        <v>40738</v>
      </c>
      <c r="C2">
        <v>-1</v>
      </c>
      <c r="D2">
        <v>1006</v>
      </c>
      <c r="E2" s="3450" t="s">
        <v>3528</v>
      </c>
      <c r="F2" s="3450">
        <v>85.86</v>
      </c>
    </row>
    <row r="3" spans="1:6">
      <c r="A3">
        <v>2</v>
      </c>
      <c r="B3">
        <v>40803</v>
      </c>
      <c r="C3">
        <v>-1</v>
      </c>
      <c r="D3">
        <v>1007</v>
      </c>
      <c r="F3" s="3450">
        <v>85.66</v>
      </c>
    </row>
    <row r="4" spans="1:6">
      <c r="A4">
        <v>3</v>
      </c>
      <c r="B4">
        <v>40816</v>
      </c>
      <c r="C4">
        <v>-1</v>
      </c>
      <c r="D4">
        <v>1008</v>
      </c>
      <c r="F4">
        <v>85.66</v>
      </c>
    </row>
    <row r="5" spans="1:6">
      <c r="A5">
        <v>4</v>
      </c>
      <c r="B5">
        <v>40813</v>
      </c>
      <c r="C5">
        <v>-1</v>
      </c>
      <c r="D5">
        <v>1009</v>
      </c>
      <c r="F5">
        <v>85.66</v>
      </c>
    </row>
    <row r="6" spans="1:6">
      <c r="A6">
        <v>5</v>
      </c>
      <c r="B6">
        <v>40804</v>
      </c>
      <c r="C6">
        <v>-1</v>
      </c>
      <c r="D6">
        <v>1010</v>
      </c>
      <c r="F6">
        <v>108.69</v>
      </c>
    </row>
    <row r="7" spans="1:6">
      <c r="A7">
        <v>6</v>
      </c>
      <c r="B7">
        <v>40817</v>
      </c>
      <c r="C7">
        <v>-1</v>
      </c>
      <c r="D7">
        <v>1011</v>
      </c>
      <c r="F7">
        <v>46.06</v>
      </c>
    </row>
    <row r="8" spans="1:6">
      <c r="A8">
        <v>7</v>
      </c>
      <c r="B8">
        <v>40780</v>
      </c>
      <c r="C8">
        <v>-1</v>
      </c>
      <c r="D8">
        <v>1012</v>
      </c>
      <c r="E8" s="3450" t="s">
        <v>3529</v>
      </c>
      <c r="F8" s="3450">
        <v>163.04</v>
      </c>
    </row>
    <row r="9" spans="1:6">
      <c r="A9">
        <v>8</v>
      </c>
      <c r="B9">
        <v>40763</v>
      </c>
      <c r="C9">
        <v>-1</v>
      </c>
      <c r="D9">
        <v>1013</v>
      </c>
      <c r="E9" t="str">
        <f>E8</f>
        <v>机械车位</v>
      </c>
      <c r="F9" s="3450">
        <v>108.69</v>
      </c>
    </row>
    <row r="10" spans="1:6">
      <c r="A10">
        <v>9</v>
      </c>
      <c r="B10">
        <v>40767</v>
      </c>
      <c r="C10">
        <v>-1</v>
      </c>
      <c r="D10">
        <v>1014</v>
      </c>
      <c r="E10" s="3450" t="s">
        <v>3528</v>
      </c>
      <c r="F10" s="3450">
        <v>46.06</v>
      </c>
    </row>
    <row r="11" spans="1:6">
      <c r="A11">
        <v>10</v>
      </c>
      <c r="B11">
        <v>40766</v>
      </c>
      <c r="C11">
        <v>-1</v>
      </c>
      <c r="D11">
        <v>1015</v>
      </c>
      <c r="E11" s="3450" t="s">
        <v>3528</v>
      </c>
      <c r="F11" s="3450">
        <v>46.06</v>
      </c>
    </row>
    <row r="12" spans="1:6">
      <c r="A12">
        <v>11</v>
      </c>
      <c r="B12">
        <v>40772</v>
      </c>
      <c r="C12">
        <v>-1</v>
      </c>
      <c r="D12">
        <v>1016</v>
      </c>
      <c r="E12" s="3450" t="s">
        <v>3528</v>
      </c>
      <c r="F12" s="3450">
        <v>46.06</v>
      </c>
    </row>
    <row r="13" spans="1:6">
      <c r="A13">
        <v>12</v>
      </c>
      <c r="B13">
        <v>40782</v>
      </c>
      <c r="C13">
        <v>-1</v>
      </c>
      <c r="D13">
        <v>1043</v>
      </c>
      <c r="E13" t="str">
        <f>E12</f>
        <v>车位</v>
      </c>
      <c r="F13" s="3450">
        <v>163.04</v>
      </c>
    </row>
    <row r="14" spans="1:6">
      <c r="A14">
        <v>13</v>
      </c>
      <c r="B14">
        <v>40764</v>
      </c>
      <c r="C14">
        <v>-1</v>
      </c>
      <c r="D14">
        <v>1044</v>
      </c>
      <c r="E14" t="str">
        <f>E13</f>
        <v>车位</v>
      </c>
      <c r="F14" s="3450">
        <v>217.38</v>
      </c>
    </row>
    <row r="15" spans="1:6">
      <c r="A15">
        <v>14</v>
      </c>
      <c r="B15">
        <v>40769</v>
      </c>
      <c r="C15">
        <v>-1</v>
      </c>
      <c r="D15">
        <v>1045</v>
      </c>
      <c r="E15" s="3450" t="s">
        <v>3530</v>
      </c>
      <c r="F15" s="3450">
        <v>217.38</v>
      </c>
    </row>
    <row r="16" spans="1:6">
      <c r="A16">
        <v>15</v>
      </c>
      <c r="B16">
        <v>40783</v>
      </c>
      <c r="C16">
        <v>-1</v>
      </c>
      <c r="D16">
        <v>1047</v>
      </c>
      <c r="E16" s="3450" t="s">
        <v>3528</v>
      </c>
      <c r="F16" s="3450">
        <v>1153.74</v>
      </c>
    </row>
    <row r="17" spans="1:6">
      <c r="A17">
        <v>16</v>
      </c>
      <c r="B17">
        <v>40770</v>
      </c>
      <c r="C17">
        <v>-2</v>
      </c>
      <c r="D17">
        <v>2001</v>
      </c>
      <c r="E17" s="3450" t="s">
        <v>3528</v>
      </c>
      <c r="F17" s="3450">
        <v>1513.75</v>
      </c>
    </row>
    <row r="18" spans="1:6">
      <c r="A18">
        <v>17</v>
      </c>
      <c r="B18">
        <v>40774</v>
      </c>
      <c r="C18">
        <v>-3</v>
      </c>
      <c r="D18">
        <v>3186</v>
      </c>
      <c r="E18" s="3450" t="s">
        <v>3528</v>
      </c>
      <c r="F18" s="3450">
        <v>73.23</v>
      </c>
    </row>
    <row r="19" spans="1:6">
      <c r="A19">
        <v>18</v>
      </c>
      <c r="B19">
        <v>40775</v>
      </c>
      <c r="C19">
        <v>-3</v>
      </c>
      <c r="D19">
        <v>3187</v>
      </c>
      <c r="E19" s="3450" t="s">
        <v>3528</v>
      </c>
      <c r="F19" s="3450">
        <v>73.23</v>
      </c>
    </row>
    <row r="20" spans="1:6">
      <c r="A20">
        <v>19</v>
      </c>
      <c r="B20">
        <v>40776</v>
      </c>
      <c r="C20">
        <v>-3</v>
      </c>
      <c r="D20">
        <v>3188</v>
      </c>
      <c r="E20" s="3450" t="s">
        <v>3528</v>
      </c>
      <c r="F20" s="3450">
        <v>48.82</v>
      </c>
    </row>
    <row r="21" spans="1:6">
      <c r="A21">
        <v>20</v>
      </c>
      <c r="B21">
        <v>40777</v>
      </c>
      <c r="C21">
        <v>-3</v>
      </c>
      <c r="D21">
        <v>3189</v>
      </c>
      <c r="E21" s="3450" t="s">
        <v>3528</v>
      </c>
      <c r="F21" s="3450">
        <v>48.82</v>
      </c>
    </row>
    <row r="22" spans="1:6">
      <c r="A22">
        <v>21</v>
      </c>
      <c r="B22">
        <v>40778</v>
      </c>
      <c r="C22">
        <v>-3</v>
      </c>
      <c r="D22">
        <v>3190</v>
      </c>
      <c r="E22" s="3450" t="s">
        <v>3528</v>
      </c>
      <c r="F22" s="3450">
        <v>48.82</v>
      </c>
    </row>
    <row r="23" spans="1:6">
      <c r="A23">
        <v>22</v>
      </c>
      <c r="B23">
        <v>40779</v>
      </c>
      <c r="C23">
        <v>-3</v>
      </c>
      <c r="D23">
        <v>3191</v>
      </c>
      <c r="E23" s="3450" t="s">
        <v>3528</v>
      </c>
      <c r="F23" s="3450">
        <v>48.82</v>
      </c>
    </row>
    <row r="24" spans="1:6">
      <c r="A24">
        <v>23</v>
      </c>
      <c r="B24">
        <v>40773</v>
      </c>
      <c r="C24">
        <v>-3</v>
      </c>
      <c r="D24">
        <v>3192</v>
      </c>
      <c r="E24" s="3450" t="s">
        <v>3528</v>
      </c>
      <c r="F24" s="3450">
        <v>48.82</v>
      </c>
    </row>
    <row r="25" spans="1:6">
      <c r="A25">
        <v>24</v>
      </c>
      <c r="B25">
        <v>40752</v>
      </c>
      <c r="C25">
        <v>-3</v>
      </c>
      <c r="D25">
        <v>3193</v>
      </c>
      <c r="E25" s="3450" t="s">
        <v>3528</v>
      </c>
      <c r="F25" s="3450">
        <v>48.82</v>
      </c>
    </row>
    <row r="26" spans="1:6">
      <c r="A26">
        <v>25</v>
      </c>
      <c r="B26">
        <v>40740</v>
      </c>
      <c r="C26">
        <v>-3</v>
      </c>
      <c r="D26">
        <v>3197</v>
      </c>
      <c r="E26" s="3450" t="s">
        <v>3528</v>
      </c>
      <c r="F26" s="3450">
        <v>48.82</v>
      </c>
    </row>
    <row r="27" spans="1:6">
      <c r="A27">
        <v>26</v>
      </c>
      <c r="B27">
        <v>40741</v>
      </c>
      <c r="C27">
        <v>-3</v>
      </c>
      <c r="D27">
        <v>3198</v>
      </c>
      <c r="E27" s="3450" t="s">
        <v>3528</v>
      </c>
      <c r="F27" s="3450">
        <v>48.82</v>
      </c>
    </row>
    <row r="28" spans="1:6">
      <c r="A28">
        <v>27</v>
      </c>
      <c r="B28">
        <v>40747</v>
      </c>
      <c r="C28">
        <v>-3</v>
      </c>
      <c r="D28">
        <v>3207</v>
      </c>
      <c r="E28" s="3450" t="s">
        <v>3528</v>
      </c>
      <c r="F28" s="3450">
        <v>48.82</v>
      </c>
    </row>
    <row r="29" spans="1:6">
      <c r="A29">
        <v>28</v>
      </c>
      <c r="B29">
        <v>40749</v>
      </c>
      <c r="C29">
        <v>-3</v>
      </c>
      <c r="D29">
        <v>3208</v>
      </c>
      <c r="E29" s="3450" t="s">
        <v>3528</v>
      </c>
      <c r="F29" s="3450">
        <v>48.82</v>
      </c>
    </row>
    <row r="30" spans="1:6">
      <c r="A30">
        <v>29</v>
      </c>
      <c r="B30">
        <v>40750</v>
      </c>
      <c r="C30">
        <v>-3</v>
      </c>
      <c r="D30">
        <v>3209</v>
      </c>
      <c r="E30" s="3450" t="s">
        <v>3528</v>
      </c>
      <c r="F30" s="3450">
        <v>48.82</v>
      </c>
    </row>
    <row r="31" spans="1:6">
      <c r="A31">
        <v>30</v>
      </c>
      <c r="B31">
        <v>40748</v>
      </c>
      <c r="C31">
        <v>-3</v>
      </c>
      <c r="D31">
        <v>3210</v>
      </c>
      <c r="E31" s="3450" t="s">
        <v>3528</v>
      </c>
      <c r="F31" s="3450">
        <v>48.82</v>
      </c>
    </row>
    <row r="32" spans="1:6">
      <c r="A32">
        <v>31</v>
      </c>
      <c r="B32">
        <v>40746</v>
      </c>
      <c r="C32">
        <v>-3</v>
      </c>
      <c r="D32">
        <v>3211</v>
      </c>
      <c r="E32" s="3450" t="s">
        <v>3528</v>
      </c>
      <c r="F32" s="3450">
        <v>48.82</v>
      </c>
    </row>
    <row r="33" spans="1:6">
      <c r="A33">
        <v>32</v>
      </c>
      <c r="B33">
        <v>40745</v>
      </c>
      <c r="C33">
        <v>-3</v>
      </c>
      <c r="D33">
        <v>3212</v>
      </c>
      <c r="E33" s="3450" t="s">
        <v>3528</v>
      </c>
      <c r="F33" s="3450">
        <v>48.82</v>
      </c>
    </row>
    <row r="34" spans="1:6">
      <c r="A34">
        <v>33</v>
      </c>
      <c r="B34">
        <v>40744</v>
      </c>
      <c r="C34">
        <v>-3</v>
      </c>
      <c r="D34">
        <v>3213</v>
      </c>
      <c r="E34" s="3450" t="s">
        <v>3528</v>
      </c>
      <c r="F34" s="3450">
        <v>48.82</v>
      </c>
    </row>
    <row r="35" spans="1:6">
      <c r="A35">
        <v>34</v>
      </c>
      <c r="B35">
        <v>40743</v>
      </c>
      <c r="C35">
        <v>-3</v>
      </c>
      <c r="D35">
        <v>3214</v>
      </c>
      <c r="E35" s="3450" t="s">
        <v>3528</v>
      </c>
      <c r="F35" s="3450">
        <v>73.23</v>
      </c>
    </row>
    <row r="36" spans="1:6">
      <c r="A36">
        <v>35</v>
      </c>
      <c r="B36">
        <v>40742</v>
      </c>
      <c r="C36">
        <v>-3</v>
      </c>
      <c r="D36">
        <v>3215</v>
      </c>
      <c r="E36" s="3450" t="s">
        <v>3528</v>
      </c>
      <c r="F36" s="3450">
        <v>73.23</v>
      </c>
    </row>
    <row r="37" spans="1:6">
      <c r="A37">
        <v>36</v>
      </c>
      <c r="B37">
        <v>41573</v>
      </c>
      <c r="C37">
        <v>-3</v>
      </c>
      <c r="D37">
        <v>3216</v>
      </c>
      <c r="E37" s="3450" t="s">
        <v>3528</v>
      </c>
      <c r="F37" s="3450">
        <v>73.23</v>
      </c>
    </row>
    <row r="38" spans="1:6">
      <c r="A38">
        <v>37</v>
      </c>
      <c r="B38">
        <v>41572</v>
      </c>
      <c r="C38">
        <v>-3</v>
      </c>
      <c r="D38">
        <v>3217</v>
      </c>
      <c r="E38" s="3450" t="s">
        <v>3528</v>
      </c>
      <c r="F38" s="3450">
        <v>48.44</v>
      </c>
    </row>
    <row r="39" spans="1:6">
      <c r="A39">
        <v>38</v>
      </c>
      <c r="B39">
        <v>49956</v>
      </c>
      <c r="C39">
        <v>-1</v>
      </c>
      <c r="D39">
        <v>1019</v>
      </c>
      <c r="E39" s="3450" t="s">
        <v>3528</v>
      </c>
      <c r="F39" s="3450">
        <v>46.06</v>
      </c>
    </row>
    <row r="40" spans="1:6">
      <c r="A40">
        <v>39</v>
      </c>
      <c r="B40">
        <v>49834</v>
      </c>
      <c r="C40">
        <v>-1</v>
      </c>
      <c r="D40">
        <v>1017</v>
      </c>
      <c r="E40" s="3450" t="s">
        <v>3528</v>
      </c>
      <c r="F40" s="3450">
        <v>46.06</v>
      </c>
    </row>
    <row r="41" spans="1:6">
      <c r="A41">
        <v>40</v>
      </c>
      <c r="B41">
        <v>49824</v>
      </c>
      <c r="C41">
        <v>-1</v>
      </c>
      <c r="D41">
        <v>1018</v>
      </c>
      <c r="E41" s="3450" t="s">
        <v>3528</v>
      </c>
      <c r="F41" s="3450">
        <v>46.06</v>
      </c>
    </row>
    <row r="42" spans="1:6">
      <c r="A42">
        <v>41</v>
      </c>
      <c r="B42">
        <v>49983</v>
      </c>
      <c r="C42">
        <v>-1</v>
      </c>
      <c r="D42">
        <v>1020</v>
      </c>
      <c r="E42" s="3450" t="s">
        <v>3528</v>
      </c>
      <c r="F42" s="3450">
        <v>46.06</v>
      </c>
    </row>
    <row r="43" spans="1:6">
      <c r="A43">
        <v>42</v>
      </c>
      <c r="B43">
        <v>49980</v>
      </c>
      <c r="C43">
        <v>-1</v>
      </c>
      <c r="D43">
        <v>1021</v>
      </c>
      <c r="E43" s="3450" t="s">
        <v>3528</v>
      </c>
      <c r="F43" s="3450">
        <v>46.06</v>
      </c>
    </row>
    <row r="44" spans="1:6">
      <c r="A44">
        <v>43</v>
      </c>
      <c r="B44">
        <v>49979</v>
      </c>
      <c r="C44">
        <v>-1</v>
      </c>
      <c r="D44">
        <v>1022</v>
      </c>
      <c r="E44" s="3450" t="s">
        <v>3528</v>
      </c>
      <c r="F44" s="3450">
        <v>46.06</v>
      </c>
    </row>
    <row r="45" spans="1:6">
      <c r="A45">
        <v>44</v>
      </c>
      <c r="B45">
        <v>49976</v>
      </c>
      <c r="C45">
        <v>-1</v>
      </c>
      <c r="D45">
        <v>1023</v>
      </c>
      <c r="E45" s="3450" t="s">
        <v>3528</v>
      </c>
      <c r="F45" s="3450">
        <v>46.06</v>
      </c>
    </row>
    <row r="46" spans="1:6">
      <c r="A46">
        <v>45</v>
      </c>
      <c r="B46">
        <v>49886</v>
      </c>
      <c r="C46">
        <v>-1</v>
      </c>
      <c r="D46">
        <v>1024</v>
      </c>
      <c r="E46" s="3450" t="s">
        <v>3528</v>
      </c>
      <c r="F46" s="3450">
        <v>46.06</v>
      </c>
    </row>
    <row r="47" spans="1:6">
      <c r="A47">
        <v>46</v>
      </c>
      <c r="B47">
        <v>49884</v>
      </c>
      <c r="C47">
        <v>-1</v>
      </c>
      <c r="D47">
        <v>1025</v>
      </c>
      <c r="E47" s="3450" t="s">
        <v>3528</v>
      </c>
      <c r="F47" s="3450">
        <v>46.06</v>
      </c>
    </row>
    <row r="48" spans="1:6">
      <c r="A48">
        <v>47</v>
      </c>
      <c r="B48">
        <v>49877</v>
      </c>
      <c r="C48">
        <v>-1</v>
      </c>
      <c r="D48">
        <v>1026</v>
      </c>
      <c r="E48" s="3450" t="s">
        <v>3528</v>
      </c>
      <c r="F48" s="3450">
        <v>46.06</v>
      </c>
    </row>
    <row r="49" spans="1:6">
      <c r="A49">
        <v>48</v>
      </c>
      <c r="B49">
        <v>49876</v>
      </c>
      <c r="C49">
        <v>-1</v>
      </c>
      <c r="D49">
        <v>1027</v>
      </c>
      <c r="E49" s="3450" t="s">
        <v>3528</v>
      </c>
      <c r="F49" s="3450">
        <v>46.06</v>
      </c>
    </row>
    <row r="50" spans="1:6">
      <c r="A50">
        <v>49</v>
      </c>
      <c r="B50">
        <v>49874</v>
      </c>
      <c r="C50">
        <v>-1</v>
      </c>
      <c r="D50">
        <v>1028</v>
      </c>
      <c r="E50" s="3450" t="s">
        <v>3528</v>
      </c>
      <c r="F50" s="3450">
        <v>46.06</v>
      </c>
    </row>
    <row r="51" spans="1:6">
      <c r="A51">
        <v>50</v>
      </c>
      <c r="B51">
        <v>49857</v>
      </c>
      <c r="C51">
        <v>-1</v>
      </c>
      <c r="D51">
        <v>1029</v>
      </c>
      <c r="E51" s="3450" t="s">
        <v>3528</v>
      </c>
      <c r="F51" s="3450">
        <v>46.06</v>
      </c>
    </row>
    <row r="52" spans="1:6">
      <c r="A52">
        <v>51</v>
      </c>
      <c r="B52">
        <v>49849</v>
      </c>
      <c r="C52">
        <v>-1</v>
      </c>
      <c r="D52">
        <v>1030</v>
      </c>
      <c r="E52" s="3450" t="s">
        <v>3528</v>
      </c>
      <c r="F52" s="3450">
        <v>46.06</v>
      </c>
    </row>
    <row r="53" spans="1:6">
      <c r="A53">
        <v>52</v>
      </c>
      <c r="B53">
        <v>49840</v>
      </c>
      <c r="C53">
        <v>-1</v>
      </c>
      <c r="D53">
        <v>1031</v>
      </c>
      <c r="E53" s="3450" t="s">
        <v>3528</v>
      </c>
      <c r="F53" s="3450">
        <v>46.06</v>
      </c>
    </row>
    <row r="54" spans="1:6">
      <c r="A54">
        <v>53</v>
      </c>
      <c r="B54">
        <v>49970</v>
      </c>
      <c r="C54">
        <v>-1</v>
      </c>
      <c r="D54">
        <v>1032</v>
      </c>
      <c r="E54" s="3450" t="s">
        <v>3528</v>
      </c>
      <c r="F54" s="3450">
        <v>46.06</v>
      </c>
    </row>
    <row r="55" spans="1:6">
      <c r="A55">
        <v>54</v>
      </c>
      <c r="B55">
        <v>49966</v>
      </c>
      <c r="C55">
        <v>-1</v>
      </c>
      <c r="D55">
        <v>1033</v>
      </c>
      <c r="E55" s="3450" t="s">
        <v>3528</v>
      </c>
      <c r="F55" s="3450">
        <v>46.06</v>
      </c>
    </row>
    <row r="56" spans="1:6">
      <c r="A56">
        <v>55</v>
      </c>
      <c r="B56">
        <v>49963</v>
      </c>
      <c r="C56">
        <v>-1</v>
      </c>
      <c r="D56">
        <v>1034</v>
      </c>
      <c r="E56" s="3450" t="s">
        <v>3528</v>
      </c>
      <c r="F56" s="3450">
        <v>46.06</v>
      </c>
    </row>
    <row r="57" spans="1:6">
      <c r="A57">
        <v>56</v>
      </c>
      <c r="B57">
        <v>49961</v>
      </c>
      <c r="C57">
        <v>-1</v>
      </c>
      <c r="D57">
        <v>1035</v>
      </c>
      <c r="E57" s="3450" t="s">
        <v>3528</v>
      </c>
      <c r="F57" s="3450">
        <v>46.06</v>
      </c>
    </row>
    <row r="58" spans="1:6">
      <c r="A58">
        <v>57</v>
      </c>
      <c r="B58">
        <v>49959</v>
      </c>
      <c r="C58">
        <v>-1</v>
      </c>
      <c r="D58">
        <v>1037</v>
      </c>
      <c r="E58" s="3450" t="s">
        <v>3528</v>
      </c>
      <c r="F58" s="3450">
        <v>46.06</v>
      </c>
    </row>
    <row r="59" spans="1:6">
      <c r="A59">
        <v>58</v>
      </c>
      <c r="B59">
        <v>50117</v>
      </c>
      <c r="C59">
        <v>-1</v>
      </c>
      <c r="D59">
        <v>1038</v>
      </c>
      <c r="E59" s="3450" t="s">
        <v>3528</v>
      </c>
      <c r="F59" s="3450">
        <v>46.06</v>
      </c>
    </row>
    <row r="60" spans="1:6">
      <c r="A60">
        <v>59</v>
      </c>
      <c r="B60">
        <v>50125</v>
      </c>
      <c r="C60">
        <v>-1</v>
      </c>
      <c r="D60">
        <v>1046</v>
      </c>
      <c r="E60" s="3450" t="s">
        <v>3528</v>
      </c>
      <c r="F60" s="3450">
        <v>46.06</v>
      </c>
    </row>
    <row r="61" spans="1:6">
      <c r="A61">
        <v>60</v>
      </c>
      <c r="B61">
        <v>50137</v>
      </c>
      <c r="C61">
        <v>-2</v>
      </c>
      <c r="D61">
        <v>2002</v>
      </c>
      <c r="E61" s="3450" t="s">
        <v>3530</v>
      </c>
      <c r="F61" s="3450">
        <v>5543.31</v>
      </c>
    </row>
    <row r="62" spans="1:6">
      <c r="F62">
        <f>SUM(F2:F61)</f>
        <v>11876.310000000001</v>
      </c>
    </row>
  </sheetData>
  <phoneticPr fontId="134" type="noConversion"/>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activeCell="G28" sqref="G28"/>
    </sheetView>
  </sheetViews>
  <sheetFormatPr defaultRowHeight="13.5"/>
  <cols>
    <col min="9" max="9" width="10.5" bestFit="1" customWidth="1"/>
  </cols>
  <sheetData>
    <row r="1" spans="1:12">
      <c r="A1" s="3450" t="s">
        <v>3898</v>
      </c>
    </row>
    <row r="2" spans="1:12">
      <c r="A2" s="3450" t="s">
        <v>3899</v>
      </c>
      <c r="B2" s="3450" t="s">
        <v>3900</v>
      </c>
      <c r="C2" s="3450" t="s">
        <v>3901</v>
      </c>
      <c r="D2" s="3450" t="s">
        <v>3902</v>
      </c>
      <c r="E2" s="3450" t="s">
        <v>3904</v>
      </c>
      <c r="F2" s="3450" t="s">
        <v>3903</v>
      </c>
      <c r="G2" s="3450" t="s">
        <v>3416</v>
      </c>
      <c r="H2" s="3450" t="s">
        <v>3905</v>
      </c>
      <c r="I2" s="3450" t="s">
        <v>3906</v>
      </c>
    </row>
    <row r="3" spans="1:12">
      <c r="A3">
        <v>1</v>
      </c>
      <c r="B3">
        <v>101</v>
      </c>
      <c r="C3">
        <v>27286</v>
      </c>
      <c r="D3">
        <v>11995.31</v>
      </c>
      <c r="E3">
        <v>5.5</v>
      </c>
      <c r="F3">
        <v>52860</v>
      </c>
      <c r="G3">
        <v>63407.2068</v>
      </c>
      <c r="H3">
        <f t="shared" ref="H3:H27" si="0">G3*10000/C3</f>
        <v>23238</v>
      </c>
      <c r="I3" s="3451">
        <v>42878</v>
      </c>
      <c r="L3" s="3450" t="s">
        <v>3908</v>
      </c>
    </row>
    <row r="4" spans="1:12">
      <c r="A4">
        <v>-1</v>
      </c>
      <c r="B4">
        <v>-102</v>
      </c>
      <c r="C4">
        <v>128.65</v>
      </c>
      <c r="D4">
        <v>47.26</v>
      </c>
      <c r="E4">
        <v>6.9</v>
      </c>
      <c r="F4">
        <v>63257.91</v>
      </c>
      <c r="G4">
        <v>298.95690000000002</v>
      </c>
      <c r="H4">
        <f t="shared" si="0"/>
        <v>23238.002331908276</v>
      </c>
      <c r="I4" s="3451">
        <f t="shared" ref="I4:I27" si="1">I3</f>
        <v>42878</v>
      </c>
      <c r="K4" s="3450" t="s">
        <v>3907</v>
      </c>
      <c r="L4">
        <v>196085</v>
      </c>
    </row>
    <row r="5" spans="1:12">
      <c r="A5">
        <v>1</v>
      </c>
      <c r="B5">
        <v>103</v>
      </c>
      <c r="C5">
        <v>271.22000000000003</v>
      </c>
      <c r="D5">
        <v>119.23</v>
      </c>
      <c r="E5">
        <v>6</v>
      </c>
      <c r="F5">
        <v>88101.58</v>
      </c>
      <c r="G5">
        <v>1050.4350999999999</v>
      </c>
      <c r="H5">
        <f t="shared" si="0"/>
        <v>38730.001474817487</v>
      </c>
      <c r="I5" s="3451">
        <f t="shared" si="1"/>
        <v>42878</v>
      </c>
    </row>
    <row r="6" spans="1:12">
      <c r="A6">
        <v>-2</v>
      </c>
      <c r="B6">
        <v>-101</v>
      </c>
      <c r="C6">
        <v>14173.28</v>
      </c>
      <c r="D6">
        <v>5206.7700000000004</v>
      </c>
      <c r="E6">
        <v>5.5</v>
      </c>
      <c r="F6">
        <v>52713.21</v>
      </c>
      <c r="G6">
        <v>27446.556700000001</v>
      </c>
      <c r="H6">
        <f t="shared" si="0"/>
        <v>19364.999985888939</v>
      </c>
      <c r="I6" s="3451">
        <f t="shared" si="1"/>
        <v>42878</v>
      </c>
    </row>
    <row r="7" spans="1:12">
      <c r="A7">
        <v>2</v>
      </c>
      <c r="B7">
        <v>201</v>
      </c>
      <c r="C7">
        <v>428.97</v>
      </c>
      <c r="D7">
        <v>188.58</v>
      </c>
      <c r="E7">
        <v>5.5</v>
      </c>
      <c r="F7">
        <v>61670.41</v>
      </c>
      <c r="G7">
        <v>1162.9806000000001</v>
      </c>
      <c r="H7">
        <f t="shared" si="0"/>
        <v>27111.000769284568</v>
      </c>
      <c r="I7" s="3451">
        <f t="shared" si="1"/>
        <v>42878</v>
      </c>
    </row>
    <row r="8" spans="1:12">
      <c r="A8">
        <v>-2</v>
      </c>
      <c r="B8">
        <v>-201</v>
      </c>
      <c r="C8">
        <v>577.54999999999995</v>
      </c>
      <c r="D8">
        <v>212.17</v>
      </c>
      <c r="E8">
        <v>5.5</v>
      </c>
      <c r="F8">
        <v>52713.65</v>
      </c>
      <c r="G8">
        <v>1118.4256</v>
      </c>
      <c r="H8">
        <f t="shared" si="0"/>
        <v>19365.000432862958</v>
      </c>
      <c r="I8" s="3451">
        <f t="shared" si="1"/>
        <v>42878</v>
      </c>
    </row>
    <row r="9" spans="1:12">
      <c r="A9">
        <v>2</v>
      </c>
      <c r="B9">
        <v>203</v>
      </c>
      <c r="C9">
        <v>240.05</v>
      </c>
      <c r="D9">
        <v>105.53</v>
      </c>
      <c r="E9">
        <v>5.5</v>
      </c>
      <c r="F9">
        <v>61669.63</v>
      </c>
      <c r="G9">
        <v>650.79960000000005</v>
      </c>
      <c r="H9">
        <f t="shared" si="0"/>
        <v>27111.001874609457</v>
      </c>
      <c r="I9" s="3451">
        <f t="shared" si="1"/>
        <v>42878</v>
      </c>
    </row>
    <row r="10" spans="1:12">
      <c r="A10">
        <v>2</v>
      </c>
      <c r="B10">
        <v>204</v>
      </c>
      <c r="C10">
        <v>284.7</v>
      </c>
      <c r="D10">
        <v>125.16</v>
      </c>
      <c r="E10">
        <v>5.5</v>
      </c>
      <c r="F10">
        <v>61669.08</v>
      </c>
      <c r="G10">
        <v>771.85019999999997</v>
      </c>
      <c r="H10">
        <f t="shared" si="0"/>
        <v>27111.00105374078</v>
      </c>
      <c r="I10" s="3451">
        <f t="shared" si="1"/>
        <v>42878</v>
      </c>
    </row>
    <row r="11" spans="1:12">
      <c r="A11">
        <v>3</v>
      </c>
      <c r="B11">
        <v>302</v>
      </c>
      <c r="C11">
        <v>535.63</v>
      </c>
      <c r="D11">
        <v>235.47</v>
      </c>
      <c r="E11">
        <v>5.5</v>
      </c>
      <c r="F11">
        <v>52860.11</v>
      </c>
      <c r="G11">
        <v>1244.6969999999999</v>
      </c>
      <c r="H11">
        <f t="shared" si="0"/>
        <v>23238.00011201762</v>
      </c>
      <c r="I11" s="3451">
        <f t="shared" si="1"/>
        <v>42878</v>
      </c>
    </row>
    <row r="12" spans="1:12">
      <c r="A12">
        <v>3</v>
      </c>
      <c r="B12">
        <v>304</v>
      </c>
      <c r="C12">
        <v>287.93</v>
      </c>
      <c r="D12">
        <v>126.58</v>
      </c>
      <c r="E12">
        <v>5.5</v>
      </c>
      <c r="F12">
        <v>52859.199999999997</v>
      </c>
      <c r="G12">
        <v>669.09169999999995</v>
      </c>
      <c r="H12">
        <f t="shared" si="0"/>
        <v>23237.99881915743</v>
      </c>
      <c r="I12" s="3451">
        <f t="shared" si="1"/>
        <v>42878</v>
      </c>
    </row>
    <row r="13" spans="1:12">
      <c r="A13">
        <v>3</v>
      </c>
      <c r="B13">
        <v>305</v>
      </c>
      <c r="C13">
        <v>409.95</v>
      </c>
      <c r="D13">
        <v>180.22</v>
      </c>
      <c r="E13">
        <v>5.5</v>
      </c>
      <c r="F13">
        <v>52859.94</v>
      </c>
      <c r="G13">
        <v>952.64179999999999</v>
      </c>
      <c r="H13">
        <f t="shared" si="0"/>
        <v>23237.999756067813</v>
      </c>
      <c r="I13" s="3451">
        <f t="shared" si="1"/>
        <v>42878</v>
      </c>
    </row>
    <row r="14" spans="1:12">
      <c r="A14">
        <v>4</v>
      </c>
      <c r="B14">
        <v>403</v>
      </c>
      <c r="C14">
        <v>862.76</v>
      </c>
      <c r="D14">
        <v>379.28</v>
      </c>
      <c r="E14">
        <v>5.5</v>
      </c>
      <c r="F14">
        <v>48455.18</v>
      </c>
      <c r="G14">
        <v>1837.8081999999999</v>
      </c>
      <c r="H14">
        <f t="shared" si="0"/>
        <v>21301.499837730076</v>
      </c>
      <c r="I14" s="3451">
        <f t="shared" si="1"/>
        <v>42878</v>
      </c>
    </row>
    <row r="15" spans="1:12">
      <c r="A15">
        <v>4</v>
      </c>
      <c r="B15">
        <v>404</v>
      </c>
      <c r="C15">
        <v>288.5</v>
      </c>
      <c r="D15">
        <v>126.83</v>
      </c>
      <c r="E15">
        <v>5.5</v>
      </c>
      <c r="F15">
        <v>48454.61</v>
      </c>
      <c r="G15">
        <v>614.5498</v>
      </c>
      <c r="H15">
        <f t="shared" si="0"/>
        <v>21301.552859618718</v>
      </c>
      <c r="I15" s="3451">
        <f t="shared" si="1"/>
        <v>42878</v>
      </c>
    </row>
    <row r="16" spans="1:12">
      <c r="A16">
        <v>1</v>
      </c>
      <c r="B16">
        <v>102</v>
      </c>
      <c r="C16">
        <v>242.05</v>
      </c>
      <c r="D16">
        <v>106.41</v>
      </c>
      <c r="E16">
        <v>6</v>
      </c>
      <c r="F16">
        <v>87825.87</v>
      </c>
      <c r="G16">
        <v>934.55510000000004</v>
      </c>
      <c r="H16">
        <f t="shared" si="0"/>
        <v>38610.002065688903</v>
      </c>
      <c r="I16" s="3451">
        <f t="shared" si="1"/>
        <v>42878</v>
      </c>
    </row>
    <row r="17" spans="1:9">
      <c r="A17">
        <v>-1</v>
      </c>
      <c r="B17">
        <v>-103</v>
      </c>
      <c r="C17">
        <v>250.87</v>
      </c>
      <c r="D17">
        <v>92.16</v>
      </c>
      <c r="E17">
        <v>6.9</v>
      </c>
      <c r="F17">
        <v>84080.65</v>
      </c>
      <c r="G17">
        <v>774.88729999999998</v>
      </c>
      <c r="H17">
        <f t="shared" si="0"/>
        <v>30888.001753896438</v>
      </c>
      <c r="I17" s="3451">
        <f t="shared" si="1"/>
        <v>42878</v>
      </c>
    </row>
    <row r="18" spans="1:9">
      <c r="A18">
        <v>-1</v>
      </c>
      <c r="B18">
        <v>-104</v>
      </c>
      <c r="C18">
        <v>223.65</v>
      </c>
      <c r="D18">
        <v>82.16</v>
      </c>
      <c r="E18">
        <v>6.9</v>
      </c>
      <c r="F18">
        <v>84081.07</v>
      </c>
      <c r="G18">
        <v>690.81010000000003</v>
      </c>
      <c r="H18">
        <f t="shared" si="0"/>
        <v>30887.999105745585</v>
      </c>
      <c r="I18" s="3451">
        <f t="shared" si="1"/>
        <v>42878</v>
      </c>
    </row>
    <row r="19" spans="1:9">
      <c r="A19">
        <v>1</v>
      </c>
      <c r="B19">
        <v>104</v>
      </c>
      <c r="C19">
        <v>246.92</v>
      </c>
      <c r="D19">
        <v>108.55</v>
      </c>
      <c r="E19">
        <v>6</v>
      </c>
      <c r="F19">
        <v>87826.63</v>
      </c>
      <c r="G19">
        <v>953.35810000000004</v>
      </c>
      <c r="H19">
        <f t="shared" si="0"/>
        <v>38609.999190021059</v>
      </c>
      <c r="I19" s="3451">
        <f t="shared" si="1"/>
        <v>42878</v>
      </c>
    </row>
    <row r="20" spans="1:9">
      <c r="A20">
        <v>1</v>
      </c>
      <c r="B20">
        <v>105</v>
      </c>
      <c r="C20">
        <v>28307.8</v>
      </c>
      <c r="D20">
        <v>12444.51</v>
      </c>
      <c r="E20">
        <v>5.5</v>
      </c>
      <c r="F20">
        <v>70261.61</v>
      </c>
      <c r="G20">
        <v>87437.132599999997</v>
      </c>
      <c r="H20">
        <f t="shared" si="0"/>
        <v>30887.999985869621</v>
      </c>
      <c r="I20" s="3451">
        <f t="shared" si="1"/>
        <v>42878</v>
      </c>
    </row>
    <row r="21" spans="1:9">
      <c r="A21">
        <v>-2</v>
      </c>
      <c r="B21">
        <v>-105</v>
      </c>
      <c r="C21">
        <v>9086.52</v>
      </c>
      <c r="D21">
        <v>3338.07</v>
      </c>
      <c r="E21">
        <v>5.5</v>
      </c>
      <c r="F21">
        <v>63059.89</v>
      </c>
      <c r="G21">
        <v>21049.832200000001</v>
      </c>
      <c r="H21">
        <f t="shared" si="0"/>
        <v>23165.999964782997</v>
      </c>
      <c r="I21" s="3451">
        <f t="shared" si="1"/>
        <v>42878</v>
      </c>
    </row>
    <row r="22" spans="1:9">
      <c r="A22">
        <v>-2</v>
      </c>
      <c r="B22">
        <v>-202</v>
      </c>
      <c r="C22">
        <v>330.98</v>
      </c>
      <c r="D22">
        <v>121.59</v>
      </c>
      <c r="E22">
        <v>5.5</v>
      </c>
      <c r="F22">
        <v>63060.14</v>
      </c>
      <c r="G22">
        <v>766.74829999999997</v>
      </c>
      <c r="H22">
        <f t="shared" si="0"/>
        <v>23166.000966825788</v>
      </c>
      <c r="I22" s="3451">
        <f t="shared" si="1"/>
        <v>42878</v>
      </c>
    </row>
    <row r="23" spans="1:9">
      <c r="A23">
        <v>2</v>
      </c>
      <c r="B23">
        <v>202</v>
      </c>
      <c r="C23">
        <v>308.48</v>
      </c>
      <c r="D23">
        <v>135.61000000000001</v>
      </c>
      <c r="E23">
        <v>5.5</v>
      </c>
      <c r="F23">
        <v>70262.740000000005</v>
      </c>
      <c r="G23">
        <v>952.83299999999997</v>
      </c>
      <c r="H23">
        <f t="shared" si="0"/>
        <v>30887.9992219917</v>
      </c>
      <c r="I23" s="3451">
        <f t="shared" si="1"/>
        <v>42878</v>
      </c>
    </row>
    <row r="24" spans="1:9">
      <c r="A24">
        <v>3</v>
      </c>
      <c r="B24">
        <v>406</v>
      </c>
      <c r="C24">
        <v>5028.34</v>
      </c>
      <c r="D24">
        <v>2564.35</v>
      </c>
      <c r="E24">
        <v>5.5</v>
      </c>
      <c r="F24">
        <v>49210.81</v>
      </c>
      <c r="G24">
        <v>12619.3735</v>
      </c>
      <c r="H24">
        <f t="shared" si="0"/>
        <v>25096.500037785831</v>
      </c>
      <c r="I24" s="3451">
        <f t="shared" si="1"/>
        <v>42878</v>
      </c>
    </row>
    <row r="25" spans="1:9">
      <c r="A25">
        <v>4</v>
      </c>
      <c r="B25">
        <v>405</v>
      </c>
      <c r="C25">
        <v>409.25</v>
      </c>
      <c r="D25">
        <v>179.91</v>
      </c>
      <c r="E25">
        <v>5.5</v>
      </c>
      <c r="F25">
        <v>57088.23</v>
      </c>
      <c r="G25">
        <v>1027.0743</v>
      </c>
      <c r="H25">
        <f t="shared" si="0"/>
        <v>25096.500916310324</v>
      </c>
      <c r="I25" s="3451">
        <f t="shared" si="1"/>
        <v>42878</v>
      </c>
    </row>
    <row r="26" spans="1:9">
      <c r="A26">
        <v>5</v>
      </c>
      <c r="B26">
        <v>503</v>
      </c>
      <c r="C26">
        <v>964.78</v>
      </c>
      <c r="D26">
        <v>424.13</v>
      </c>
      <c r="E26">
        <v>5.5</v>
      </c>
      <c r="F26">
        <v>52696.33</v>
      </c>
      <c r="G26">
        <v>2235.0093000000002</v>
      </c>
      <c r="H26">
        <f t="shared" si="0"/>
        <v>23165.999502477251</v>
      </c>
      <c r="I26" s="3451">
        <f t="shared" si="1"/>
        <v>42878</v>
      </c>
    </row>
    <row r="27" spans="1:9">
      <c r="A27">
        <v>5</v>
      </c>
      <c r="B27">
        <v>504</v>
      </c>
      <c r="C27">
        <v>932.14</v>
      </c>
      <c r="D27">
        <v>409.78</v>
      </c>
      <c r="E27">
        <v>5.5</v>
      </c>
      <c r="F27">
        <v>52720.639999999999</v>
      </c>
      <c r="G27">
        <v>2160.3861999999999</v>
      </c>
      <c r="H27">
        <f t="shared" si="0"/>
        <v>23176.627974338619</v>
      </c>
      <c r="I27" s="3451">
        <f t="shared" si="1"/>
        <v>42878</v>
      </c>
    </row>
    <row r="28" spans="1:9">
      <c r="C28">
        <f>SUM(C3:C27)</f>
        <v>92106.97</v>
      </c>
      <c r="D28">
        <f>SUM(D3:D27)</f>
        <v>39055.619999999995</v>
      </c>
      <c r="G28">
        <f>SUM(G3:G27)</f>
        <v>232828</v>
      </c>
      <c r="H28">
        <f>G28/'数据-汇总表'!E19</f>
        <v>2.5303645264690164</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0" t="s">
        <v>949</v>
      </c>
      <c r="B1" s="3560"/>
      <c r="C1" s="3560"/>
      <c r="D1" s="3560"/>
    </row>
    <row r="2" spans="1:4" ht="18">
      <c r="A2" s="3561" t="s">
        <v>933</v>
      </c>
      <c r="B2" s="3561"/>
      <c r="C2" s="3561"/>
      <c r="D2" s="356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61" t="s">
        <v>939</v>
      </c>
      <c r="B6" s="3561"/>
      <c r="C6" s="3561"/>
      <c r="D6" s="356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2" t="s">
        <v>942</v>
      </c>
      <c r="B11" s="3563"/>
      <c r="C11" s="3563"/>
      <c r="D11" s="3563"/>
    </row>
    <row r="12" spans="1:4" ht="15.75">
      <c r="A12" s="35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4"/>
      <c r="C12" s="3564"/>
      <c r="D12" s="3564"/>
    </row>
    <row r="13" spans="1:4" ht="30" customHeight="1">
      <c r="A13" s="35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4"/>
      <c r="C13" s="3564"/>
      <c r="D13" s="3564"/>
    </row>
    <row r="14" spans="1:4" ht="15.75" customHeight="1">
      <c r="A14" s="3563" t="str">
        <f>IF(项目基本情况!B8="抵押","4.本次评估估价师所知悉的法定优先受偿款情况说明如下：","——")</f>
        <v>4.本次评估估价师所知悉的法定优先受偿款情况说明如下：</v>
      </c>
      <c r="B14" s="3564"/>
      <c r="C14" s="3564"/>
      <c r="D14" s="3564"/>
    </row>
    <row r="15" spans="1:4" ht="42" customHeight="1">
      <c r="A15" s="356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3"/>
      <c r="C15" s="3563"/>
      <c r="D15" s="3563"/>
    </row>
    <row r="16" spans="1:4" ht="30" customHeight="1">
      <c r="A16" s="3566" t="s">
        <v>943</v>
      </c>
      <c r="B16" s="3566"/>
      <c r="C16" s="3566"/>
      <c r="D16" s="3566"/>
    </row>
    <row r="17" spans="1:4" ht="144" customHeight="1">
      <c r="A17" s="3566" t="s">
        <v>944</v>
      </c>
      <c r="B17" s="3566"/>
      <c r="C17" s="3566"/>
      <c r="D17" s="3566"/>
    </row>
    <row r="18" spans="1:4" ht="15.75" customHeight="1">
      <c r="A18" s="3563" t="str">
        <f>IF(项目基本情况!B8="抵押",结果表!K120,"——")</f>
        <v>故，本次评估不存在</v>
      </c>
      <c r="B18" s="3563"/>
      <c r="C18" s="3563"/>
      <c r="D18" s="3563"/>
    </row>
    <row r="19" spans="1:4" ht="46.5" customHeight="1">
      <c r="A19" s="35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3"/>
      <c r="C19" s="3563"/>
      <c r="D19" s="3563"/>
    </row>
    <row r="20" spans="1:4" ht="57.75" customHeight="1">
      <c r="A20" s="35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3"/>
      <c r="C20" s="3563"/>
      <c r="D20" s="3563"/>
    </row>
    <row r="21" spans="1:4" ht="57.75" customHeight="1">
      <c r="A21" s="35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7"/>
      <c r="C21" s="3567"/>
      <c r="D21" s="3567"/>
    </row>
    <row r="22" spans="1:4" ht="18.75" customHeight="1">
      <c r="A22" s="3568" t="s">
        <v>945</v>
      </c>
      <c r="B22" s="3568"/>
      <c r="C22" s="3568"/>
      <c r="D22" s="356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5">
        <v>42551</v>
      </c>
      <c r="D31" s="35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4" t="s">
        <v>956</v>
      </c>
      <c r="B15" s="3569" t="s">
        <v>109</v>
      </c>
      <c r="C15" s="3570"/>
    </row>
    <row r="16" spans="1:7" ht="13.5">
      <c r="A16" s="3575"/>
      <c r="B16" s="3569" t="s">
        <v>42</v>
      </c>
      <c r="C16" s="3570"/>
    </row>
    <row r="17" spans="1:3" ht="13.5">
      <c r="A17" s="3575"/>
      <c r="B17" s="3572" t="s">
        <v>957</v>
      </c>
      <c r="C17" s="1532" t="s">
        <v>956</v>
      </c>
    </row>
    <row r="18" spans="1:3" ht="13.5">
      <c r="A18" s="3575"/>
      <c r="B18" s="3572"/>
      <c r="C18" s="1532" t="s">
        <v>958</v>
      </c>
    </row>
    <row r="19" spans="1:3" ht="13.5">
      <c r="A19" s="3575"/>
      <c r="B19" s="3572"/>
      <c r="C19" s="1532" t="s">
        <v>959</v>
      </c>
    </row>
    <row r="20" spans="1:3" ht="13.5">
      <c r="A20" s="3576"/>
      <c r="B20" s="3571" t="s">
        <v>960</v>
      </c>
      <c r="C20" s="3570"/>
    </row>
    <row r="21" spans="1:3" ht="13.5">
      <c r="A21" s="1533" t="s">
        <v>961</v>
      </c>
      <c r="B21" s="1534"/>
      <c r="C21" s="1535"/>
    </row>
    <row r="22" spans="1:3" ht="13.5">
      <c r="A22" s="3573" t="s">
        <v>962</v>
      </c>
      <c r="B22" s="3571" t="s">
        <v>963</v>
      </c>
      <c r="C22" s="3570"/>
    </row>
    <row r="23" spans="1:3" ht="13.5">
      <c r="A23" s="3573"/>
      <c r="B23" s="3571" t="s">
        <v>964</v>
      </c>
      <c r="C23" s="3570"/>
    </row>
    <row r="24" spans="1:3" ht="13.5">
      <c r="A24" s="3573"/>
      <c r="B24" s="3571" t="s">
        <v>965</v>
      </c>
      <c r="C24" s="3570"/>
    </row>
    <row r="25" spans="1:3" ht="13.5">
      <c r="A25" s="3573"/>
      <c r="B25" s="3572" t="s">
        <v>966</v>
      </c>
      <c r="C25" s="1532" t="s">
        <v>967</v>
      </c>
    </row>
    <row r="26" spans="1:3" ht="13.5">
      <c r="A26" s="3573"/>
      <c r="B26" s="3572"/>
      <c r="C26" s="1532" t="s">
        <v>968</v>
      </c>
    </row>
    <row r="27" spans="1:3" ht="13.5">
      <c r="A27" s="3573"/>
      <c r="B27" s="3572"/>
      <c r="C27" s="1532" t="s">
        <v>969</v>
      </c>
    </row>
    <row r="28" spans="1:3" ht="13.5">
      <c r="A28" s="3573"/>
      <c r="B28" s="3572"/>
      <c r="C28" s="1532" t="s">
        <v>970</v>
      </c>
    </row>
    <row r="29" spans="1:3" ht="13.5">
      <c r="A29" s="3573"/>
      <c r="B29" s="3572"/>
      <c r="C29" s="1532" t="s">
        <v>971</v>
      </c>
    </row>
    <row r="30" spans="1:3" ht="13.5">
      <c r="A30" s="3573"/>
      <c r="B30" s="3572"/>
      <c r="C30" s="1532" t="s">
        <v>972</v>
      </c>
    </row>
    <row r="31" spans="1:3" ht="13.5">
      <c r="A31" s="3573"/>
      <c r="B31" s="3572"/>
      <c r="C31" s="1532" t="s">
        <v>973</v>
      </c>
    </row>
    <row r="32" spans="1:3" ht="13.5">
      <c r="A32" s="3573"/>
      <c r="B32" s="3572"/>
      <c r="C32" s="1532" t="s">
        <v>974</v>
      </c>
    </row>
    <row r="33" spans="1:3" ht="13.5">
      <c r="A33" s="3573"/>
      <c r="B33" s="357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45212</v>
      </c>
      <c r="C2" s="2338" t="s">
        <v>2138</v>
      </c>
      <c r="D2" s="2338"/>
      <c r="E2" s="2338"/>
      <c r="F2" s="2334"/>
      <c r="G2" s="2334"/>
      <c r="H2" s="2334"/>
    </row>
    <row r="3" spans="1:8" ht="24" customHeight="1">
      <c r="A3" s="2339" t="s">
        <v>2139</v>
      </c>
      <c r="B3" s="2340" t="s">
        <v>2140</v>
      </c>
      <c r="C3" s="2340" t="s">
        <v>2141</v>
      </c>
      <c r="D3" s="2341" t="s">
        <v>2142</v>
      </c>
      <c r="E3" s="2342" t="s">
        <v>2143</v>
      </c>
      <c r="F3" s="1304" t="s">
        <v>2144</v>
      </c>
      <c r="G3" s="2340" t="s">
        <v>2141</v>
      </c>
      <c r="H3" s="2341" t="s">
        <v>2145</v>
      </c>
    </row>
    <row r="4" spans="1:8" ht="24" customHeight="1">
      <c r="A4" s="1304" t="s">
        <v>2146</v>
      </c>
      <c r="B4" s="1304">
        <f ca="1">IF(C4&lt;B2,"已过期",1119970066)</f>
        <v>1119970066</v>
      </c>
      <c r="C4" s="2343">
        <v>45937</v>
      </c>
      <c r="D4" s="2344" t="str">
        <f ca="1">A4&amp;"（注册号："&amp;B4&amp;"）"</f>
        <v>梁津（注册号：1119970066）</v>
      </c>
      <c r="E4" s="2345" t="s">
        <v>2146</v>
      </c>
      <c r="F4" s="1304">
        <f ca="1">IF(G4&lt;B2,"已过期",96010014)</f>
        <v>96010014</v>
      </c>
      <c r="G4" s="2346">
        <v>47118</v>
      </c>
      <c r="H4" s="2347" t="str">
        <f ca="1">E4&amp;"（注册号："&amp;F4&amp;"）"</f>
        <v>梁津（注册号：96010014）</v>
      </c>
    </row>
    <row r="5" spans="1:8" ht="24" customHeight="1">
      <c r="A5" s="1304" t="s">
        <v>2147</v>
      </c>
      <c r="B5" s="1304">
        <f ca="1">IF(C5&lt;B2,"已过期",1119970111)</f>
        <v>1119970111</v>
      </c>
      <c r="C5" s="2343">
        <v>45937</v>
      </c>
      <c r="D5" s="2344" t="str">
        <f t="shared" ref="D5:D15" ca="1" si="0">A5&amp;"（注册号："&amp;B5&amp;"）"</f>
        <v>叶凌（注册号：1119970111）</v>
      </c>
      <c r="E5" s="2345" t="s">
        <v>2147</v>
      </c>
      <c r="F5" s="1304">
        <f ca="1">IF(G5&lt;B2,"已过期",94010078)</f>
        <v>94010078</v>
      </c>
      <c r="G5" s="2346">
        <v>46387</v>
      </c>
      <c r="H5" s="2347" t="str">
        <f t="shared" ref="H5:H16" ca="1" si="1">E5&amp;"（注册号："&amp;F5&amp;"）"</f>
        <v>叶凌（注册号：94010078）</v>
      </c>
    </row>
    <row r="6" spans="1:8" ht="24" customHeight="1">
      <c r="A6" s="1304" t="s">
        <v>2148</v>
      </c>
      <c r="B6" s="1304">
        <f ca="1">IF(C6&lt;B2,"已过期",1120050019)</f>
        <v>1120050019</v>
      </c>
      <c r="C6" s="2343">
        <v>45410</v>
      </c>
      <c r="D6" s="2344" t="str">
        <f t="shared" ca="1" si="0"/>
        <v>王鹏（注册号：1120050019）</v>
      </c>
      <c r="E6" s="2345" t="s">
        <v>2148</v>
      </c>
      <c r="F6" s="1304">
        <f ca="1">IF(G6&lt;B2,"已过期",2002110030)</f>
        <v>2002110030</v>
      </c>
      <c r="G6" s="2346">
        <v>46387</v>
      </c>
      <c r="H6" s="2347" t="str">
        <f t="shared" ca="1" si="1"/>
        <v>王鹏（注册号：2002110030）</v>
      </c>
    </row>
    <row r="7" spans="1:8" ht="24" customHeight="1">
      <c r="A7" s="1304" t="s">
        <v>2149</v>
      </c>
      <c r="B7" s="1304">
        <f ca="1">IF(C7&lt;B2,"已过期",1120000080)</f>
        <v>1120000080</v>
      </c>
      <c r="C7" s="2343">
        <v>45937</v>
      </c>
      <c r="D7" s="2344" t="str">
        <f t="shared" ca="1" si="0"/>
        <v>欧红伟（注册号：1120000080）</v>
      </c>
      <c r="E7" s="2345" t="s">
        <v>2149</v>
      </c>
      <c r="F7" s="1304">
        <f ca="1">IF(G7&lt;B2,"已过期",2000110082)</f>
        <v>2000110082</v>
      </c>
      <c r="G7" s="2346">
        <v>46387</v>
      </c>
      <c r="H7" s="2347" t="str">
        <f t="shared" ca="1" si="1"/>
        <v>欧红伟（注册号：2000110082）</v>
      </c>
    </row>
    <row r="8" spans="1:8" ht="24" customHeight="1">
      <c r="A8" s="1304" t="s">
        <v>2150</v>
      </c>
      <c r="B8" s="1304">
        <f ca="1">IF(C8&lt;B2,"已过期",1419970001)</f>
        <v>1419970001</v>
      </c>
      <c r="C8" s="2343">
        <v>45937</v>
      </c>
      <c r="D8" s="2344" t="str">
        <f t="shared" ca="1" si="0"/>
        <v>吴薇（注册号：1419970001）</v>
      </c>
      <c r="E8" s="2345" t="s">
        <v>2150</v>
      </c>
      <c r="F8" s="1304">
        <f ca="1">IF(G8&lt;B2,"已过期",2002110125)</f>
        <v>2002110125</v>
      </c>
      <c r="G8" s="2346">
        <v>47118</v>
      </c>
      <c r="H8" s="2347" t="str">
        <f t="shared" ca="1" si="1"/>
        <v>吴薇（注册号：2002110125）</v>
      </c>
    </row>
    <row r="9" spans="1:8" ht="24" customHeight="1">
      <c r="A9" s="1304" t="s">
        <v>2151</v>
      </c>
      <c r="B9" s="1304">
        <f ca="1">IF(C9&lt;B2,"已过期",1120060040)</f>
        <v>1120060040</v>
      </c>
      <c r="C9" s="2348">
        <v>45592</v>
      </c>
      <c r="D9" s="2344" t="str">
        <f t="shared" ca="1" si="0"/>
        <v>陈颖（注册号：1120060040）</v>
      </c>
      <c r="E9" s="2345" t="s">
        <v>2151</v>
      </c>
      <c r="F9" s="1304">
        <f ca="1">IF(G9&lt;B2,"已过期",2004110096)</f>
        <v>2004110096</v>
      </c>
      <c r="G9" s="2346">
        <v>47118</v>
      </c>
      <c r="H9" s="2347" t="str">
        <f t="shared" ca="1" si="1"/>
        <v>陈颖（注册号：2004110096）</v>
      </c>
    </row>
    <row r="10" spans="1:8" ht="24" customHeight="1">
      <c r="A10" s="1304" t="s">
        <v>2152</v>
      </c>
      <c r="B10" s="1304">
        <f ca="1">IF(C10&lt;B2,"已过期",1120100036)</f>
        <v>1120100036</v>
      </c>
      <c r="C10" s="2348">
        <v>45752</v>
      </c>
      <c r="D10" s="2344" t="str">
        <f t="shared" ca="1" si="0"/>
        <v>崔锴（注册号：1120100036）</v>
      </c>
      <c r="E10" s="2345" t="s">
        <v>2152</v>
      </c>
      <c r="F10" s="1304">
        <f ca="1">IF(G10&lt;B2,"已过期",2010110070)</f>
        <v>2010110070</v>
      </c>
      <c r="G10" s="2346">
        <v>47907</v>
      </c>
      <c r="H10" s="2347" t="str">
        <f t="shared" ca="1" si="1"/>
        <v>崔锴（注册号：2010110070）</v>
      </c>
    </row>
    <row r="11" spans="1:8" ht="24" customHeight="1">
      <c r="A11" s="1304" t="s">
        <v>2153</v>
      </c>
      <c r="B11" s="1304">
        <f ca="1">IF(C11&lt;B2,"已过期",1120070131)</f>
        <v>1120070131</v>
      </c>
      <c r="C11" s="2343">
        <v>45937</v>
      </c>
      <c r="D11" s="2344" t="str">
        <f t="shared" ca="1" si="0"/>
        <v>郑燚（注册号：1120070131）</v>
      </c>
      <c r="E11" s="2345" t="s">
        <v>2153</v>
      </c>
      <c r="F11" s="1304">
        <f ca="1">IF(G11&lt;B2,"已过期",2014110011)</f>
        <v>2014110011</v>
      </c>
      <c r="G11" s="2346">
        <v>49302</v>
      </c>
      <c r="H11" s="2347" t="str">
        <f t="shared" ca="1" si="1"/>
        <v>郑燚（注册号：2014110011）</v>
      </c>
    </row>
    <row r="12" spans="1:8" ht="24" customHeight="1">
      <c r="A12" s="1304" t="s">
        <v>2154</v>
      </c>
      <c r="B12" s="1304">
        <f ca="1">IF(C12&lt;B2,"已过期",1120040230)</f>
        <v>1120040230</v>
      </c>
      <c r="C12" s="2348">
        <v>45937</v>
      </c>
      <c r="D12" s="2344" t="str">
        <f t="shared" ca="1" si="0"/>
        <v>苏海（注册号：1120040230）</v>
      </c>
      <c r="E12" s="2345" t="s">
        <v>2154</v>
      </c>
      <c r="F12" s="1304">
        <f ca="1">IF(G12&lt;B2,"已过期",98030020)</f>
        <v>98030020</v>
      </c>
      <c r="G12" s="2346">
        <v>47118</v>
      </c>
      <c r="H12" s="2347" t="str">
        <f t="shared" ca="1" si="1"/>
        <v>苏海（注册号：98030020）</v>
      </c>
    </row>
    <row r="13" spans="1:8" ht="24" customHeight="1">
      <c r="A13" s="1304" t="s">
        <v>2155</v>
      </c>
      <c r="B13" s="1304">
        <f ca="1">IF(C13&lt;B2,"已过期",1120020033)</f>
        <v>1120020033</v>
      </c>
      <c r="C13" s="2343">
        <v>45375</v>
      </c>
      <c r="D13" s="2344" t="str">
        <f t="shared" ca="1" si="0"/>
        <v>刘敬东（注册号：1120020033）</v>
      </c>
      <c r="E13" s="2345" t="s">
        <v>2155</v>
      </c>
      <c r="F13" s="1304">
        <f ca="1">IF(G13&lt;B2,"已过期",2000110137)</f>
        <v>2000110137</v>
      </c>
      <c r="G13" s="2346">
        <v>46387</v>
      </c>
      <c r="H13" s="2347" t="str">
        <f t="shared" ca="1" si="1"/>
        <v>刘敬东（注册号：2000110137）</v>
      </c>
    </row>
    <row r="14" spans="1:8" ht="24" customHeight="1">
      <c r="A14" s="1304" t="s">
        <v>2156</v>
      </c>
      <c r="B14" s="1304" t="str">
        <f ca="1">IF(C14&lt;B2,"已过期",1119980106)</f>
        <v>已过期</v>
      </c>
      <c r="C14" s="2348">
        <v>44969</v>
      </c>
      <c r="D14" s="2344" t="str">
        <f t="shared" ca="1" si="0"/>
        <v>刘俊财（注册号：已过期）</v>
      </c>
      <c r="E14" s="2345" t="s">
        <v>2156</v>
      </c>
      <c r="F14" s="1304">
        <f ca="1">IF(G14&lt;B2,"已过期",96010063)</f>
        <v>96010063</v>
      </c>
      <c r="G14" s="2346">
        <v>47483</v>
      </c>
      <c r="H14" s="2347" t="str">
        <f t="shared" ca="1" si="1"/>
        <v>刘俊财（注册号：96010063）</v>
      </c>
    </row>
    <row r="15" spans="1:8" ht="24" customHeight="1">
      <c r="A15" s="1304" t="s">
        <v>2427</v>
      </c>
      <c r="B15" s="1304">
        <v>1120210056</v>
      </c>
      <c r="C15" s="2348">
        <v>45410</v>
      </c>
      <c r="D15" s="2344" t="str">
        <f t="shared" si="0"/>
        <v>宁小鳗（注册号：1120210056）</v>
      </c>
      <c r="E15" s="2345" t="s">
        <v>2157</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77" t="s">
        <v>2158</v>
      </c>
      <c r="B17" s="3577"/>
      <c r="C17" s="3577"/>
      <c r="D17" s="3577"/>
      <c r="E17" s="3577"/>
      <c r="F17" s="3577"/>
      <c r="G17" s="3577"/>
      <c r="H17" s="3577"/>
    </row>
    <row r="18" spans="1:8" ht="24" customHeight="1">
      <c r="A18" s="3578" t="s">
        <v>2159</v>
      </c>
      <c r="B18" s="3578"/>
      <c r="C18" s="3578"/>
      <c r="D18" s="2341"/>
      <c r="E18" s="3579" t="s">
        <v>2160</v>
      </c>
      <c r="F18" s="3578"/>
      <c r="G18" s="3578"/>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2428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153</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土地比较法-住宅、综合</vt:lpstr>
      <vt:lpstr>土地案例</vt:lpstr>
      <vt:lpstr>收益法（汇总）</vt:lpstr>
      <vt:lpstr>比较法-住宅</vt:lpstr>
      <vt:lpstr>比较法-商业</vt:lpstr>
      <vt:lpstr>案例</vt:lpstr>
      <vt:lpstr>比较法-办公</vt:lpstr>
      <vt:lpstr>案例 (2)</vt:lpstr>
      <vt:lpstr>比较法-工业</vt:lpstr>
      <vt:lpstr>案例 (3)</vt:lpstr>
      <vt:lpstr>比较法-车位</vt:lpstr>
      <vt:lpstr>比较法-仓储</vt:lpstr>
      <vt:lpstr>收益法</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其他龙湖</vt:lpstr>
      <vt:lpstr>收益法-车库</vt:lpstr>
      <vt:lpstr>收益法-经营模型</vt:lpstr>
      <vt:lpstr>租赁台账</vt:lpstr>
      <vt:lpstr>商业</vt:lpstr>
      <vt:lpstr>车位</vt:lpstr>
      <vt:lpstr>购房合同</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2023-10-13T08:11:09Z</dcterms:modified>
</cp:coreProperties>
</file>