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70" windowWidth="12120" windowHeight="7560" tabRatio="895" firstSheet="13" activeTab="4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state="hidden" r:id="rId11"/>
    <sheet name="数据-基础表" sheetId="3" state="hidden"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土地比较法-住宅、综合" sheetId="39" state="hidden" r:id="rId21"/>
    <sheet name="假设开发法" sheetId="12" state="hidden" r:id="rId22"/>
    <sheet name="收益法" sheetId="15" r:id="rId23"/>
    <sheet name="收益法 (元)" sheetId="67" state="hidden" r:id="rId24"/>
    <sheet name="收益法 (2)" sheetId="78" state="hidden" r:id="rId25"/>
    <sheet name="收益法 (承租人权益)" sheetId="79" state="hidden" r:id="rId26"/>
    <sheet name="收益法（汇总）" sheetId="70" state="hidden" r:id="rId27"/>
    <sheet name="酒店收入计算" sheetId="66" state="hidden" r:id="rId28"/>
    <sheet name="比较法-住宅" sheetId="21" state="hidden" r:id="rId29"/>
    <sheet name="比较法-商业" sheetId="33"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4">'收益法 (2)'!$A$1:$AK$69</definedName>
    <definedName name="_xlnm.Print_Area" localSheetId="25">'收益法 (承租人权益)'!$A$1:$AK$69</definedName>
    <definedName name="_xlnm.Print_Area" localSheetId="23">'收益法 (元)'!$A$1:$AK$69</definedName>
    <definedName name="_xlnm.Print_Area" localSheetId="13">'数据-汇总表'!$A$1:$I$32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7" i="1" l="1"/>
  <c r="K13" i="3" l="1"/>
  <c r="K9" i="9" l="1"/>
  <c r="K10" i="9" s="1"/>
  <c r="D14" i="9" l="1"/>
  <c r="I31" i="15" l="1"/>
  <c r="L21" i="77"/>
  <c r="L36" i="77" s="1"/>
  <c r="I84" i="79"/>
  <c r="I83" i="79"/>
  <c r="I82" i="79"/>
  <c r="I81" i="79"/>
  <c r="I80" i="79"/>
  <c r="I85" i="79" s="1"/>
  <c r="J85" i="79" s="1"/>
  <c r="Q72" i="79"/>
  <c r="Q59" i="79"/>
  <c r="K59" i="79"/>
  <c r="P61" i="79" s="1"/>
  <c r="F59" i="79"/>
  <c r="Q58" i="79"/>
  <c r="J52" i="79"/>
  <c r="Q51" i="79" s="1"/>
  <c r="J50" i="79"/>
  <c r="M47" i="79"/>
  <c r="D46" i="79"/>
  <c r="F33" i="79"/>
  <c r="F61" i="79" s="1"/>
  <c r="F31" i="79"/>
  <c r="F23" i="79"/>
  <c r="D23" i="79" s="1"/>
  <c r="F21" i="79"/>
  <c r="F20" i="79"/>
  <c r="M19" i="79"/>
  <c r="F18" i="79"/>
  <c r="M17" i="79"/>
  <c r="F17" i="79"/>
  <c r="F15" i="79"/>
  <c r="D24" i="79" l="1"/>
  <c r="P74" i="79"/>
  <c r="D22" i="79"/>
  <c r="A25" i="31"/>
  <c r="A26" i="31"/>
  <c r="A27" i="31"/>
  <c r="A28" i="31"/>
  <c r="A24" i="31"/>
  <c r="E20" i="77" l="1"/>
  <c r="E21" i="77"/>
  <c r="B25" i="31" s="1"/>
  <c r="E22" i="77"/>
  <c r="B26" i="31" s="1"/>
  <c r="E23" i="77"/>
  <c r="B27" i="31" s="1"/>
  <c r="B25" i="77"/>
  <c r="J52" i="15"/>
  <c r="J52" i="78"/>
  <c r="Q51" i="78" s="1"/>
  <c r="I84" i="78"/>
  <c r="I83" i="78"/>
  <c r="I82" i="78"/>
  <c r="I81" i="78"/>
  <c r="I80" i="78"/>
  <c r="Q72" i="78"/>
  <c r="Q59" i="78"/>
  <c r="K59" i="78"/>
  <c r="P61" i="78" s="1"/>
  <c r="F59" i="78"/>
  <c r="Q58" i="78"/>
  <c r="J50" i="78"/>
  <c r="M47" i="78"/>
  <c r="D46" i="78"/>
  <c r="F33" i="78"/>
  <c r="F61" i="78" s="1"/>
  <c r="F31" i="78"/>
  <c r="F23" i="78"/>
  <c r="F21" i="78"/>
  <c r="F20" i="78"/>
  <c r="M19" i="78"/>
  <c r="F18" i="78"/>
  <c r="M17" i="78"/>
  <c r="F17" i="78"/>
  <c r="F15" i="78"/>
  <c r="Y6" i="1"/>
  <c r="G47" i="33"/>
  <c r="I85" i="78" l="1"/>
  <c r="J85" i="78" s="1"/>
  <c r="B24" i="31"/>
  <c r="C40" i="33"/>
  <c r="F118" i="33" s="1"/>
  <c r="M26" i="77"/>
  <c r="M24" i="77"/>
  <c r="M25" i="77"/>
  <c r="D23" i="78"/>
  <c r="D22" i="78"/>
  <c r="D24" i="78"/>
  <c r="P74" i="78"/>
  <c r="E24" i="77"/>
  <c r="B28" i="31" s="1"/>
  <c r="K29" i="77"/>
  <c r="M29" i="77" s="1"/>
  <c r="K28" i="77"/>
  <c r="M28" i="77" s="1"/>
  <c r="K27" i="77"/>
  <c r="C25" i="77"/>
  <c r="D25" i="77"/>
  <c r="E47" i="33"/>
  <c r="E25" i="77" l="1"/>
  <c r="M27" i="77"/>
  <c r="B26" i="77"/>
  <c r="K30" i="77"/>
  <c r="M30" i="77" s="1"/>
  <c r="K31" i="77"/>
  <c r="M31" i="77" s="1"/>
  <c r="K32" i="77"/>
  <c r="F24" i="77" l="1"/>
  <c r="K14" i="3"/>
  <c r="F20" i="6" s="1"/>
  <c r="F23" i="77"/>
  <c r="F22" i="77"/>
  <c r="F21" i="77"/>
  <c r="F20" i="77"/>
  <c r="F25" i="77"/>
  <c r="M32" i="77"/>
  <c r="K35" i="77"/>
  <c r="M35" i="77" s="1"/>
  <c r="K34" i="77"/>
  <c r="M34" i="77" s="1"/>
  <c r="K33" i="77"/>
  <c r="M33" i="77" s="1"/>
  <c r="F19" i="6"/>
  <c r="J11" i="77"/>
  <c r="J10" i="77"/>
  <c r="J9" i="77"/>
  <c r="J8" i="77"/>
  <c r="K36" i="77" l="1"/>
  <c r="M36" i="77" s="1"/>
  <c r="C36" i="33"/>
  <c r="J12" i="77"/>
  <c r="K12" i="77" s="1"/>
  <c r="I80" i="15" l="1"/>
  <c r="I84" i="15"/>
  <c r="I83" i="15"/>
  <c r="I82" i="15"/>
  <c r="I81" i="15"/>
  <c r="G47" i="21"/>
  <c r="E47" i="21"/>
  <c r="D9" i="77"/>
  <c r="D10" i="77" s="1"/>
  <c r="C38" i="39"/>
  <c r="C5" i="39"/>
  <c r="C6" i="39" s="1"/>
  <c r="C10" i="39"/>
  <c r="D3" i="4"/>
  <c r="I85" i="15" l="1"/>
  <c r="J85" i="15" s="1"/>
  <c r="I5" i="71"/>
  <c r="I4" i="71" s="1"/>
  <c r="N4" i="71" s="1"/>
  <c r="L5" i="71"/>
  <c r="K5" i="71"/>
  <c r="J5" i="71"/>
  <c r="N5" i="71"/>
  <c r="P5" i="71" l="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9" i="76"/>
  <c r="B8" i="76"/>
  <c r="E12" i="76"/>
  <c r="B7" i="76"/>
  <c r="B9" i="76"/>
  <c r="E10" i="76"/>
  <c r="E11" i="76"/>
  <c r="B13" i="76"/>
  <c r="B10" i="76"/>
  <c r="E13" i="76"/>
  <c r="B11" i="76"/>
  <c r="E8" i="76"/>
  <c r="E7" i="76"/>
  <c r="B12" i="76"/>
  <c r="C76" i="9" l="1"/>
  <c r="I107" i="40" l="1"/>
  <c r="K6" i="4" l="1"/>
  <c r="N56" i="9" l="1"/>
  <c r="M56" i="9"/>
  <c r="K56" i="9"/>
  <c r="E16" i="74" l="1"/>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6" i="73"/>
  <c r="F5" i="73"/>
  <c r="F3" i="73"/>
  <c r="D6" i="73"/>
  <c r="F4" i="73"/>
  <c r="I1" i="73" l="1"/>
  <c r="B39" i="1" s="1"/>
  <c r="D4" i="73"/>
  <c r="D7" i="73"/>
  <c r="D3" i="73"/>
  <c r="D5" i="73"/>
  <c r="F11" i="79" l="1"/>
  <c r="M11" i="79"/>
  <c r="F11" i="78"/>
  <c r="M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9" l="1"/>
  <c r="C53" i="78"/>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Q17" i="71"/>
  <c r="F18" i="71" s="1"/>
  <c r="F19" i="71" s="1"/>
  <c r="F20" i="71" s="1"/>
  <c r="V20" i="71" s="1"/>
  <c r="P17" i="71"/>
  <c r="O17" i="71"/>
  <c r="N17" i="71"/>
  <c r="D17" i="71"/>
  <c r="Q16" i="71"/>
  <c r="P16" i="71"/>
  <c r="O16" i="71"/>
  <c r="N16" i="71"/>
  <c r="Q15" i="71"/>
  <c r="P15" i="71"/>
  <c r="O15" i="71"/>
  <c r="N15" i="71"/>
  <c r="Q14" i="71"/>
  <c r="P14" i="71"/>
  <c r="O14" i="71"/>
  <c r="N14" i="71"/>
  <c r="Q13" i="71"/>
  <c r="F14" i="71" s="1"/>
  <c r="F15" i="71" s="1"/>
  <c r="F16" i="71" s="1"/>
  <c r="V16" i="71" s="1"/>
  <c r="P13" i="71"/>
  <c r="O13" i="71"/>
  <c r="N13" i="71"/>
  <c r="D13" i="71"/>
  <c r="Q12" i="71"/>
  <c r="P12" i="71"/>
  <c r="O12" i="71"/>
  <c r="N12" i="71"/>
  <c r="Q11" i="71"/>
  <c r="P11" i="71"/>
  <c r="O11" i="71"/>
  <c r="N11" i="71"/>
  <c r="Q10" i="71"/>
  <c r="P10" i="71"/>
  <c r="O10" i="71"/>
  <c r="N10" i="71"/>
  <c r="Q9" i="71"/>
  <c r="F10" i="71" s="1"/>
  <c r="F11" i="71" s="1"/>
  <c r="F12" i="71" s="1"/>
  <c r="V12" i="71" s="1"/>
  <c r="P9" i="71"/>
  <c r="O9" i="71"/>
  <c r="N9" i="71"/>
  <c r="D9" i="71"/>
  <c r="O8" i="71"/>
  <c r="N8" i="71"/>
  <c r="B59" i="71" l="1"/>
  <c r="B58" i="71" s="1"/>
  <c r="Y10" i="71"/>
  <c r="Z10" i="71" s="1"/>
  <c r="AB10" i="71"/>
  <c r="Y11" i="71"/>
  <c r="Z11" i="71" s="1"/>
  <c r="AB11" i="71"/>
  <c r="Y12" i="71"/>
  <c r="Z12" i="71" s="1"/>
  <c r="AB12" i="71"/>
  <c r="Y14" i="71"/>
  <c r="Z14" i="71" s="1"/>
  <c r="AB14" i="71"/>
  <c r="Y15" i="71"/>
  <c r="Z15" i="71" s="1"/>
  <c r="AB15" i="71"/>
  <c r="Y16" i="71"/>
  <c r="Z16" i="71" s="1"/>
  <c r="AB16" i="71"/>
  <c r="B35" i="71"/>
  <c r="B36" i="71" s="1"/>
  <c r="S36"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D10" i="71" s="1"/>
  <c r="Y9" i="71"/>
  <c r="Z9" i="71" s="1"/>
  <c r="AB9" i="71"/>
  <c r="X10" i="71"/>
  <c r="AA10" i="71"/>
  <c r="X11" i="71"/>
  <c r="AA11" i="71"/>
  <c r="X12" i="71"/>
  <c r="AA12" i="71"/>
  <c r="C14" i="71"/>
  <c r="C15" i="71" s="1"/>
  <c r="Y13" i="71"/>
  <c r="Z13" i="71" s="1"/>
  <c r="AB13" i="71"/>
  <c r="X14" i="71"/>
  <c r="AA14" i="71"/>
  <c r="X15" i="71"/>
  <c r="AA15" i="71"/>
  <c r="X16" i="71"/>
  <c r="AA16" i="71"/>
  <c r="C18" i="71"/>
  <c r="C19" i="71" s="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4"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D83" i="21"/>
  <c r="F21" i="21" s="1"/>
  <c r="AA21" i="21" s="1"/>
  <c r="D81" i="21"/>
  <c r="H19" i="21" s="1"/>
  <c r="G20" i="20"/>
  <c r="B86" i="43" s="1"/>
  <c r="C22" i="20"/>
  <c r="AO12" i="1"/>
  <c r="AO10" i="1"/>
  <c r="AO11" i="1"/>
  <c r="AO13" i="1"/>
  <c r="AO9" i="1"/>
  <c r="B11" i="70" l="1"/>
  <c r="B13" i="70"/>
  <c r="B12" i="70"/>
  <c r="B10" i="70"/>
  <c r="B9" i="70"/>
  <c r="B75" i="43"/>
  <c r="B55" i="43"/>
  <c r="B66" i="43"/>
  <c r="C25" i="40"/>
  <c r="C29" i="39"/>
  <c r="S25" i="40"/>
  <c r="S29" i="39"/>
  <c r="S18" i="36"/>
  <c r="U18" i="36"/>
  <c r="S21" i="34"/>
  <c r="F94" i="40"/>
  <c r="G94" i="40" s="1"/>
  <c r="H25"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S1" i="4"/>
  <c r="B1" i="4"/>
  <c r="C31" i="66"/>
  <c r="C27" i="66"/>
  <c r="C32" i="66" s="1"/>
  <c r="I23" i="66"/>
  <c r="D20" i="66"/>
  <c r="I19" i="66"/>
  <c r="I18" i="66"/>
  <c r="I17" i="66"/>
  <c r="E15" i="66"/>
  <c r="I14" i="66"/>
  <c r="I13" i="66"/>
  <c r="I12" i="66"/>
  <c r="I15" i="66" s="1"/>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K10" i="1" s="1"/>
  <c r="M10" i="1" s="1"/>
  <c r="O10" i="1" s="1"/>
  <c r="A11" i="1"/>
  <c r="A12" i="1"/>
  <c r="A13" i="1"/>
  <c r="B13" i="1" s="1"/>
  <c r="E13" i="1" s="1"/>
  <c r="A6" i="1"/>
  <c r="B11" i="1"/>
  <c r="E11"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L110" i="3" s="1"/>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L109" i="3" s="1"/>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BA46" i="3" s="1"/>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A39" i="3" s="1"/>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G36" i="3" s="1"/>
  <c r="H36" i="3"/>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A24" i="3" s="1"/>
  <c r="BB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A181" i="3" s="1"/>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A154" i="3" s="1"/>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A153" i="3" s="1"/>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A281" i="3" s="1"/>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A266" i="3" s="1"/>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A213" i="3" s="1"/>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L365" i="3" s="1"/>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A433" i="3" s="1"/>
  <c r="BB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BA426" i="3" s="1"/>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A422" i="3" s="1"/>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0" i="31"/>
  <c r="R31" i="31"/>
  <c r="S31" i="31" s="1"/>
  <c r="R32" i="31"/>
  <c r="R33" i="31"/>
  <c r="R34" i="31"/>
  <c r="R35"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R145" i="31"/>
  <c r="S145" i="31" s="1"/>
  <c r="R146" i="31"/>
  <c r="R147" i="31"/>
  <c r="S147" i="31" s="1"/>
  <c r="R148" i="31"/>
  <c r="R149" i="31"/>
  <c r="S149" i="31" s="1"/>
  <c r="R150" i="31"/>
  <c r="R151" i="31"/>
  <c r="S151" i="31" s="1"/>
  <c r="R152" i="31"/>
  <c r="R153" i="31"/>
  <c r="S153" i="31" s="1"/>
  <c r="R154" i="31"/>
  <c r="R155" i="31"/>
  <c r="S155" i="31" s="1"/>
  <c r="R156" i="31"/>
  <c r="R157" i="31"/>
  <c r="S157" i="31" s="1"/>
  <c r="R158" i="31"/>
  <c r="R159" i="31"/>
  <c r="S159" i="31" s="1"/>
  <c r="R160" i="31"/>
  <c r="R161" i="31"/>
  <c r="S161" i="31" s="1"/>
  <c r="R162" i="31"/>
  <c r="R163" i="31"/>
  <c r="S163" i="31" s="1"/>
  <c r="R164" i="31"/>
  <c r="R165" i="31"/>
  <c r="S165" i="31" s="1"/>
  <c r="R166" i="31"/>
  <c r="R167" i="31"/>
  <c r="S167" i="31" s="1"/>
  <c r="R168" i="31"/>
  <c r="R169" i="31"/>
  <c r="S169" i="31" s="1"/>
  <c r="R170" i="31"/>
  <c r="R171" i="31"/>
  <c r="S171" i="31" s="1"/>
  <c r="R172" i="31"/>
  <c r="R173" i="31"/>
  <c r="S173" i="31" s="1"/>
  <c r="R174" i="31"/>
  <c r="R175" i="31"/>
  <c r="S175" i="31" s="1"/>
  <c r="R176" i="31"/>
  <c r="R177" i="31"/>
  <c r="S177" i="31" s="1"/>
  <c r="R178" i="31"/>
  <c r="R179" i="31"/>
  <c r="S179" i="31" s="1"/>
  <c r="R180" i="31"/>
  <c r="R181" i="31"/>
  <c r="S181" i="31" s="1"/>
  <c r="R182" i="31"/>
  <c r="R183" i="31"/>
  <c r="S183" i="31" s="1"/>
  <c r="R184" i="31"/>
  <c r="R185" i="31"/>
  <c r="S185" i="31" s="1"/>
  <c r="R186" i="31"/>
  <c r="R187" i="31"/>
  <c r="S187" i="31" s="1"/>
  <c r="R188" i="31"/>
  <c r="R189" i="31"/>
  <c r="S189" i="31" s="1"/>
  <c r="R190" i="31"/>
  <c r="R191" i="31"/>
  <c r="S191" i="31" s="1"/>
  <c r="R192" i="31"/>
  <c r="R193" i="31"/>
  <c r="S193" i="31" s="1"/>
  <c r="R194" i="31"/>
  <c r="R195" i="31"/>
  <c r="S195" i="31" s="1"/>
  <c r="R196" i="31"/>
  <c r="R197" i="31"/>
  <c r="S197" i="31" s="1"/>
  <c r="R198" i="31"/>
  <c r="R199" i="31"/>
  <c r="S199" i="31" s="1"/>
  <c r="R200" i="31"/>
  <c r="R201" i="31"/>
  <c r="S201" i="31" s="1"/>
  <c r="R202" i="31"/>
  <c r="R203" i="31"/>
  <c r="S203" i="31" s="1"/>
  <c r="R204" i="31"/>
  <c r="R205" i="31"/>
  <c r="S205" i="31" s="1"/>
  <c r="R206" i="31"/>
  <c r="R207" i="31"/>
  <c r="S207" i="31" s="1"/>
  <c r="R208" i="31"/>
  <c r="R209" i="31"/>
  <c r="S209" i="31" s="1"/>
  <c r="R210" i="31"/>
  <c r="R211" i="31"/>
  <c r="S211" i="31" s="1"/>
  <c r="R212" i="31"/>
  <c r="R213" i="31"/>
  <c r="S213" i="31" s="1"/>
  <c r="R214" i="31"/>
  <c r="R215" i="31"/>
  <c r="S215" i="31" s="1"/>
  <c r="R216" i="31"/>
  <c r="R217" i="31"/>
  <c r="S217" i="31" s="1"/>
  <c r="R218" i="31"/>
  <c r="R219" i="31"/>
  <c r="S219" i="31" s="1"/>
  <c r="R220" i="31"/>
  <c r="R221" i="31"/>
  <c r="S221" i="31" s="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S427" i="31" s="1"/>
  <c r="R428" i="31"/>
  <c r="R429" i="31"/>
  <c r="S429" i="31" s="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S499" i="31" s="1"/>
  <c r="R500" i="31"/>
  <c r="R501" i="31"/>
  <c r="R502" i="31"/>
  <c r="R503" i="31"/>
  <c r="S503" i="31" s="1"/>
  <c r="R504" i="31"/>
  <c r="R505" i="31"/>
  <c r="R506" i="31"/>
  <c r="R507" i="31"/>
  <c r="R508" i="31"/>
  <c r="R509" i="31"/>
  <c r="R510" i="31"/>
  <c r="R511" i="31"/>
  <c r="R512" i="31"/>
  <c r="R513" i="31"/>
  <c r="R514" i="31"/>
  <c r="R515" i="31"/>
  <c r="R516" i="31"/>
  <c r="R517" i="31"/>
  <c r="R518" i="31"/>
  <c r="R519" i="31"/>
  <c r="R520" i="31"/>
  <c r="R521" i="31"/>
  <c r="R522" i="31"/>
  <c r="R523" i="31"/>
  <c r="R524"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8" i="31"/>
  <c r="S426"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124"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3" i="31"/>
  <c r="S52" i="31"/>
  <c r="S51" i="31"/>
  <c r="S50" i="31"/>
  <c r="S49" i="31"/>
  <c r="S48" i="31"/>
  <c r="S47" i="31"/>
  <c r="S46" i="31"/>
  <c r="S45" i="31"/>
  <c r="S44" i="31"/>
  <c r="S43" i="31"/>
  <c r="S42" i="31"/>
  <c r="S41" i="31"/>
  <c r="S40"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6" i="31"/>
  <c r="S94" i="31"/>
  <c r="S92" i="31"/>
  <c r="S90" i="31"/>
  <c r="S88" i="31"/>
  <c r="S86" i="31"/>
  <c r="S84" i="31"/>
  <c r="S82" i="31"/>
  <c r="S80" i="31"/>
  <c r="S78" i="31"/>
  <c r="S30"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F35" i="39" s="1"/>
  <c r="B112" i="39"/>
  <c r="J30" i="36"/>
  <c r="AC30" i="36" s="1"/>
  <c r="H30" i="36"/>
  <c r="F30" i="36"/>
  <c r="AA30" i="36" s="1"/>
  <c r="C26" i="35"/>
  <c r="C79" i="35" s="1"/>
  <c r="J31" i="35"/>
  <c r="H31" i="35"/>
  <c r="F31" i="35"/>
  <c r="AA31" i="35" s="1"/>
  <c r="D87" i="35"/>
  <c r="E87" i="35" s="1"/>
  <c r="F87" i="35" s="1"/>
  <c r="G87" i="35" s="1"/>
  <c r="H87" i="35" s="1"/>
  <c r="I87" i="35" s="1"/>
  <c r="J87" i="35" s="1"/>
  <c r="K87" i="35" s="1"/>
  <c r="L87" i="35" s="1"/>
  <c r="M87" i="35" s="1"/>
  <c r="H34" i="37"/>
  <c r="AB34" i="37" s="1"/>
  <c r="D101" i="37"/>
  <c r="F34" i="37"/>
  <c r="AA34" i="37" s="1"/>
  <c r="D99" i="37"/>
  <c r="E99" i="37" s="1"/>
  <c r="F99" i="37" s="1"/>
  <c r="G99" i="37" s="1"/>
  <c r="H99" i="37" s="1"/>
  <c r="I99" i="37" s="1"/>
  <c r="J99" i="37" s="1"/>
  <c r="K99" i="37" s="1"/>
  <c r="L99" i="37" s="1"/>
  <c r="M99" i="37" s="1"/>
  <c r="H42" i="34"/>
  <c r="J42" i="34"/>
  <c r="W42" i="34" s="1"/>
  <c r="F42" i="34"/>
  <c r="S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D113" i="33"/>
  <c r="F37" i="33" s="1"/>
  <c r="D111" i="33"/>
  <c r="E111" i="33" s="1"/>
  <c r="F111" i="33" s="1"/>
  <c r="S515" i="31"/>
  <c r="S516" i="31"/>
  <c r="S517" i="31"/>
  <c r="S518"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J13" i="40" s="1"/>
  <c r="W13" i="40" s="1"/>
  <c r="B77" i="40"/>
  <c r="J12" i="40"/>
  <c r="W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J38" i="40"/>
  <c r="AC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E109" i="39" s="1"/>
  <c r="F109" i="39" s="1"/>
  <c r="G109" i="39" s="1"/>
  <c r="H109" i="39" s="1"/>
  <c r="I109" i="39" s="1"/>
  <c r="J109" i="39" s="1"/>
  <c r="K109" i="39" s="1"/>
  <c r="L109" i="39" s="1"/>
  <c r="M109" i="39" s="1"/>
  <c r="F34" i="39"/>
  <c r="AA34" i="39" s="1"/>
  <c r="D107" i="39"/>
  <c r="E107" i="39" s="1"/>
  <c r="D105" i="39"/>
  <c r="D101" i="39"/>
  <c r="J27" i="39" s="1"/>
  <c r="AC27"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B127" i="39"/>
  <c r="J43" i="39" s="1"/>
  <c r="AC43" i="39" s="1"/>
  <c r="D126" i="39"/>
  <c r="D122" i="39"/>
  <c r="E122" i="39" s="1"/>
  <c r="F122" i="39" s="1"/>
  <c r="G122" i="39" s="1"/>
  <c r="H122" i="39" s="1"/>
  <c r="I122" i="39" s="1"/>
  <c r="J122" i="39" s="1"/>
  <c r="K122" i="39" s="1"/>
  <c r="L122" i="39" s="1"/>
  <c r="M122" i="39" s="1"/>
  <c r="B104" i="39"/>
  <c r="D97" i="39"/>
  <c r="J23" i="39" s="1"/>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Q35" i="39"/>
  <c r="Z35" i="39" s="1"/>
  <c r="Q34" i="39"/>
  <c r="Z34" i="39" s="1"/>
  <c r="Q32" i="39"/>
  <c r="Z32" i="39" s="1"/>
  <c r="Q31" i="39"/>
  <c r="Z31" i="39" s="1"/>
  <c r="Q27" i="39"/>
  <c r="Z27" i="39" s="1"/>
  <c r="Q25" i="39"/>
  <c r="Z25" i="39" s="1"/>
  <c r="Q23" i="39"/>
  <c r="Z23" i="39" s="1"/>
  <c r="Q21" i="39"/>
  <c r="Z21" i="39" s="1"/>
  <c r="Q19" i="39"/>
  <c r="Z19" i="39" s="1"/>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J28" i="37" s="1"/>
  <c r="AC28" i="37" s="1"/>
  <c r="B84" i="37"/>
  <c r="H27" i="37" s="1"/>
  <c r="B82" i="37"/>
  <c r="F26" i="37" s="1"/>
  <c r="AA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s="1"/>
  <c r="H9" i="36"/>
  <c r="AB9" i="36" s="1"/>
  <c r="J8" i="36"/>
  <c r="AC8" i="36" s="1"/>
  <c r="H8" i="36"/>
  <c r="U8" i="36" s="1"/>
  <c r="F8" i="36"/>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F25" i="35" s="1"/>
  <c r="S25" i="35" s="1"/>
  <c r="B75" i="35"/>
  <c r="J24" i="35"/>
  <c r="AC24" i="35" s="1"/>
  <c r="B73" i="35"/>
  <c r="H23" i="35"/>
  <c r="U23" i="35" s="1"/>
  <c r="B57" i="35"/>
  <c r="B61" i="35"/>
  <c r="B59" i="35"/>
  <c r="B131" i="34"/>
  <c r="F47" i="34" s="1"/>
  <c r="S47" i="34" s="1"/>
  <c r="B129" i="34"/>
  <c r="B127" i="34"/>
  <c r="B99" i="34"/>
  <c r="B97" i="34"/>
  <c r="H31" i="34" s="1"/>
  <c r="AB31" i="34" s="1"/>
  <c r="B95" i="34"/>
  <c r="B93" i="34"/>
  <c r="B75" i="34"/>
  <c r="B73" i="34"/>
  <c r="J13" i="34" s="1"/>
  <c r="W13" i="34" s="1"/>
  <c r="B71" i="34"/>
  <c r="B130" i="33"/>
  <c r="B128" i="33"/>
  <c r="B126" i="33"/>
  <c r="J44" i="33" s="1"/>
  <c r="AC44" i="33" s="1"/>
  <c r="B98" i="33"/>
  <c r="B96" i="33"/>
  <c r="B94" i="33"/>
  <c r="B74" i="33"/>
  <c r="F14" i="33" s="1"/>
  <c r="S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F34" i="35"/>
  <c r="AA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F32" i="33" s="1"/>
  <c r="AA32" i="33" s="1"/>
  <c r="B92" i="33"/>
  <c r="B90" i="33"/>
  <c r="D87" i="33"/>
  <c r="E87" i="33" s="1"/>
  <c r="D85" i="33"/>
  <c r="E85" i="33" s="1"/>
  <c r="D81" i="33"/>
  <c r="E81" i="33" s="1"/>
  <c r="D79" i="33"/>
  <c r="E79" i="33" s="1"/>
  <c r="D77" i="33"/>
  <c r="E77" i="33" s="1"/>
  <c r="F77" i="33" s="1"/>
  <c r="G77" i="33" s="1"/>
  <c r="D69" i="33"/>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9" i="33"/>
  <c r="AC9" i="33" s="1"/>
  <c r="F9" i="33"/>
  <c r="AA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C17" i="20"/>
  <c r="B59" i="43" s="1"/>
  <c r="C16" i="20"/>
  <c r="C17" i="39" s="1"/>
  <c r="C15" i="20"/>
  <c r="B70" i="43" s="1"/>
  <c r="E54" i="21"/>
  <c r="F54" i="21" s="1"/>
  <c r="I54" i="21"/>
  <c r="J54" i="21" s="1"/>
  <c r="G54" i="21"/>
  <c r="H54" i="21" s="1"/>
  <c r="D125" i="21"/>
  <c r="E125" i="21" s="1"/>
  <c r="F125" i="21" s="1"/>
  <c r="G125" i="21" s="1"/>
  <c r="D123"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D108" i="2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1" i="21"/>
  <c r="F81" i="21" s="1"/>
  <c r="G81" i="21" s="1"/>
  <c r="F19" i="21" s="1"/>
  <c r="AA19" i="21" s="1"/>
  <c r="D77" i="21"/>
  <c r="E77" i="21" s="1"/>
  <c r="B130" i="21"/>
  <c r="B128" i="21"/>
  <c r="J45" i="21" s="1"/>
  <c r="W45" i="21" s="1"/>
  <c r="B126" i="21"/>
  <c r="H44" i="21" s="1"/>
  <c r="U44" i="21" s="1"/>
  <c r="B98" i="21"/>
  <c r="H31" i="21" s="1"/>
  <c r="B96" i="21"/>
  <c r="B94" i="21"/>
  <c r="J29" i="21" s="1"/>
  <c r="AC29" i="21" s="1"/>
  <c r="B92" i="21"/>
  <c r="F28" i="21" s="1"/>
  <c r="AA28" i="21" s="1"/>
  <c r="B90" i="21"/>
  <c r="J27" i="21" s="1"/>
  <c r="W27" i="21" s="1"/>
  <c r="B74" i="21"/>
  <c r="B72" i="21"/>
  <c r="H13" i="21" s="1"/>
  <c r="B70" i="21"/>
  <c r="J12" i="21" s="1"/>
  <c r="AC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AB34" i="21" s="1"/>
  <c r="H38" i="21"/>
  <c r="U38" i="21" s="1"/>
  <c r="F38" i="21"/>
  <c r="S38" i="21" s="1"/>
  <c r="F39" i="21"/>
  <c r="AA39" i="21" s="1"/>
  <c r="J40" i="21"/>
  <c r="W40" i="21" s="1"/>
  <c r="H35" i="21"/>
  <c r="AB35" i="21" s="1"/>
  <c r="J8" i="21"/>
  <c r="AC8" i="21" s="1"/>
  <c r="H8" i="21"/>
  <c r="U8" i="21" s="1"/>
  <c r="H10" i="21"/>
  <c r="AB10" i="21" s="1"/>
  <c r="H39" i="21"/>
  <c r="U39" i="21" s="1"/>
  <c r="J10" i="21"/>
  <c r="AC10" i="21" s="1"/>
  <c r="H26" i="21"/>
  <c r="AB26" i="21" s="1"/>
  <c r="AB19" i="21"/>
  <c r="J19" i="21"/>
  <c r="W19" i="21" s="1"/>
  <c r="J26" i="21"/>
  <c r="W26" i="21" s="1"/>
  <c r="F26" i="21"/>
  <c r="S26" i="21" s="1"/>
  <c r="S41" i="21"/>
  <c r="J45" i="39"/>
  <c r="W45" i="39" s="1"/>
  <c r="F36" i="39"/>
  <c r="S36" i="39" s="1"/>
  <c r="H36" i="39"/>
  <c r="AB36" i="39" s="1"/>
  <c r="J35" i="39"/>
  <c r="J36" i="39"/>
  <c r="AC36" i="39" s="1"/>
  <c r="U9" i="39"/>
  <c r="W40" i="39"/>
  <c r="W31" i="37"/>
  <c r="F39" i="37"/>
  <c r="S39" i="37" s="1"/>
  <c r="F29" i="36"/>
  <c r="AA29" i="36" s="1"/>
  <c r="W8" i="36"/>
  <c r="F16" i="36"/>
  <c r="AA16" i="36" s="1"/>
  <c r="U9" i="36"/>
  <c r="S30" i="36"/>
  <c r="AC31" i="36"/>
  <c r="W31" i="36"/>
  <c r="U31" i="36"/>
  <c r="H22" i="35"/>
  <c r="AB22" i="35" s="1"/>
  <c r="AC27" i="35"/>
  <c r="W28" i="35"/>
  <c r="U31" i="35"/>
  <c r="S34" i="35"/>
  <c r="W34" i="35"/>
  <c r="W36" i="35"/>
  <c r="S31" i="35"/>
  <c r="F36" i="34"/>
  <c r="J35" i="34"/>
  <c r="W9" i="34"/>
  <c r="S34" i="34"/>
  <c r="H39" i="33"/>
  <c r="AB39" i="33" s="1"/>
  <c r="F26" i="33"/>
  <c r="AA26" i="33" s="1"/>
  <c r="S40" i="33"/>
  <c r="H39" i="37"/>
  <c r="AB39" i="37" s="1"/>
  <c r="S27" i="35"/>
  <c r="F11" i="40"/>
  <c r="AA11" i="40" s="1"/>
  <c r="H11" i="40"/>
  <c r="AB11" i="40" s="1"/>
  <c r="W8" i="40"/>
  <c r="AC9" i="40"/>
  <c r="U9" i="40"/>
  <c r="U40" i="40"/>
  <c r="F41" i="39"/>
  <c r="S41" i="39" s="1"/>
  <c r="H40" i="39"/>
  <c r="AB40" i="39" s="1"/>
  <c r="H39" i="39"/>
  <c r="U39" i="39" s="1"/>
  <c r="H34" i="39"/>
  <c r="U34" i="39" s="1"/>
  <c r="F31" i="39"/>
  <c r="AA31" i="39" s="1"/>
  <c r="H19" i="39"/>
  <c r="AB19" i="39" s="1"/>
  <c r="F19" i="39"/>
  <c r="AA19" i="39" s="1"/>
  <c r="H17" i="39"/>
  <c r="AB17" i="39" s="1"/>
  <c r="F17" i="39"/>
  <c r="AA17" i="39" s="1"/>
  <c r="J23" i="40"/>
  <c r="AC23" i="40" s="1"/>
  <c r="F21" i="40"/>
  <c r="AA21" i="40" s="1"/>
  <c r="J21" i="40"/>
  <c r="W21" i="40" s="1"/>
  <c r="J34" i="39"/>
  <c r="AC34" i="39" s="1"/>
  <c r="J31" i="39"/>
  <c r="J19" i="39"/>
  <c r="AC19" i="39" s="1"/>
  <c r="J17" i="39"/>
  <c r="F27" i="39"/>
  <c r="S40" i="21"/>
  <c r="U34" i="21"/>
  <c r="C27" i="39"/>
  <c r="C15" i="39"/>
  <c r="H37" i="40"/>
  <c r="U37" i="40" s="1"/>
  <c r="H36" i="40"/>
  <c r="AB36" i="40" s="1"/>
  <c r="F35" i="40"/>
  <c r="AA35" i="40" s="1"/>
  <c r="H23" i="40"/>
  <c r="H17" i="40"/>
  <c r="U17" i="40" s="1"/>
  <c r="J15" i="40"/>
  <c r="W15" i="40" s="1"/>
  <c r="J11" i="40"/>
  <c r="W11" i="40" s="1"/>
  <c r="AC12" i="34"/>
  <c r="AB12" i="35"/>
  <c r="F37" i="39"/>
  <c r="AA37" i="39" s="1"/>
  <c r="J34" i="36"/>
  <c r="W34" i="36" s="1"/>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S12" i="36" s="1"/>
  <c r="F34" i="36"/>
  <c r="S34" i="36" s="1"/>
  <c r="S10" i="36"/>
  <c r="AB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J33" i="37"/>
  <c r="H40" i="34"/>
  <c r="U40" i="34" s="1"/>
  <c r="H36" i="34"/>
  <c r="U36" i="34" s="1"/>
  <c r="F37" i="34"/>
  <c r="AA37" i="34" s="1"/>
  <c r="S35" i="34"/>
  <c r="F27" i="34"/>
  <c r="AA27" i="34" s="1"/>
  <c r="F25" i="34"/>
  <c r="S25" i="34" s="1"/>
  <c r="H23" i="34"/>
  <c r="U23" i="34" s="1"/>
  <c r="J23" i="34"/>
  <c r="F19" i="34"/>
  <c r="H17" i="34"/>
  <c r="U17" i="34" s="1"/>
  <c r="F15" i="34"/>
  <c r="S15" i="34" s="1"/>
  <c r="J15" i="34"/>
  <c r="H15" i="34"/>
  <c r="AB15" i="34" s="1"/>
  <c r="S9" i="34"/>
  <c r="W8" i="34"/>
  <c r="F41" i="33"/>
  <c r="AA41" i="33" s="1"/>
  <c r="E113" i="33"/>
  <c r="F113" i="33" s="1"/>
  <c r="G113" i="33" s="1"/>
  <c r="H113" i="33" s="1"/>
  <c r="I113" i="33" s="1"/>
  <c r="J113" i="33" s="1"/>
  <c r="K113" i="33" s="1"/>
  <c r="L113" i="33" s="1"/>
  <c r="M113" i="33" s="1"/>
  <c r="J19" i="33"/>
  <c r="AC19" i="33" s="1"/>
  <c r="J15" i="33"/>
  <c r="AC15" i="33" s="1"/>
  <c r="F11" i="33"/>
  <c r="AA11" i="33" s="1"/>
  <c r="W40" i="33"/>
  <c r="U8" i="33"/>
  <c r="F37" i="40"/>
  <c r="AA37" i="40" s="1"/>
  <c r="F36" i="40"/>
  <c r="AA36" i="40" s="1"/>
  <c r="H28" i="40"/>
  <c r="U28" i="40" s="1"/>
  <c r="F23" i="40"/>
  <c r="AA23" i="40" s="1"/>
  <c r="F17" i="40"/>
  <c r="AA17" i="40" s="1"/>
  <c r="J17" i="40"/>
  <c r="W17" i="40" s="1"/>
  <c r="F15" i="40"/>
  <c r="S15" i="40" s="1"/>
  <c r="H15" i="40"/>
  <c r="AB15" i="40" s="1"/>
  <c r="AC11" i="40"/>
  <c r="AA12" i="36"/>
  <c r="AB30" i="36"/>
  <c r="AC34" i="36"/>
  <c r="U30" i="35"/>
  <c r="F29" i="35"/>
  <c r="S29" i="35" s="1"/>
  <c r="H29" i="35"/>
  <c r="AB29" i="35" s="1"/>
  <c r="H33" i="37"/>
  <c r="AB33" i="37" s="1"/>
  <c r="F33" i="37"/>
  <c r="AA33" i="37" s="1"/>
  <c r="U34" i="37"/>
  <c r="S34" i="37"/>
  <c r="J43" i="34"/>
  <c r="J40" i="34"/>
  <c r="H38" i="34"/>
  <c r="AB38" i="34" s="1"/>
  <c r="J36" i="34"/>
  <c r="H37" i="34"/>
  <c r="U37" i="34" s="1"/>
  <c r="H25" i="34"/>
  <c r="AB25" i="34" s="1"/>
  <c r="J25" i="34"/>
  <c r="AC25" i="34" s="1"/>
  <c r="F23" i="34"/>
  <c r="AA23" i="34" s="1"/>
  <c r="J19" i="34"/>
  <c r="AC19" i="34" s="1"/>
  <c r="F17" i="34"/>
  <c r="AA17" i="34" s="1"/>
  <c r="J17" i="34"/>
  <c r="W17" i="34" s="1"/>
  <c r="AB17" i="34"/>
  <c r="H37" i="33"/>
  <c r="AB37" i="33" s="1"/>
  <c r="H15" i="33"/>
  <c r="AB15" i="33" s="1"/>
  <c r="H11" i="33"/>
  <c r="AB11" i="33" s="1"/>
  <c r="F28" i="40"/>
  <c r="AA28" i="40" s="1"/>
  <c r="AA42" i="34"/>
  <c r="AC38" i="34"/>
  <c r="AA38" i="34"/>
  <c r="J37" i="34"/>
  <c r="AC37" i="34" s="1"/>
  <c r="J44" i="34"/>
  <c r="F44" i="34"/>
  <c r="AA44" i="34" s="1"/>
  <c r="J10" i="35"/>
  <c r="W10" i="35" s="1"/>
  <c r="BL587" i="3"/>
  <c r="F14" i="21"/>
  <c r="S14" i="21" s="1"/>
  <c r="H28" i="21"/>
  <c r="AB28" i="21" s="1"/>
  <c r="J28" i="21"/>
  <c r="W28" i="21" s="1"/>
  <c r="F30" i="21"/>
  <c r="S30" i="21" s="1"/>
  <c r="J44" i="21"/>
  <c r="AC44" i="21" s="1"/>
  <c r="F44" i="21"/>
  <c r="AA44" i="21" s="1"/>
  <c r="J46" i="21"/>
  <c r="W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J13" i="33"/>
  <c r="H13" i="33"/>
  <c r="AB13" i="33" s="1"/>
  <c r="F13" i="33"/>
  <c r="J29" i="33"/>
  <c r="AC29" i="33" s="1"/>
  <c r="H29" i="33"/>
  <c r="U29" i="33" s="1"/>
  <c r="F29" i="33"/>
  <c r="S29" i="33" s="1"/>
  <c r="J31" i="33"/>
  <c r="W31" i="33" s="1"/>
  <c r="H31" i="33"/>
  <c r="F31" i="33"/>
  <c r="H45" i="33"/>
  <c r="U45" i="33" s="1"/>
  <c r="J45" i="33"/>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W32" i="36" s="1"/>
  <c r="H13" i="36"/>
  <c r="AB13" i="36" s="1"/>
  <c r="J13" i="36"/>
  <c r="W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F40" i="37"/>
  <c r="AA40" i="37" s="1"/>
  <c r="AC12" i="40"/>
  <c r="H14" i="33"/>
  <c r="U14" i="33" s="1"/>
  <c r="J14" i="33"/>
  <c r="F30" i="33"/>
  <c r="H44" i="33"/>
  <c r="F44" i="33"/>
  <c r="F46" i="33"/>
  <c r="AA46" i="33" s="1"/>
  <c r="H13" i="34"/>
  <c r="F13" i="34"/>
  <c r="AA13" i="34" s="1"/>
  <c r="F29" i="34"/>
  <c r="S29" i="34" s="1"/>
  <c r="J31" i="34"/>
  <c r="F31" i="34"/>
  <c r="S31" i="34" s="1"/>
  <c r="J45" i="34"/>
  <c r="W45" i="34" s="1"/>
  <c r="H47" i="34"/>
  <c r="U47" i="34" s="1"/>
  <c r="J47" i="34"/>
  <c r="AC47" i="34" s="1"/>
  <c r="J13" i="35"/>
  <c r="AC13" i="35" s="1"/>
  <c r="J25" i="35"/>
  <c r="W25" i="35" s="1"/>
  <c r="H25" i="35"/>
  <c r="AB25" i="35" s="1"/>
  <c r="F35" i="35"/>
  <c r="AA35" i="35" s="1"/>
  <c r="J25" i="36"/>
  <c r="W25" i="36" s="1"/>
  <c r="F25" i="36"/>
  <c r="S25" i="36" s="1"/>
  <c r="H25" i="36"/>
  <c r="AB25" i="36" s="1"/>
  <c r="H13" i="37"/>
  <c r="AB13" i="37" s="1"/>
  <c r="F13" i="37"/>
  <c r="S13" i="37" s="1"/>
  <c r="J13" i="37"/>
  <c r="W13" i="37" s="1"/>
  <c r="F28" i="37"/>
  <c r="AA28" i="37" s="1"/>
  <c r="H28" i="37"/>
  <c r="U28" i="37" s="1"/>
  <c r="J38" i="37"/>
  <c r="AC38" i="37" s="1"/>
  <c r="F43" i="39"/>
  <c r="AA43" i="39" s="1"/>
  <c r="H43" i="39"/>
  <c r="J14" i="39"/>
  <c r="F14" i="39"/>
  <c r="H14" i="39"/>
  <c r="AB14" i="39" s="1"/>
  <c r="F12" i="40"/>
  <c r="S12" i="40" s="1"/>
  <c r="H12" i="40"/>
  <c r="AB12" i="40" s="1"/>
  <c r="H30" i="40"/>
  <c r="AB30" i="40" s="1"/>
  <c r="F33" i="40"/>
  <c r="AA33" i="40" s="1"/>
  <c r="H33" i="40"/>
  <c r="U33" i="40" s="1"/>
  <c r="J35" i="40"/>
  <c r="J37" i="40"/>
  <c r="AC37" i="40" s="1"/>
  <c r="H13" i="40"/>
  <c r="U13" i="40" s="1"/>
  <c r="F13" i="40"/>
  <c r="AA13" i="40" s="1"/>
  <c r="F27" i="37"/>
  <c r="AA27" i="37" s="1"/>
  <c r="H14" i="40"/>
  <c r="J14" i="40"/>
  <c r="W14" i="40" s="1"/>
  <c r="F14" i="40"/>
  <c r="J27" i="37"/>
  <c r="AC27" i="37" s="1"/>
  <c r="U31" i="34"/>
  <c r="AA14" i="33"/>
  <c r="J36" i="37"/>
  <c r="AC36" i="37" s="1"/>
  <c r="J10" i="36"/>
  <c r="AC10" i="36" s="1"/>
  <c r="AC13" i="36"/>
  <c r="W11" i="35"/>
  <c r="AB46" i="34"/>
  <c r="AA14" i="34"/>
  <c r="S45" i="33"/>
  <c r="AB45" i="33"/>
  <c r="AB31" i="33"/>
  <c r="U31" i="33"/>
  <c r="W29" i="33"/>
  <c r="U13" i="33"/>
  <c r="AC28" i="21"/>
  <c r="BA585" i="3"/>
  <c r="F17" i="21"/>
  <c r="AA17" i="21" s="1"/>
  <c r="H17" i="21"/>
  <c r="AB17" i="21" s="1"/>
  <c r="J41" i="39"/>
  <c r="W41" i="39" s="1"/>
  <c r="AC45" i="39"/>
  <c r="U36" i="39"/>
  <c r="G536" i="3"/>
  <c r="G528" i="3"/>
  <c r="G514" i="3"/>
  <c r="G500" i="3"/>
  <c r="G584" i="3"/>
  <c r="G576" i="3"/>
  <c r="G560" i="3"/>
  <c r="BL580" i="3"/>
  <c r="BL564" i="3"/>
  <c r="BL542" i="3"/>
  <c r="BL526" i="3"/>
  <c r="BL506" i="3"/>
  <c r="BL582" i="3"/>
  <c r="BL566" i="3"/>
  <c r="BL544" i="3"/>
  <c r="BL532" i="3"/>
  <c r="BL524" i="3"/>
  <c r="BL504" i="3"/>
  <c r="BA584" i="3"/>
  <c r="BA580" i="3"/>
  <c r="BA578" i="3"/>
  <c r="BA574" i="3"/>
  <c r="BA570" i="3"/>
  <c r="BA566" i="3"/>
  <c r="AZ566" i="3" s="1"/>
  <c r="BA562" i="3"/>
  <c r="BA556" i="3"/>
  <c r="BA546" i="3"/>
  <c r="BA538" i="3"/>
  <c r="BA530" i="3"/>
  <c r="BA522" i="3"/>
  <c r="BA514" i="3"/>
  <c r="BA506" i="3"/>
  <c r="AZ506" i="3" s="1"/>
  <c r="BA498" i="3"/>
  <c r="BA583" i="3"/>
  <c r="BA579" i="3"/>
  <c r="BA575" i="3"/>
  <c r="BA567" i="3"/>
  <c r="BA559" i="3"/>
  <c r="BA547" i="3"/>
  <c r="BA539" i="3"/>
  <c r="BA531" i="3"/>
  <c r="BA523" i="3"/>
  <c r="BA513" i="3"/>
  <c r="BA503" i="3"/>
  <c r="BA495" i="3"/>
  <c r="G581" i="3"/>
  <c r="G573" i="3"/>
  <c r="G565" i="3"/>
  <c r="BA557" i="3"/>
  <c r="AC557" i="3"/>
  <c r="G557" i="3"/>
  <c r="BQ557" i="3"/>
  <c r="BL557" i="3"/>
  <c r="BQ583" i="3"/>
  <c r="BQ581" i="3"/>
  <c r="BL581" i="3" s="1"/>
  <c r="BQ579" i="3"/>
  <c r="BQ577" i="3"/>
  <c r="BL577" i="3" s="1"/>
  <c r="BQ575" i="3"/>
  <c r="BL575" i="3"/>
  <c r="AZ575" i="3" s="1"/>
  <c r="BQ573" i="3"/>
  <c r="BQ571" i="3"/>
  <c r="BL571" i="3" s="1"/>
  <c r="BQ569" i="3"/>
  <c r="BQ567" i="3"/>
  <c r="BQ565" i="3"/>
  <c r="BQ563" i="3"/>
  <c r="BQ561" i="3"/>
  <c r="BQ559" i="3"/>
  <c r="G553" i="3"/>
  <c r="G543" i="3"/>
  <c r="BQ555" i="3"/>
  <c r="BQ553" i="3"/>
  <c r="BQ551" i="3"/>
  <c r="BQ549" i="3"/>
  <c r="BQ547" i="3"/>
  <c r="BL547" i="3" s="1"/>
  <c r="BQ545" i="3"/>
  <c r="BQ543" i="3"/>
  <c r="BL543" i="3" s="1"/>
  <c r="BQ541" i="3"/>
  <c r="BQ539" i="3"/>
  <c r="BL539" i="3" s="1"/>
  <c r="BQ537" i="3"/>
  <c r="BQ535" i="3"/>
  <c r="BL535" i="3" s="1"/>
  <c r="BQ533" i="3"/>
  <c r="BQ531" i="3"/>
  <c r="BL531" i="3" s="1"/>
  <c r="BQ529" i="3"/>
  <c r="BQ527" i="3"/>
  <c r="BL527" i="3" s="1"/>
  <c r="BQ525" i="3"/>
  <c r="BQ523" i="3"/>
  <c r="BL523" i="3" s="1"/>
  <c r="AC521" i="3"/>
  <c r="G521" i="3" s="1"/>
  <c r="BQ521" i="3"/>
  <c r="BL520" i="3"/>
  <c r="G517" i="3"/>
  <c r="G513" i="3"/>
  <c r="BQ519" i="3"/>
  <c r="BL519" i="3" s="1"/>
  <c r="BQ517" i="3"/>
  <c r="BQ515" i="3"/>
  <c r="BQ513" i="3"/>
  <c r="BL513" i="3" s="1"/>
  <c r="BQ511" i="3"/>
  <c r="BA509" i="3"/>
  <c r="AC509" i="3"/>
  <c r="BQ509" i="3"/>
  <c r="BL509" i="3" s="1"/>
  <c r="G507" i="3"/>
  <c r="G503" i="3"/>
  <c r="G499" i="3"/>
  <c r="G495" i="3"/>
  <c r="BQ507" i="3"/>
  <c r="BQ505" i="3"/>
  <c r="BL505" i="3" s="1"/>
  <c r="BQ503" i="3"/>
  <c r="BQ501" i="3"/>
  <c r="BQ499" i="3"/>
  <c r="BQ497" i="3"/>
  <c r="BQ495" i="3"/>
  <c r="BQ493" i="3"/>
  <c r="S505" i="31"/>
  <c r="S501"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s="1"/>
  <c r="AA36" i="39"/>
  <c r="F39" i="33"/>
  <c r="AA39" i="33" s="1"/>
  <c r="E123" i="33"/>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J43" i="33"/>
  <c r="AC43" i="33" s="1"/>
  <c r="AC32" i="36"/>
  <c r="AA12" i="35"/>
  <c r="W23" i="35"/>
  <c r="AB28" i="37"/>
  <c r="U39" i="37"/>
  <c r="AC8" i="37"/>
  <c r="W37" i="34"/>
  <c r="AC31" i="33"/>
  <c r="W44" i="33"/>
  <c r="U11" i="33"/>
  <c r="U19" i="21"/>
  <c r="U26" i="21"/>
  <c r="F43" i="33"/>
  <c r="AA43" i="33" s="1"/>
  <c r="W15" i="34"/>
  <c r="AC15" i="34"/>
  <c r="W16" i="35"/>
  <c r="G107" i="37"/>
  <c r="H107" i="37" s="1"/>
  <c r="I107" i="37" s="1"/>
  <c r="J107" i="37" s="1"/>
  <c r="K107" i="37" s="1"/>
  <c r="L107" i="37" s="1"/>
  <c r="M107" i="37" s="1"/>
  <c r="H19" i="34"/>
  <c r="AB19" i="34" s="1"/>
  <c r="F36" i="35"/>
  <c r="S36" i="35" s="1"/>
  <c r="J9" i="37"/>
  <c r="W9" i="37" s="1"/>
  <c r="H9" i="37"/>
  <c r="AB9" i="37" s="1"/>
  <c r="F9" i="37"/>
  <c r="S9" i="37" s="1"/>
  <c r="J12" i="37"/>
  <c r="W12" i="37" s="1"/>
  <c r="H12" i="37"/>
  <c r="AB12" i="37" s="1"/>
  <c r="F12" i="37"/>
  <c r="S12" i="37" s="1"/>
  <c r="E71" i="37"/>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F71" i="37"/>
  <c r="G71" i="37" s="1"/>
  <c r="J15" i="37"/>
  <c r="W15" i="37" s="1"/>
  <c r="AT6" i="3"/>
  <c r="AA25" i="21"/>
  <c r="C12" i="43"/>
  <c r="H19" i="40"/>
  <c r="U19" i="40" s="1"/>
  <c r="F88" i="40"/>
  <c r="G88" i="40" s="1"/>
  <c r="F19" i="40"/>
  <c r="S19" i="40" s="1"/>
  <c r="AC13" i="40"/>
  <c r="AB33" i="40"/>
  <c r="W43" i="39"/>
  <c r="AB45" i="39"/>
  <c r="H37" i="39"/>
  <c r="AB37" i="39" s="1"/>
  <c r="W37" i="39"/>
  <c r="J25" i="39"/>
  <c r="F15" i="39"/>
  <c r="AA15" i="39" s="1"/>
  <c r="J15" i="39"/>
  <c r="W15" i="39" s="1"/>
  <c r="H41" i="39"/>
  <c r="W27" i="39"/>
  <c r="AB34" i="39"/>
  <c r="W9" i="39"/>
  <c r="W8" i="39"/>
  <c r="J19" i="40"/>
  <c r="AC19" i="40" s="1"/>
  <c r="J50" i="40"/>
  <c r="B54" i="72"/>
  <c r="H103" i="9"/>
  <c r="D8" i="53" s="1"/>
  <c r="B16" i="53"/>
  <c r="B33" i="72" s="1"/>
  <c r="C7" i="37"/>
  <c r="C7" i="34"/>
  <c r="C7" i="36"/>
  <c r="A118" i="9"/>
  <c r="A4" i="52"/>
  <c r="B41" i="72" s="1"/>
  <c r="A12" i="52"/>
  <c r="B56" i="72" s="1"/>
  <c r="G4" i="4"/>
  <c r="I4" i="4"/>
  <c r="K5" i="4"/>
  <c r="B47" i="48" s="1"/>
  <c r="A2" i="9"/>
  <c r="N2" i="43"/>
  <c r="F59" i="43" s="1"/>
  <c r="G524" i="3"/>
  <c r="G303" i="3"/>
  <c r="BL304" i="3"/>
  <c r="G305" i="3"/>
  <c r="BL306" i="3"/>
  <c r="BA308" i="3"/>
  <c r="BA309" i="3"/>
  <c r="AZ309" i="3" s="1"/>
  <c r="BL309" i="3"/>
  <c r="G310" i="3"/>
  <c r="BA311" i="3"/>
  <c r="G319" i="3"/>
  <c r="BL320" i="3"/>
  <c r="G321" i="3"/>
  <c r="BL322" i="3"/>
  <c r="BA324" i="3"/>
  <c r="BA325" i="3"/>
  <c r="BL325" i="3"/>
  <c r="AZ325" i="3" s="1"/>
  <c r="G326" i="3"/>
  <c r="BA327" i="3"/>
  <c r="G335" i="3"/>
  <c r="BL336" i="3"/>
  <c r="G337" i="3"/>
  <c r="BL338" i="3"/>
  <c r="BA340" i="3"/>
  <c r="BA341" i="3"/>
  <c r="AZ341" i="3" s="1"/>
  <c r="BL341" i="3"/>
  <c r="BA343" i="3"/>
  <c r="AZ343" i="3" s="1"/>
  <c r="BA345" i="3"/>
  <c r="BL355" i="3"/>
  <c r="G356" i="3"/>
  <c r="BL357" i="3"/>
  <c r="BA359" i="3"/>
  <c r="AZ359" i="3" s="1"/>
  <c r="BA360" i="3"/>
  <c r="AZ360" i="3" s="1"/>
  <c r="BL360" i="3"/>
  <c r="G361" i="3"/>
  <c r="BA362" i="3"/>
  <c r="G370" i="3"/>
  <c r="BL371" i="3"/>
  <c r="G372" i="3"/>
  <c r="BL373" i="3"/>
  <c r="BA375" i="3"/>
  <c r="AZ375" i="3" s="1"/>
  <c r="BA376" i="3"/>
  <c r="BL376" i="3"/>
  <c r="AZ376" i="3" s="1"/>
  <c r="G377" i="3"/>
  <c r="BA378" i="3"/>
  <c r="AZ378" i="3" s="1"/>
  <c r="BL378" i="3"/>
  <c r="G379" i="3"/>
  <c r="BA380" i="3"/>
  <c r="G388" i="3"/>
  <c r="BL389" i="3"/>
  <c r="G390" i="3"/>
  <c r="BL391" i="3"/>
  <c r="BA393" i="3"/>
  <c r="BA394" i="3"/>
  <c r="BL394" i="3"/>
  <c r="AZ394" i="3" s="1"/>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AZ147" i="3"/>
  <c r="BL148" i="3"/>
  <c r="G149" i="3"/>
  <c r="BA151" i="3"/>
  <c r="BL152" i="3"/>
  <c r="G153" i="3"/>
  <c r="BA155" i="3"/>
  <c r="AZ155" i="3" s="1"/>
  <c r="BL156" i="3"/>
  <c r="G157" i="3"/>
  <c r="BA159" i="3"/>
  <c r="BL160" i="3"/>
  <c r="G161" i="3"/>
  <c r="BA163" i="3"/>
  <c r="BL164" i="3"/>
  <c r="G165" i="3"/>
  <c r="BA167" i="3"/>
  <c r="BL168" i="3"/>
  <c r="G169" i="3"/>
  <c r="BA171" i="3"/>
  <c r="BL172" i="3"/>
  <c r="G173" i="3"/>
  <c r="BA175" i="3"/>
  <c r="AZ175" i="3" s="1"/>
  <c r="BL176" i="3"/>
  <c r="G177" i="3"/>
  <c r="BA179" i="3"/>
  <c r="BL180" i="3"/>
  <c r="G181" i="3"/>
  <c r="BA183" i="3"/>
  <c r="AZ183" i="3" s="1"/>
  <c r="BL184" i="3"/>
  <c r="G185" i="3"/>
  <c r="BA187" i="3"/>
  <c r="BL188" i="3"/>
  <c r="G189" i="3"/>
  <c r="BA191" i="3"/>
  <c r="BL192" i="3"/>
  <c r="G193" i="3"/>
  <c r="BA195" i="3"/>
  <c r="BL196" i="3"/>
  <c r="G197" i="3"/>
  <c r="BA199" i="3"/>
  <c r="AZ199" i="3" s="1"/>
  <c r="BL200" i="3"/>
  <c r="G201" i="3"/>
  <c r="BA203" i="3"/>
  <c r="BL204" i="3"/>
  <c r="AZ109" i="3"/>
  <c r="G530" i="3"/>
  <c r="G516" i="3"/>
  <c r="G506" i="3"/>
  <c r="G494" i="3"/>
  <c r="G15" i="3"/>
  <c r="BA304" i="3"/>
  <c r="BA305" i="3"/>
  <c r="BL305" i="3"/>
  <c r="G306" i="3"/>
  <c r="G309" i="3"/>
  <c r="BL310" i="3"/>
  <c r="BA312" i="3"/>
  <c r="BA313" i="3"/>
  <c r="BL313" i="3"/>
  <c r="G314" i="3"/>
  <c r="G317" i="3"/>
  <c r="BL318" i="3"/>
  <c r="BA320" i="3"/>
  <c r="BA321" i="3"/>
  <c r="BL321" i="3"/>
  <c r="G322" i="3"/>
  <c r="G325" i="3"/>
  <c r="BL326" i="3"/>
  <c r="BA328" i="3"/>
  <c r="AZ328" i="3" s="1"/>
  <c r="BA329" i="3"/>
  <c r="BL329" i="3"/>
  <c r="G330" i="3"/>
  <c r="G333" i="3"/>
  <c r="BL334" i="3"/>
  <c r="BA336" i="3"/>
  <c r="BA337" i="3"/>
  <c r="BL337" i="3"/>
  <c r="G338" i="3"/>
  <c r="G341" i="3"/>
  <c r="BA342" i="3"/>
  <c r="BL342" i="3"/>
  <c r="BA344" i="3"/>
  <c r="BL344" i="3"/>
  <c r="BA346" i="3"/>
  <c r="BA347" i="3"/>
  <c r="AZ347" i="3" s="1"/>
  <c r="BL347" i="3"/>
  <c r="G350" i="3"/>
  <c r="BA351" i="3"/>
  <c r="AZ351" i="3"/>
  <c r="BL351" i="3"/>
  <c r="G352" i="3"/>
  <c r="G354" i="3"/>
  <c r="BA355" i="3"/>
  <c r="AZ355" i="3" s="1"/>
  <c r="BA356" i="3"/>
  <c r="BL356" i="3"/>
  <c r="G357" i="3"/>
  <c r="G360" i="3"/>
  <c r="BL361" i="3"/>
  <c r="BA363" i="3"/>
  <c r="AZ363" i="3" s="1"/>
  <c r="BA364" i="3"/>
  <c r="AZ364" i="3" s="1"/>
  <c r="BL364" i="3"/>
  <c r="G365" i="3"/>
  <c r="G368" i="3"/>
  <c r="BL369" i="3"/>
  <c r="AZ369" i="3" s="1"/>
  <c r="BA371" i="3"/>
  <c r="AZ371" i="3" s="1"/>
  <c r="BA372" i="3"/>
  <c r="BL372" i="3"/>
  <c r="G373" i="3"/>
  <c r="G376" i="3"/>
  <c r="BL377" i="3"/>
  <c r="BL379" i="3"/>
  <c r="BA381" i="3"/>
  <c r="BA382" i="3"/>
  <c r="AZ382" i="3" s="1"/>
  <c r="BL382" i="3"/>
  <c r="G383" i="3"/>
  <c r="G386" i="3"/>
  <c r="BL387" i="3"/>
  <c r="BA389" i="3"/>
  <c r="BA390" i="3"/>
  <c r="BL390" i="3"/>
  <c r="G391" i="3"/>
  <c r="G394" i="3"/>
  <c r="BA16" i="3"/>
  <c r="BL303" i="3"/>
  <c r="G304" i="3"/>
  <c r="BA306" i="3"/>
  <c r="AZ306" i="3" s="1"/>
  <c r="BL307" i="3"/>
  <c r="G308" i="3"/>
  <c r="BA310" i="3"/>
  <c r="BL311" i="3"/>
  <c r="AZ311" i="3" s="1"/>
  <c r="G312" i="3"/>
  <c r="BA314" i="3"/>
  <c r="BL315" i="3"/>
  <c r="G316" i="3"/>
  <c r="BA318" i="3"/>
  <c r="AZ318" i="3"/>
  <c r="BL319" i="3"/>
  <c r="G320" i="3"/>
  <c r="BA322" i="3"/>
  <c r="AZ322" i="3"/>
  <c r="BL323" i="3"/>
  <c r="G324" i="3"/>
  <c r="BA326" i="3"/>
  <c r="AZ326" i="3" s="1"/>
  <c r="BL327" i="3"/>
  <c r="G328" i="3"/>
  <c r="BA330" i="3"/>
  <c r="BL331" i="3"/>
  <c r="G332" i="3"/>
  <c r="BA334" i="3"/>
  <c r="BL335" i="3"/>
  <c r="G336" i="3"/>
  <c r="BA338" i="3"/>
  <c r="BL339" i="3"/>
  <c r="G340" i="3"/>
  <c r="BL343" i="3"/>
  <c r="G344" i="3"/>
  <c r="G348" i="3"/>
  <c r="G355" i="3"/>
  <c r="G342" i="3"/>
  <c r="BL345" i="3"/>
  <c r="AZ345" i="3" s="1"/>
  <c r="G346" i="3"/>
  <c r="AZ348" i="3"/>
  <c r="BL349" i="3"/>
  <c r="AZ349" i="3" s="1"/>
  <c r="BL352" i="3"/>
  <c r="G353" i="3"/>
  <c r="BA357" i="3"/>
  <c r="AZ357" i="3" s="1"/>
  <c r="BL358" i="3"/>
  <c r="G359" i="3"/>
  <c r="BA361" i="3"/>
  <c r="AZ361" i="3" s="1"/>
  <c r="BL362" i="3"/>
  <c r="G363" i="3"/>
  <c r="BA365" i="3"/>
  <c r="AZ365" i="3" s="1"/>
  <c r="BL366" i="3"/>
  <c r="AZ366" i="3" s="1"/>
  <c r="G367" i="3"/>
  <c r="BA369" i="3"/>
  <c r="BL370" i="3"/>
  <c r="AZ370" i="3" s="1"/>
  <c r="G371" i="3"/>
  <c r="BA373" i="3"/>
  <c r="AZ373" i="3"/>
  <c r="BL374" i="3"/>
  <c r="AZ374" i="3"/>
  <c r="G375" i="3"/>
  <c r="BA377" i="3"/>
  <c r="AZ377" i="3" s="1"/>
  <c r="BA379" i="3"/>
  <c r="BL380" i="3"/>
  <c r="AZ380" i="3" s="1"/>
  <c r="G381" i="3"/>
  <c r="BA383" i="3"/>
  <c r="BL384" i="3"/>
  <c r="G385" i="3"/>
  <c r="BA387" i="3"/>
  <c r="BL388" i="3"/>
  <c r="G389" i="3"/>
  <c r="BA391" i="3"/>
  <c r="AZ391" i="3" s="1"/>
  <c r="BL392" i="3"/>
  <c r="G393" i="3"/>
  <c r="BM5" i="3"/>
  <c r="BD5" i="3"/>
  <c r="BQ5" i="3"/>
  <c r="G538" i="3"/>
  <c r="G502" i="3"/>
  <c r="BP5" i="3"/>
  <c r="BK5" i="3"/>
  <c r="BG5" i="3"/>
  <c r="BC5" i="3"/>
  <c r="G17" i="3"/>
  <c r="BA17" i="3"/>
  <c r="BA15" i="3"/>
  <c r="BB5" i="3"/>
  <c r="G509" i="3"/>
  <c r="U36" i="40"/>
  <c r="N4" i="43"/>
  <c r="F36" i="43"/>
  <c r="F81" i="43"/>
  <c r="H83" i="43" s="1"/>
  <c r="H113" i="43"/>
  <c r="F48" i="43"/>
  <c r="H52" i="43" s="1"/>
  <c r="N7" i="43"/>
  <c r="F70" i="43"/>
  <c r="H73" i="43" s="1"/>
  <c r="M6" i="43"/>
  <c r="M11" i="43"/>
  <c r="E17" i="43"/>
  <c r="F39" i="43"/>
  <c r="I17" i="43"/>
  <c r="F35" i="43"/>
  <c r="J17" i="43"/>
  <c r="F6" i="1"/>
  <c r="U17" i="39"/>
  <c r="S14" i="35"/>
  <c r="U35" i="21"/>
  <c r="U10" i="21"/>
  <c r="G8" i="1"/>
  <c r="G9" i="1"/>
  <c r="G10" i="1"/>
  <c r="F48" i="9"/>
  <c r="O52" i="9" s="1"/>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H32" i="37"/>
  <c r="AB32" i="37" s="1"/>
  <c r="F96" i="37"/>
  <c r="H27" i="40"/>
  <c r="U27" i="40" s="1"/>
  <c r="J27" i="40"/>
  <c r="AC27" i="40" s="1"/>
  <c r="F27" i="40"/>
  <c r="S27" i="40" s="1"/>
  <c r="J30" i="40"/>
  <c r="AC30" i="40" s="1"/>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J39" i="39"/>
  <c r="AC39" i="39" s="1"/>
  <c r="C40" i="11"/>
  <c r="AZ110" i="3"/>
  <c r="H75" i="43"/>
  <c r="H74" i="43"/>
  <c r="H50" i="43"/>
  <c r="H49" i="43"/>
  <c r="H48" i="43"/>
  <c r="I20"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AZ342" i="3" l="1"/>
  <c r="AZ337" i="3"/>
  <c r="U12" i="37"/>
  <c r="W36" i="34"/>
  <c r="AC36" i="34"/>
  <c r="I34" i="15"/>
  <c r="J34" i="15" s="1"/>
  <c r="L10" i="77"/>
  <c r="AZ509" i="3"/>
  <c r="S9" i="33"/>
  <c r="BL554" i="3"/>
  <c r="BA543" i="3"/>
  <c r="BA542" i="3"/>
  <c r="AZ542" i="3" s="1"/>
  <c r="BL536" i="3"/>
  <c r="BA535" i="3"/>
  <c r="BA534" i="3"/>
  <c r="BL528" i="3"/>
  <c r="BA527" i="3"/>
  <c r="BA526" i="3"/>
  <c r="AZ526" i="3" s="1"/>
  <c r="BA518" i="3"/>
  <c r="BL516" i="3"/>
  <c r="BL515" i="3"/>
  <c r="BL514" i="3"/>
  <c r="AZ514" i="3" s="1"/>
  <c r="BA510" i="3"/>
  <c r="BL508" i="3"/>
  <c r="BA507" i="3"/>
  <c r="BL501" i="3"/>
  <c r="BA499" i="3"/>
  <c r="BS5" i="3"/>
  <c r="BL495" i="3"/>
  <c r="AZ495" i="3" s="1"/>
  <c r="BI5" i="3"/>
  <c r="BE5" i="3"/>
  <c r="AC5" i="3"/>
  <c r="BL493" i="3"/>
  <c r="BH5" i="3"/>
  <c r="I32" i="15"/>
  <c r="L8" i="77"/>
  <c r="BL400" i="3"/>
  <c r="BL410" i="3"/>
  <c r="BA412" i="3"/>
  <c r="BL414" i="3"/>
  <c r="G415" i="3"/>
  <c r="G419" i="3"/>
  <c r="G438" i="3"/>
  <c r="G442" i="3"/>
  <c r="G446" i="3"/>
  <c r="G450" i="3"/>
  <c r="BA451" i="3"/>
  <c r="BL453" i="3"/>
  <c r="BL455" i="3"/>
  <c r="G456" i="3"/>
  <c r="BA457" i="3"/>
  <c r="BA459" i="3"/>
  <c r="BA460" i="3"/>
  <c r="AZ460" i="3" s="1"/>
  <c r="BA462" i="3"/>
  <c r="BA463" i="3"/>
  <c r="AZ463" i="3" s="1"/>
  <c r="BA464" i="3"/>
  <c r="AZ464" i="3" s="1"/>
  <c r="BL468" i="3"/>
  <c r="BL470" i="3"/>
  <c r="G471" i="3"/>
  <c r="BL474" i="3"/>
  <c r="BA476" i="3"/>
  <c r="BL478" i="3"/>
  <c r="BA480" i="3"/>
  <c r="BL482" i="3"/>
  <c r="G487" i="3"/>
  <c r="G491" i="3"/>
  <c r="BL312" i="3"/>
  <c r="AZ312" i="3" s="1"/>
  <c r="G323" i="3"/>
  <c r="G327" i="3"/>
  <c r="BA358" i="3"/>
  <c r="AZ358" i="3" s="1"/>
  <c r="G382" i="3"/>
  <c r="BL385" i="3"/>
  <c r="BA395" i="3"/>
  <c r="G210" i="3"/>
  <c r="BA211" i="3"/>
  <c r="G215" i="3"/>
  <c r="BA221" i="3"/>
  <c r="BL223" i="3"/>
  <c r="BA288" i="3"/>
  <c r="I35" i="15"/>
  <c r="J35" i="15" s="1"/>
  <c r="L11" i="77"/>
  <c r="AA39" i="37"/>
  <c r="E101" i="39"/>
  <c r="S34" i="40"/>
  <c r="W39" i="33"/>
  <c r="W28" i="36"/>
  <c r="F40" i="39"/>
  <c r="H35" i="39"/>
  <c r="AB35" i="39" s="1"/>
  <c r="G578" i="3"/>
  <c r="G577" i="3"/>
  <c r="BA572" i="3"/>
  <c r="G571" i="3"/>
  <c r="G570" i="3"/>
  <c r="G569" i="3"/>
  <c r="G568" i="3"/>
  <c r="BA564" i="3"/>
  <c r="AZ564" i="3" s="1"/>
  <c r="G563" i="3"/>
  <c r="AZ425" i="3"/>
  <c r="AZ426" i="3"/>
  <c r="AZ427" i="3"/>
  <c r="BA560" i="3"/>
  <c r="BL556" i="3"/>
  <c r="BA553" i="3"/>
  <c r="BA552" i="3"/>
  <c r="BL549" i="3"/>
  <c r="BL534" i="3"/>
  <c r="BA521" i="3"/>
  <c r="BA517" i="3"/>
  <c r="BA502" i="3"/>
  <c r="BL499" i="3"/>
  <c r="BL498" i="3"/>
  <c r="BL497" i="3"/>
  <c r="BL496" i="3"/>
  <c r="BA494" i="3"/>
  <c r="BT5" i="3"/>
  <c r="BO5" i="3"/>
  <c r="BL398" i="3"/>
  <c r="G399" i="3"/>
  <c r="G403" i="3"/>
  <c r="G409" i="3"/>
  <c r="G413" i="3"/>
  <c r="BL416" i="3"/>
  <c r="G444" i="3"/>
  <c r="BA445" i="3"/>
  <c r="BL447" i="3"/>
  <c r="BA449" i="3"/>
  <c r="G452" i="3"/>
  <c r="BA453" i="3"/>
  <c r="AZ453" i="3" s="1"/>
  <c r="BL457" i="3"/>
  <c r="BL459" i="3"/>
  <c r="BL462" i="3"/>
  <c r="BL466" i="3"/>
  <c r="G467" i="3"/>
  <c r="BA468" i="3"/>
  <c r="AZ468" i="3" s="1"/>
  <c r="BL472" i="3"/>
  <c r="G473" i="3"/>
  <c r="G477" i="3"/>
  <c r="G481" i="3"/>
  <c r="BL314" i="3"/>
  <c r="AZ314" i="3" s="1"/>
  <c r="G315" i="3"/>
  <c r="BA317" i="3"/>
  <c r="AZ317" i="3" s="1"/>
  <c r="BL324" i="3"/>
  <c r="BL333" i="3"/>
  <c r="BA335" i="3"/>
  <c r="AZ335" i="3" s="1"/>
  <c r="BA339" i="3"/>
  <c r="AZ339" i="3" s="1"/>
  <c r="BA352" i="3"/>
  <c r="AZ352" i="3" s="1"/>
  <c r="BL354" i="3"/>
  <c r="BL395" i="3"/>
  <c r="BL397" i="3"/>
  <c r="BA209" i="3"/>
  <c r="BL211" i="3"/>
  <c r="BA214" i="3"/>
  <c r="BL221" i="3"/>
  <c r="BA223" i="3"/>
  <c r="BL242" i="3"/>
  <c r="AZ242" i="3" s="1"/>
  <c r="BA246" i="3"/>
  <c r="AZ246" i="3" s="1"/>
  <c r="BA247" i="3"/>
  <c r="AZ247" i="3" s="1"/>
  <c r="BA248" i="3"/>
  <c r="AZ248" i="3" s="1"/>
  <c r="BA249" i="3"/>
  <c r="AZ249" i="3" s="1"/>
  <c r="BA250" i="3"/>
  <c r="BL252" i="3"/>
  <c r="AZ334" i="3"/>
  <c r="AZ310" i="3"/>
  <c r="AZ390" i="3"/>
  <c r="AZ356" i="3"/>
  <c r="AZ344" i="3"/>
  <c r="AZ320" i="3"/>
  <c r="AZ304" i="3"/>
  <c r="AZ172" i="3"/>
  <c r="AC12" i="37"/>
  <c r="L9" i="77"/>
  <c r="I33" i="15"/>
  <c r="J33" i="15" s="1"/>
  <c r="AC30" i="34"/>
  <c r="S38" i="33"/>
  <c r="AB8" i="39"/>
  <c r="H32" i="33"/>
  <c r="AB32" i="33" s="1"/>
  <c r="C25" i="39"/>
  <c r="U33" i="33"/>
  <c r="U34" i="34"/>
  <c r="AA31" i="36"/>
  <c r="F45" i="39"/>
  <c r="S45" i="39" s="1"/>
  <c r="G585" i="3"/>
  <c r="H12" i="33"/>
  <c r="F15" i="33"/>
  <c r="AA15" i="33" s="1"/>
  <c r="J23" i="36"/>
  <c r="AC23" i="36" s="1"/>
  <c r="BA576" i="3"/>
  <c r="G575" i="3"/>
  <c r="BL574" i="3"/>
  <c r="AZ574" i="3" s="1"/>
  <c r="BL572" i="3"/>
  <c r="G572" i="3"/>
  <c r="BA571" i="3"/>
  <c r="BA568" i="3"/>
  <c r="G567" i="3"/>
  <c r="G566" i="3"/>
  <c r="G564" i="3"/>
  <c r="BA563" i="3"/>
  <c r="M20" i="79"/>
  <c r="F34" i="79"/>
  <c r="F62" i="79" s="1"/>
  <c r="BA403" i="3"/>
  <c r="BL405" i="3"/>
  <c r="AZ405" i="3" s="1"/>
  <c r="BL407" i="3"/>
  <c r="BL411" i="3"/>
  <c r="BA417" i="3"/>
  <c r="BA421" i="3"/>
  <c r="AZ421" i="3" s="1"/>
  <c r="BL425" i="3"/>
  <c r="BL429" i="3"/>
  <c r="BA431" i="3"/>
  <c r="AZ431" i="3" s="1"/>
  <c r="BA432" i="3"/>
  <c r="AZ432" i="3" s="1"/>
  <c r="BA434" i="3"/>
  <c r="BL475" i="3"/>
  <c r="BL479" i="3"/>
  <c r="BL483" i="3"/>
  <c r="BA303" i="3"/>
  <c r="AZ303" i="3" s="1"/>
  <c r="BA307" i="3"/>
  <c r="AZ307" i="3" s="1"/>
  <c r="BA212" i="3"/>
  <c r="AZ212" i="3" s="1"/>
  <c r="G221" i="3"/>
  <c r="BA222" i="3"/>
  <c r="AZ222" i="3" s="1"/>
  <c r="BA293" i="3"/>
  <c r="BL231" i="3"/>
  <c r="G236" i="3"/>
  <c r="BL253" i="3"/>
  <c r="BL276" i="3"/>
  <c r="G287" i="3"/>
  <c r="G292" i="3"/>
  <c r="BL296" i="3"/>
  <c r="G297" i="3"/>
  <c r="G301" i="3"/>
  <c r="BA302" i="3"/>
  <c r="BL114" i="3"/>
  <c r="G115" i="3"/>
  <c r="BA116" i="3"/>
  <c r="AZ116" i="3" s="1"/>
  <c r="G123" i="3"/>
  <c r="BA124" i="3"/>
  <c r="AZ124" i="3" s="1"/>
  <c r="BA132" i="3"/>
  <c r="AZ132" i="3" s="1"/>
  <c r="G159" i="3"/>
  <c r="BA160" i="3"/>
  <c r="AZ160" i="3" s="1"/>
  <c r="G163" i="3"/>
  <c r="BA164" i="3"/>
  <c r="AZ164" i="3" s="1"/>
  <c r="G167" i="3"/>
  <c r="BA168" i="3"/>
  <c r="AZ168" i="3" s="1"/>
  <c r="G171" i="3"/>
  <c r="BA172" i="3"/>
  <c r="G175" i="3"/>
  <c r="BA189" i="3"/>
  <c r="BL191" i="3"/>
  <c r="AZ191" i="3" s="1"/>
  <c r="BA193" i="3"/>
  <c r="BL198" i="3"/>
  <c r="BA202" i="3"/>
  <c r="G205" i="3"/>
  <c r="BL18" i="3"/>
  <c r="BL28" i="3"/>
  <c r="BA30" i="3"/>
  <c r="G33" i="3"/>
  <c r="G44" i="3"/>
  <c r="G48" i="3"/>
  <c r="BA49" i="3"/>
  <c r="G52" i="3"/>
  <c r="G56" i="3"/>
  <c r="BA57" i="3"/>
  <c r="AZ57" i="3" s="1"/>
  <c r="BA59" i="3"/>
  <c r="BA60" i="3"/>
  <c r="AZ60" i="3" s="1"/>
  <c r="BA61" i="3"/>
  <c r="AZ61" i="3" s="1"/>
  <c r="BA63" i="3"/>
  <c r="AZ63" i="3" s="1"/>
  <c r="BA64" i="3"/>
  <c r="AZ64" i="3" s="1"/>
  <c r="BA66" i="3"/>
  <c r="BL70" i="3"/>
  <c r="BL72" i="3"/>
  <c r="BL77" i="3"/>
  <c r="BL78" i="3"/>
  <c r="G79" i="3"/>
  <c r="BA80" i="3"/>
  <c r="BL83" i="3"/>
  <c r="G84" i="3"/>
  <c r="BA85" i="3"/>
  <c r="BL93" i="3"/>
  <c r="BA95" i="3"/>
  <c r="BL97" i="3"/>
  <c r="G98" i="3"/>
  <c r="G102" i="3"/>
  <c r="BA254" i="3"/>
  <c r="BL256" i="3"/>
  <c r="BA258" i="3"/>
  <c r="AZ258" i="3" s="1"/>
  <c r="BL262" i="3"/>
  <c r="AZ262" i="3" s="1"/>
  <c r="BL264" i="3"/>
  <c r="BL269" i="3"/>
  <c r="AZ269" i="3" s="1"/>
  <c r="BL275" i="3"/>
  <c r="AZ275" i="3" s="1"/>
  <c r="BA277" i="3"/>
  <c r="BL279" i="3"/>
  <c r="BL285" i="3"/>
  <c r="BA297" i="3"/>
  <c r="BL299" i="3"/>
  <c r="BL121" i="3"/>
  <c r="BL129" i="3"/>
  <c r="BL137" i="3"/>
  <c r="BL141" i="3"/>
  <c r="BL145" i="3"/>
  <c r="BL151" i="3"/>
  <c r="AZ151" i="3" s="1"/>
  <c r="BL157" i="3"/>
  <c r="BL177" i="3"/>
  <c r="AZ177" i="3" s="1"/>
  <c r="BL179" i="3"/>
  <c r="AZ179" i="3" s="1"/>
  <c r="BA182" i="3"/>
  <c r="AZ182" i="3" s="1"/>
  <c r="BA184" i="3"/>
  <c r="AZ184" i="3" s="1"/>
  <c r="BA19" i="3"/>
  <c r="BA23" i="3"/>
  <c r="AZ23" i="3" s="1"/>
  <c r="BL27" i="3"/>
  <c r="BL35" i="3"/>
  <c r="BL36" i="3"/>
  <c r="BA38" i="3"/>
  <c r="AZ38" i="3" s="1"/>
  <c r="BA88" i="3"/>
  <c r="BL92" i="3"/>
  <c r="BA102" i="3"/>
  <c r="BL104" i="3"/>
  <c r="AZ104" i="3" s="1"/>
  <c r="BL214" i="3"/>
  <c r="BL216" i="3"/>
  <c r="G217" i="3"/>
  <c r="BA218" i="3"/>
  <c r="BL220" i="3"/>
  <c r="AZ220" i="3" s="1"/>
  <c r="BL225" i="3"/>
  <c r="G226" i="3"/>
  <c r="BA227" i="3"/>
  <c r="BL229" i="3"/>
  <c r="G230" i="3"/>
  <c r="BL233" i="3"/>
  <c r="BL237" i="3"/>
  <c r="G252" i="3"/>
  <c r="BA286" i="3"/>
  <c r="BL289" i="3"/>
  <c r="G290" i="3"/>
  <c r="BA291" i="3"/>
  <c r="BL294" i="3"/>
  <c r="G295" i="3"/>
  <c r="BA300" i="3"/>
  <c r="BL302" i="3"/>
  <c r="BA122" i="3"/>
  <c r="BA158" i="3"/>
  <c r="BA162" i="3"/>
  <c r="BA166" i="3"/>
  <c r="BA170" i="3"/>
  <c r="G186" i="3"/>
  <c r="G190" i="3"/>
  <c r="BL193" i="3"/>
  <c r="BL195" i="3"/>
  <c r="AZ195" i="3" s="1"/>
  <c r="G196" i="3"/>
  <c r="BA198" i="3"/>
  <c r="BA200" i="3"/>
  <c r="AZ200" i="3" s="1"/>
  <c r="G203" i="3"/>
  <c r="BL206" i="3"/>
  <c r="G207" i="3"/>
  <c r="G21" i="3"/>
  <c r="G27" i="3"/>
  <c r="G31" i="3"/>
  <c r="BA32" i="3"/>
  <c r="G42" i="3"/>
  <c r="BL45" i="3"/>
  <c r="G50" i="3"/>
  <c r="BA51" i="3"/>
  <c r="BL53" i="3"/>
  <c r="G54" i="3"/>
  <c r="BA55" i="3"/>
  <c r="BL57" i="3"/>
  <c r="BL59" i="3"/>
  <c r="BL63" i="3"/>
  <c r="BL66" i="3"/>
  <c r="BL68" i="3"/>
  <c r="G69" i="3"/>
  <c r="BA70" i="3"/>
  <c r="AZ70" i="3" s="1"/>
  <c r="BA72" i="3"/>
  <c r="AZ72" i="3" s="1"/>
  <c r="BA73" i="3"/>
  <c r="AZ73" i="3" s="1"/>
  <c r="BA74" i="3"/>
  <c r="AZ74" i="3" s="1"/>
  <c r="BA75" i="3"/>
  <c r="AZ75" i="3" s="1"/>
  <c r="BA77" i="3"/>
  <c r="AZ77" i="3" s="1"/>
  <c r="BL80" i="3"/>
  <c r="BL81" i="3"/>
  <c r="G82" i="3"/>
  <c r="G86" i="3"/>
  <c r="G92" i="3"/>
  <c r="G96" i="3"/>
  <c r="BL99" i="3"/>
  <c r="J51" i="78"/>
  <c r="J51" i="79"/>
  <c r="AZ106" i="3"/>
  <c r="AZ108" i="3"/>
  <c r="AZ112" i="3"/>
  <c r="G1" i="78"/>
  <c r="G1" i="79"/>
  <c r="AZ534" i="3"/>
  <c r="AZ499" i="3"/>
  <c r="AZ572" i="3"/>
  <c r="AZ556" i="3"/>
  <c r="J9" i="36"/>
  <c r="AC9" i="36" s="1"/>
  <c r="F9" i="36"/>
  <c r="AA9" i="36" s="1"/>
  <c r="J11" i="36"/>
  <c r="F11" i="36"/>
  <c r="J24" i="36"/>
  <c r="H24" i="36"/>
  <c r="AB24" i="36" s="1"/>
  <c r="F24" i="36"/>
  <c r="AA24" i="36" s="1"/>
  <c r="H33" i="36"/>
  <c r="J33" i="36"/>
  <c r="F33" i="36"/>
  <c r="AA33" i="36" s="1"/>
  <c r="AA10" i="37"/>
  <c r="S10" i="37"/>
  <c r="E126" i="39"/>
  <c r="F126" i="39" s="1"/>
  <c r="G126" i="39" s="1"/>
  <c r="H126" i="39" s="1"/>
  <c r="I126" i="39" s="1"/>
  <c r="J126" i="39" s="1"/>
  <c r="K126" i="39" s="1"/>
  <c r="L126" i="39" s="1"/>
  <c r="M126" i="39" s="1"/>
  <c r="F42" i="39"/>
  <c r="H42" i="39"/>
  <c r="AB42" i="39" s="1"/>
  <c r="AA38" i="39"/>
  <c r="S38" i="39"/>
  <c r="AB34" i="40"/>
  <c r="U34" i="40"/>
  <c r="BA577" i="3"/>
  <c r="BL570" i="3"/>
  <c r="BL568" i="3"/>
  <c r="AZ568" i="3" s="1"/>
  <c r="BA565" i="3"/>
  <c r="BA561" i="3"/>
  <c r="BL555" i="3"/>
  <c r="BA555" i="3"/>
  <c r="BA549" i="3"/>
  <c r="AZ549" i="3" s="1"/>
  <c r="BA545" i="3"/>
  <c r="BL540" i="3"/>
  <c r="BA540" i="3"/>
  <c r="BL538" i="3"/>
  <c r="BA536" i="3"/>
  <c r="AZ536" i="3" s="1"/>
  <c r="BA533" i="3"/>
  <c r="BA529" i="3"/>
  <c r="BA524" i="3"/>
  <c r="AZ524" i="3" s="1"/>
  <c r="BL522" i="3"/>
  <c r="AZ522" i="3" s="1"/>
  <c r="BA520" i="3"/>
  <c r="BL518" i="3"/>
  <c r="BA515" i="3"/>
  <c r="AZ515" i="3" s="1"/>
  <c r="BL512" i="3"/>
  <c r="BA512" i="3"/>
  <c r="AZ512" i="3" s="1"/>
  <c r="BL510" i="3"/>
  <c r="AZ510" i="3" s="1"/>
  <c r="BA508" i="3"/>
  <c r="BA504" i="3"/>
  <c r="AZ504" i="3" s="1"/>
  <c r="BL502" i="3"/>
  <c r="AZ502" i="3" s="1"/>
  <c r="BL500" i="3"/>
  <c r="BA500" i="3"/>
  <c r="J42" i="33"/>
  <c r="AC42" i="33" s="1"/>
  <c r="AZ520" i="3"/>
  <c r="AZ571" i="3"/>
  <c r="AZ577" i="3"/>
  <c r="AZ498" i="3"/>
  <c r="AZ570" i="3"/>
  <c r="E108" i="21"/>
  <c r="F108" i="21" s="1"/>
  <c r="G108" i="21" s="1"/>
  <c r="H108" i="21" s="1"/>
  <c r="I108" i="21" s="1"/>
  <c r="J108" i="21" s="1"/>
  <c r="K108" i="21" s="1"/>
  <c r="L108" i="21" s="1"/>
  <c r="M108" i="21" s="1"/>
  <c r="J35" i="21"/>
  <c r="F35" i="21"/>
  <c r="AA35" i="21" s="1"/>
  <c r="F13" i="39"/>
  <c r="H13" i="39"/>
  <c r="H44" i="39"/>
  <c r="F44" i="39"/>
  <c r="J44" i="39"/>
  <c r="E105" i="39"/>
  <c r="F105" i="39" s="1"/>
  <c r="G105" i="39" s="1"/>
  <c r="H105" i="39" s="1"/>
  <c r="I105" i="39" s="1"/>
  <c r="J105" i="39" s="1"/>
  <c r="K105" i="39" s="1"/>
  <c r="L105" i="39" s="1"/>
  <c r="M105" i="39" s="1"/>
  <c r="H31" i="39"/>
  <c r="AB31" i="39" s="1"/>
  <c r="S9" i="40"/>
  <c r="AA9" i="40"/>
  <c r="BL576" i="3"/>
  <c r="AZ576" i="3" s="1"/>
  <c r="BA573" i="3"/>
  <c r="BA569" i="3"/>
  <c r="BL567" i="3"/>
  <c r="BL562" i="3"/>
  <c r="AZ562" i="3" s="1"/>
  <c r="BL560" i="3"/>
  <c r="AZ560" i="3" s="1"/>
  <c r="BL558" i="3"/>
  <c r="BA558" i="3"/>
  <c r="AZ558" i="3" s="1"/>
  <c r="BA554" i="3"/>
  <c r="AZ554" i="3" s="1"/>
  <c r="BL552" i="3"/>
  <c r="BA548" i="3"/>
  <c r="BL546" i="3"/>
  <c r="AZ546" i="3" s="1"/>
  <c r="BA544" i="3"/>
  <c r="AZ544" i="3" s="1"/>
  <c r="BA541" i="3"/>
  <c r="BA537" i="3"/>
  <c r="BA532" i="3"/>
  <c r="AZ532" i="3" s="1"/>
  <c r="BL530" i="3"/>
  <c r="AZ530" i="3" s="1"/>
  <c r="BA528" i="3"/>
  <c r="AZ528" i="3" s="1"/>
  <c r="BA525" i="3"/>
  <c r="BA519" i="3"/>
  <c r="AZ519" i="3" s="1"/>
  <c r="BA516" i="3"/>
  <c r="AZ516" i="3" s="1"/>
  <c r="BA511" i="3"/>
  <c r="BA505" i="3"/>
  <c r="AZ505" i="3" s="1"/>
  <c r="BA501" i="3"/>
  <c r="AZ501" i="3" s="1"/>
  <c r="BA497" i="3"/>
  <c r="AZ497" i="3" s="1"/>
  <c r="BA496" i="3"/>
  <c r="AZ496" i="3" s="1"/>
  <c r="BL494" i="3"/>
  <c r="AZ494" i="3" s="1"/>
  <c r="BA493" i="3"/>
  <c r="AZ493" i="3" s="1"/>
  <c r="E97" i="39"/>
  <c r="F97" i="39" s="1"/>
  <c r="G97" i="39" s="1"/>
  <c r="F39" i="39"/>
  <c r="S39" i="39" s="1"/>
  <c r="AC21" i="40"/>
  <c r="AZ387" i="3"/>
  <c r="AZ379" i="3"/>
  <c r="AZ338" i="3"/>
  <c r="AZ327" i="3"/>
  <c r="AZ372" i="3"/>
  <c r="AZ336" i="3"/>
  <c r="AZ313" i="3"/>
  <c r="AZ305" i="3"/>
  <c r="AA41" i="39"/>
  <c r="H15" i="39"/>
  <c r="U15" i="39" s="1"/>
  <c r="F25" i="39"/>
  <c r="AA25" i="39" s="1"/>
  <c r="H25" i="39"/>
  <c r="AB25" i="39" s="1"/>
  <c r="W23" i="39"/>
  <c r="H5" i="3"/>
  <c r="H37" i="21"/>
  <c r="U37" i="21" s="1"/>
  <c r="W47" i="34"/>
  <c r="U33" i="37"/>
  <c r="BL503" i="3"/>
  <c r="AZ503" i="3" s="1"/>
  <c r="BL507" i="3"/>
  <c r="BL511" i="3"/>
  <c r="BL517" i="3"/>
  <c r="AZ517" i="3" s="1"/>
  <c r="BL521" i="3"/>
  <c r="BL525" i="3"/>
  <c r="AZ525" i="3" s="1"/>
  <c r="BL529" i="3"/>
  <c r="BL533" i="3"/>
  <c r="AZ533" i="3" s="1"/>
  <c r="BL537" i="3"/>
  <c r="AZ537" i="3" s="1"/>
  <c r="BL541" i="3"/>
  <c r="AZ541" i="3" s="1"/>
  <c r="BL545" i="3"/>
  <c r="AZ545" i="3" s="1"/>
  <c r="BL553" i="3"/>
  <c r="BL561" i="3"/>
  <c r="AZ561" i="3" s="1"/>
  <c r="BL565" i="3"/>
  <c r="AZ565" i="3" s="1"/>
  <c r="AZ580" i="3"/>
  <c r="W36" i="39"/>
  <c r="J13" i="39"/>
  <c r="W13" i="39" s="1"/>
  <c r="H11" i="36"/>
  <c r="AA15" i="34"/>
  <c r="AB23" i="34"/>
  <c r="AC33" i="37"/>
  <c r="W33" i="37"/>
  <c r="AB23" i="40"/>
  <c r="U23" i="40"/>
  <c r="S34" i="39"/>
  <c r="AC35" i="39"/>
  <c r="W35" i="39"/>
  <c r="BA587" i="3"/>
  <c r="AZ587" i="3" s="1"/>
  <c r="BA586" i="3"/>
  <c r="F12" i="21"/>
  <c r="H12" i="21"/>
  <c r="J14" i="21"/>
  <c r="W14" i="21" s="1"/>
  <c r="H14" i="21"/>
  <c r="U14" i="21" s="1"/>
  <c r="H30" i="21"/>
  <c r="J30" i="21"/>
  <c r="AC30" i="21" s="1"/>
  <c r="H46" i="21"/>
  <c r="U46" i="21" s="1"/>
  <c r="F46" i="21"/>
  <c r="AA46" i="21" s="1"/>
  <c r="E123" i="21"/>
  <c r="J42" i="21" s="1"/>
  <c r="B71" i="43"/>
  <c r="C21" i="39"/>
  <c r="AA8" i="33"/>
  <c r="S8" i="33"/>
  <c r="U12" i="33"/>
  <c r="AB12" i="33"/>
  <c r="E69" i="33"/>
  <c r="F69" i="33" s="1"/>
  <c r="G69" i="33" s="1"/>
  <c r="H69" i="33" s="1"/>
  <c r="I69" i="33" s="1"/>
  <c r="J69" i="33" s="1"/>
  <c r="K69" i="33" s="1"/>
  <c r="L69" i="33" s="1"/>
  <c r="M69" i="33" s="1"/>
  <c r="J11" i="33"/>
  <c r="W11" i="33" s="1"/>
  <c r="S12" i="34"/>
  <c r="AA12" i="34"/>
  <c r="F28" i="34"/>
  <c r="J28" i="34"/>
  <c r="AB34" i="35"/>
  <c r="U34" i="35"/>
  <c r="H30" i="33"/>
  <c r="AB30" i="33" s="1"/>
  <c r="J30" i="33"/>
  <c r="J46" i="33"/>
  <c r="AC46" i="33" s="1"/>
  <c r="H46" i="33"/>
  <c r="J29" i="34"/>
  <c r="H29" i="34"/>
  <c r="AB29" i="34" s="1"/>
  <c r="H45" i="34"/>
  <c r="U45" i="34" s="1"/>
  <c r="F45" i="34"/>
  <c r="S45" i="34" s="1"/>
  <c r="F13" i="35"/>
  <c r="H13" i="35"/>
  <c r="U13" i="35" s="1"/>
  <c r="J35" i="35"/>
  <c r="AC35" i="35" s="1"/>
  <c r="H35" i="35"/>
  <c r="AC22" i="35"/>
  <c r="W22" i="35"/>
  <c r="AA8" i="36"/>
  <c r="S8" i="36"/>
  <c r="U12" i="36"/>
  <c r="AB12" i="36"/>
  <c r="AB30" i="37"/>
  <c r="U30" i="37"/>
  <c r="H14" i="37"/>
  <c r="U14" i="37" s="1"/>
  <c r="F14" i="37"/>
  <c r="J14" i="37"/>
  <c r="H26" i="37"/>
  <c r="J26" i="37"/>
  <c r="H38" i="37"/>
  <c r="AB38" i="37" s="1"/>
  <c r="F38" i="37"/>
  <c r="S38" i="37" s="1"/>
  <c r="H25" i="37"/>
  <c r="F25" i="37"/>
  <c r="AA25" i="37" s="1"/>
  <c r="J39" i="40"/>
  <c r="H39" i="40"/>
  <c r="U42" i="34"/>
  <c r="AB42" i="34"/>
  <c r="W31" i="35"/>
  <c r="AC31" i="35"/>
  <c r="AA35" i="39"/>
  <c r="S35" i="39"/>
  <c r="BL584" i="3"/>
  <c r="AZ584" i="3" s="1"/>
  <c r="BA582" i="3"/>
  <c r="AZ582" i="3" s="1"/>
  <c r="BA581" i="3"/>
  <c r="BL578" i="3"/>
  <c r="AZ578" i="3" s="1"/>
  <c r="BL551" i="3"/>
  <c r="BL559" i="3"/>
  <c r="BL563" i="3"/>
  <c r="AZ563" i="3" s="1"/>
  <c r="BL569" i="3"/>
  <c r="AZ569" i="3" s="1"/>
  <c r="BL573" i="3"/>
  <c r="AZ573" i="3" s="1"/>
  <c r="BL579" i="3"/>
  <c r="BL583" i="3"/>
  <c r="G582" i="3"/>
  <c r="G556" i="3"/>
  <c r="G552" i="3"/>
  <c r="G551" i="3"/>
  <c r="M20" i="15"/>
  <c r="F34" i="78"/>
  <c r="F62" i="78" s="1"/>
  <c r="M20" i="78"/>
  <c r="BL16" i="3"/>
  <c r="F7" i="1"/>
  <c r="G398" i="3"/>
  <c r="BA399" i="3"/>
  <c r="BL399" i="3"/>
  <c r="BA400" i="3"/>
  <c r="AZ400" i="3" s="1"/>
  <c r="BA402" i="3"/>
  <c r="BL402" i="3"/>
  <c r="BL404" i="3"/>
  <c r="G405" i="3"/>
  <c r="G407" i="3"/>
  <c r="BA408" i="3"/>
  <c r="BL408" i="3"/>
  <c r="BA409" i="3"/>
  <c r="AZ409" i="3" s="1"/>
  <c r="BA410" i="3"/>
  <c r="AZ410" i="3" s="1"/>
  <c r="BA411" i="3"/>
  <c r="AZ411" i="3" s="1"/>
  <c r="BL413" i="3"/>
  <c r="G414" i="3"/>
  <c r="BA415" i="3"/>
  <c r="BL415" i="3"/>
  <c r="BA416" i="3"/>
  <c r="AZ416" i="3" s="1"/>
  <c r="BA418" i="3"/>
  <c r="BL418" i="3"/>
  <c r="BL420" i="3"/>
  <c r="G421" i="3"/>
  <c r="G423" i="3"/>
  <c r="BL424" i="3"/>
  <c r="G425" i="3"/>
  <c r="G429" i="3"/>
  <c r="BL430" i="3"/>
  <c r="G431" i="3"/>
  <c r="G434" i="3"/>
  <c r="G436" i="3"/>
  <c r="BA437" i="3"/>
  <c r="BL437" i="3"/>
  <c r="BL439" i="3"/>
  <c r="G440" i="3"/>
  <c r="BA441" i="3"/>
  <c r="BL441" i="3"/>
  <c r="BA443" i="3"/>
  <c r="BL443" i="3"/>
  <c r="BA444" i="3"/>
  <c r="AZ444" i="3" s="1"/>
  <c r="BA446" i="3"/>
  <c r="BL446" i="3"/>
  <c r="BA447" i="3"/>
  <c r="AZ447" i="3" s="1"/>
  <c r="BA448" i="3"/>
  <c r="AZ448" i="3" s="1"/>
  <c r="BA450" i="3"/>
  <c r="BL450" i="3"/>
  <c r="BL452" i="3"/>
  <c r="G453" i="3"/>
  <c r="G455" i="3"/>
  <c r="BL456" i="3"/>
  <c r="G457" i="3"/>
  <c r="G459" i="3"/>
  <c r="G462" i="3"/>
  <c r="G466" i="3"/>
  <c r="BL467" i="3"/>
  <c r="G468" i="3"/>
  <c r="G470" i="3"/>
  <c r="BL471" i="3"/>
  <c r="G472" i="3"/>
  <c r="BA473" i="3"/>
  <c r="BL473" i="3"/>
  <c r="BA474" i="3"/>
  <c r="AZ474" i="3" s="1"/>
  <c r="BA475" i="3"/>
  <c r="AZ475" i="3" s="1"/>
  <c r="BA477" i="3"/>
  <c r="AZ477" i="3" s="1"/>
  <c r="BL477" i="3"/>
  <c r="BA478" i="3"/>
  <c r="AZ478" i="3" s="1"/>
  <c r="BA479" i="3"/>
  <c r="AZ479" i="3" s="1"/>
  <c r="BA481" i="3"/>
  <c r="BL481" i="3"/>
  <c r="BA482" i="3"/>
  <c r="AZ482" i="3" s="1"/>
  <c r="BA483" i="3"/>
  <c r="AZ483" i="3" s="1"/>
  <c r="BL484" i="3"/>
  <c r="G485" i="3"/>
  <c r="BA486" i="3"/>
  <c r="BL486" i="3"/>
  <c r="BL488" i="3"/>
  <c r="G489" i="3"/>
  <c r="BA490" i="3"/>
  <c r="BL490" i="3"/>
  <c r="BL492" i="3"/>
  <c r="G307" i="3"/>
  <c r="BL308" i="3"/>
  <c r="AZ308" i="3" s="1"/>
  <c r="G311" i="3"/>
  <c r="BA319" i="3"/>
  <c r="AZ319" i="3" s="1"/>
  <c r="BA323" i="3"/>
  <c r="AZ323" i="3" s="1"/>
  <c r="BL330" i="3"/>
  <c r="AZ330" i="3" s="1"/>
  <c r="G331" i="3"/>
  <c r="BA333" i="3"/>
  <c r="AZ333" i="3" s="1"/>
  <c r="G339" i="3"/>
  <c r="BL340" i="3"/>
  <c r="AZ340" i="3" s="1"/>
  <c r="G343" i="3"/>
  <c r="BL350" i="3"/>
  <c r="G351" i="3"/>
  <c r="BA354" i="3"/>
  <c r="AZ354" i="3" s="1"/>
  <c r="BA367" i="3"/>
  <c r="BL367" i="3"/>
  <c r="G380" i="3"/>
  <c r="BL381" i="3"/>
  <c r="AZ381" i="3" s="1"/>
  <c r="BA384" i="3"/>
  <c r="AZ384" i="3" s="1"/>
  <c r="BA386" i="3"/>
  <c r="BL386" i="3"/>
  <c r="G387" i="3"/>
  <c r="BA388" i="3"/>
  <c r="AZ388" i="3" s="1"/>
  <c r="BA392" i="3"/>
  <c r="AZ392" i="3" s="1"/>
  <c r="G395" i="3"/>
  <c r="G397" i="3"/>
  <c r="BA208" i="3"/>
  <c r="BL208" i="3"/>
  <c r="BL210" i="3"/>
  <c r="G211" i="3"/>
  <c r="G214" i="3"/>
  <c r="G216" i="3"/>
  <c r="BA217" i="3"/>
  <c r="BL217" i="3"/>
  <c r="BL219" i="3"/>
  <c r="G220" i="3"/>
  <c r="G225" i="3"/>
  <c r="BA226" i="3"/>
  <c r="BL226" i="3"/>
  <c r="BL228" i="3"/>
  <c r="G229" i="3"/>
  <c r="BA230" i="3"/>
  <c r="BL230" i="3"/>
  <c r="BA231" i="3"/>
  <c r="AZ231" i="3" s="1"/>
  <c r="BA232" i="3"/>
  <c r="AZ232" i="3" s="1"/>
  <c r="BA233" i="3"/>
  <c r="AZ233" i="3" s="1"/>
  <c r="BA235" i="3"/>
  <c r="BL235" i="3"/>
  <c r="BA236" i="3"/>
  <c r="AZ236" i="3" s="1"/>
  <c r="BA237" i="3"/>
  <c r="AZ237" i="3" s="1"/>
  <c r="BL239" i="3"/>
  <c r="G240" i="3"/>
  <c r="BL241" i="3"/>
  <c r="G242" i="3"/>
  <c r="G244" i="3"/>
  <c r="BL245" i="3"/>
  <c r="G246" i="3"/>
  <c r="BA251" i="3"/>
  <c r="BL251" i="3"/>
  <c r="BA252" i="3"/>
  <c r="AZ252" i="3" s="1"/>
  <c r="BA253" i="3"/>
  <c r="AZ253" i="3" s="1"/>
  <c r="BL255" i="3"/>
  <c r="G256" i="3"/>
  <c r="BL257" i="3"/>
  <c r="G258" i="3"/>
  <c r="G260" i="3"/>
  <c r="BL261" i="3"/>
  <c r="G262" i="3"/>
  <c r="G264" i="3"/>
  <c r="BL265" i="3"/>
  <c r="G266" i="3"/>
  <c r="G267" i="3"/>
  <c r="BL268" i="3"/>
  <c r="G269" i="3"/>
  <c r="BA270" i="3"/>
  <c r="BL270" i="3"/>
  <c r="G271" i="3"/>
  <c r="G272" i="3"/>
  <c r="BL273" i="3"/>
  <c r="G274" i="3"/>
  <c r="G275" i="3"/>
  <c r="BA276" i="3"/>
  <c r="AZ276" i="3" s="1"/>
  <c r="BL278" i="3"/>
  <c r="G279" i="3"/>
  <c r="BA280" i="3"/>
  <c r="BL280" i="3"/>
  <c r="G281" i="3"/>
  <c r="G282" i="3"/>
  <c r="BL283" i="3"/>
  <c r="G284" i="3"/>
  <c r="G285" i="3"/>
  <c r="BA287" i="3"/>
  <c r="BL287" i="3"/>
  <c r="G288" i="3"/>
  <c r="G289" i="3"/>
  <c r="BA292" i="3"/>
  <c r="AZ292" i="3" s="1"/>
  <c r="BL292" i="3"/>
  <c r="G293" i="3"/>
  <c r="G294" i="3"/>
  <c r="BL295" i="3"/>
  <c r="G296" i="3"/>
  <c r="BL298" i="3"/>
  <c r="G299" i="3"/>
  <c r="BL301" i="3"/>
  <c r="G302" i="3"/>
  <c r="BL113" i="3"/>
  <c r="G114" i="3"/>
  <c r="G116" i="3"/>
  <c r="BL118" i="3"/>
  <c r="G119" i="3"/>
  <c r="BA120" i="3"/>
  <c r="AZ120" i="3" s="1"/>
  <c r="BL123" i="3"/>
  <c r="AZ123" i="3" s="1"/>
  <c r="G124" i="3"/>
  <c r="BL126" i="3"/>
  <c r="G127" i="3"/>
  <c r="BA128" i="3"/>
  <c r="AZ128" i="3" s="1"/>
  <c r="BL130" i="3"/>
  <c r="G131" i="3"/>
  <c r="BL134" i="3"/>
  <c r="G135" i="3"/>
  <c r="BA136" i="3"/>
  <c r="AZ136" i="3" s="1"/>
  <c r="BL138" i="3"/>
  <c r="G139" i="3"/>
  <c r="BA140" i="3"/>
  <c r="AZ140" i="3" s="1"/>
  <c r="BL142" i="3"/>
  <c r="G143" i="3"/>
  <c r="BA144" i="3"/>
  <c r="AZ144" i="3" s="1"/>
  <c r="BL146" i="3"/>
  <c r="G147" i="3"/>
  <c r="BA148" i="3"/>
  <c r="AZ148" i="3" s="1"/>
  <c r="G150" i="3"/>
  <c r="G151" i="3"/>
  <c r="BA152" i="3"/>
  <c r="AZ152" i="3" s="1"/>
  <c r="G154" i="3"/>
  <c r="G155" i="3"/>
  <c r="BA156" i="3"/>
  <c r="AZ156" i="3" s="1"/>
  <c r="BL159" i="3"/>
  <c r="AZ159" i="3" s="1"/>
  <c r="G160" i="3"/>
  <c r="BL163" i="3"/>
  <c r="AZ163" i="3" s="1"/>
  <c r="G164" i="3"/>
  <c r="BL167" i="3"/>
  <c r="AZ167" i="3" s="1"/>
  <c r="G168" i="3"/>
  <c r="BL171" i="3"/>
  <c r="AZ171" i="3" s="1"/>
  <c r="G172" i="3"/>
  <c r="BA174" i="3"/>
  <c r="BL174" i="3"/>
  <c r="BA176" i="3"/>
  <c r="AZ176" i="3" s="1"/>
  <c r="G179" i="3"/>
  <c r="G182" i="3"/>
  <c r="BA185" i="3"/>
  <c r="BL185" i="3"/>
  <c r="BL187" i="3"/>
  <c r="AZ187" i="3" s="1"/>
  <c r="G188" i="3"/>
  <c r="BA190" i="3"/>
  <c r="BL190" i="3"/>
  <c r="BA192" i="3"/>
  <c r="AZ192" i="3" s="1"/>
  <c r="G195" i="3"/>
  <c r="G198" i="3"/>
  <c r="BA201" i="3"/>
  <c r="BL201" i="3"/>
  <c r="BL203" i="3"/>
  <c r="AZ203" i="3" s="1"/>
  <c r="G204" i="3"/>
  <c r="BL205" i="3"/>
  <c r="G206" i="3"/>
  <c r="BA207" i="3"/>
  <c r="BL207" i="3"/>
  <c r="BA18" i="3"/>
  <c r="AZ18" i="3" s="1"/>
  <c r="BA20" i="3"/>
  <c r="BL20" i="3"/>
  <c r="BL22" i="3"/>
  <c r="G23" i="3"/>
  <c r="G25" i="3"/>
  <c r="BA26" i="3"/>
  <c r="BL26" i="3"/>
  <c r="BA27" i="3"/>
  <c r="AZ27" i="3" s="1"/>
  <c r="BA28" i="3"/>
  <c r="AZ28" i="3" s="1"/>
  <c r="BA29" i="3"/>
  <c r="AZ29" i="3" s="1"/>
  <c r="BA31" i="3"/>
  <c r="BL31" i="3"/>
  <c r="BA33" i="3"/>
  <c r="BL33" i="3"/>
  <c r="G100" i="43"/>
  <c r="BL34" i="3"/>
  <c r="G35" i="3"/>
  <c r="BL37" i="3"/>
  <c r="G38" i="3"/>
  <c r="G40" i="3"/>
  <c r="BA41" i="3"/>
  <c r="BL41" i="3"/>
  <c r="BA43" i="3"/>
  <c r="BL43" i="3"/>
  <c r="BA44" i="3"/>
  <c r="AZ44" i="3" s="1"/>
  <c r="BA45" i="3"/>
  <c r="AZ45" i="3" s="1"/>
  <c r="BA47" i="3"/>
  <c r="BL47" i="3"/>
  <c r="BA48" i="3"/>
  <c r="AZ48" i="3" s="1"/>
  <c r="BA50" i="3"/>
  <c r="BL50" i="3"/>
  <c r="BL52" i="3"/>
  <c r="G53" i="3"/>
  <c r="BA54" i="3"/>
  <c r="BL54" i="3"/>
  <c r="BL56" i="3"/>
  <c r="G57" i="3"/>
  <c r="G59" i="3"/>
  <c r="G63" i="3"/>
  <c r="G66" i="3"/>
  <c r="G68" i="3"/>
  <c r="BL69" i="3"/>
  <c r="G70" i="3"/>
  <c r="G72" i="3"/>
  <c r="G77" i="3"/>
  <c r="BL79" i="3"/>
  <c r="G80" i="3"/>
  <c r="BL82" i="3"/>
  <c r="G83" i="3"/>
  <c r="BA84" i="3"/>
  <c r="BL84" i="3"/>
  <c r="BA86" i="3"/>
  <c r="BL86" i="3"/>
  <c r="BL87" i="3"/>
  <c r="G88" i="3"/>
  <c r="G90" i="3"/>
  <c r="BA91" i="3"/>
  <c r="BL91" i="3"/>
  <c r="BA92" i="3"/>
  <c r="AZ92" i="3" s="1"/>
  <c r="BA93" i="3"/>
  <c r="AZ93" i="3" s="1"/>
  <c r="BA94" i="3"/>
  <c r="AZ94" i="3" s="1"/>
  <c r="BL96" i="3"/>
  <c r="G97" i="3"/>
  <c r="BA98" i="3"/>
  <c r="BL98" i="3"/>
  <c r="BA99" i="3"/>
  <c r="AZ99" i="3" s="1"/>
  <c r="BA101" i="3"/>
  <c r="BL101" i="3"/>
  <c r="BL103" i="3"/>
  <c r="G104" i="3"/>
  <c r="G106" i="3"/>
  <c r="G108" i="3"/>
  <c r="G112" i="3"/>
  <c r="J51" i="15"/>
  <c r="AZ523" i="3"/>
  <c r="AZ527" i="3"/>
  <c r="AZ531" i="3"/>
  <c r="AZ535" i="3"/>
  <c r="AZ539" i="3"/>
  <c r="AZ543" i="3"/>
  <c r="AZ547" i="3"/>
  <c r="AZ559" i="3"/>
  <c r="AZ567" i="3"/>
  <c r="AZ579" i="3"/>
  <c r="AZ508" i="3"/>
  <c r="AC11" i="36"/>
  <c r="W11" i="36"/>
  <c r="U27" i="37"/>
  <c r="AB27" i="37"/>
  <c r="AC31" i="40"/>
  <c r="W31" i="40"/>
  <c r="AA38" i="40"/>
  <c r="S38" i="40"/>
  <c r="W40" i="40"/>
  <c r="AC40" i="40"/>
  <c r="F29" i="6"/>
  <c r="AZ557" i="3"/>
  <c r="AA14" i="40"/>
  <c r="S14" i="40"/>
  <c r="AB14" i="40"/>
  <c r="U14" i="40"/>
  <c r="AC35" i="40"/>
  <c r="W35" i="40"/>
  <c r="AC14" i="39"/>
  <c r="W14" i="39"/>
  <c r="AC31" i="34"/>
  <c r="W31" i="34"/>
  <c r="U13" i="34"/>
  <c r="AB13" i="34"/>
  <c r="S44" i="33"/>
  <c r="AA44" i="33"/>
  <c r="AC40" i="37"/>
  <c r="W40" i="37"/>
  <c r="U11" i="35"/>
  <c r="AB11" i="35"/>
  <c r="W45" i="33"/>
  <c r="AC45" i="33"/>
  <c r="S13" i="33"/>
  <c r="AA13" i="33"/>
  <c r="AB14" i="37"/>
  <c r="AB26" i="37"/>
  <c r="U26" i="37"/>
  <c r="AC32" i="40"/>
  <c r="W32" i="40"/>
  <c r="J41" i="33"/>
  <c r="BA551" i="3"/>
  <c r="BL550" i="3"/>
  <c r="BA550" i="3"/>
  <c r="BL548" i="3"/>
  <c r="AZ548" i="3" s="1"/>
  <c r="AZ402" i="3"/>
  <c r="AZ418" i="3"/>
  <c r="AZ434" i="3"/>
  <c r="AZ443" i="3"/>
  <c r="AZ446" i="3"/>
  <c r="AZ450" i="3"/>
  <c r="AZ459" i="3"/>
  <c r="AZ462" i="3"/>
  <c r="AZ481" i="3"/>
  <c r="AZ389" i="3"/>
  <c r="AZ329" i="3"/>
  <c r="AZ321" i="3"/>
  <c r="AZ362" i="3"/>
  <c r="AZ324" i="3"/>
  <c r="AC46" i="21"/>
  <c r="W44" i="21"/>
  <c r="AB37" i="34"/>
  <c r="AZ507" i="3"/>
  <c r="AZ513" i="3"/>
  <c r="AZ521" i="3"/>
  <c r="AZ553" i="3"/>
  <c r="AZ583" i="3"/>
  <c r="AZ581" i="3"/>
  <c r="AZ518" i="3"/>
  <c r="AZ538" i="3"/>
  <c r="AZ552" i="3"/>
  <c r="S44" i="34"/>
  <c r="AA29" i="35"/>
  <c r="U33" i="35"/>
  <c r="H36" i="21"/>
  <c r="U36" i="21" s="1"/>
  <c r="F36" i="21"/>
  <c r="S36" i="21" s="1"/>
  <c r="H43" i="21"/>
  <c r="F43" i="21"/>
  <c r="S43" i="21" s="1"/>
  <c r="BL586" i="3"/>
  <c r="BL585" i="3"/>
  <c r="AZ585" i="3" s="1"/>
  <c r="J25" i="37"/>
  <c r="H38" i="40"/>
  <c r="F40" i="40"/>
  <c r="G574" i="3"/>
  <c r="G558" i="3"/>
  <c r="BA398" i="3"/>
  <c r="AZ398" i="3" s="1"/>
  <c r="G401" i="3"/>
  <c r="BL401" i="3"/>
  <c r="AZ401" i="3" s="1"/>
  <c r="BL403" i="3"/>
  <c r="AZ403" i="3" s="1"/>
  <c r="BA404" i="3"/>
  <c r="AZ404" i="3" s="1"/>
  <c r="BL406" i="3"/>
  <c r="AZ406" i="3" s="1"/>
  <c r="BA407" i="3"/>
  <c r="AZ407" i="3" s="1"/>
  <c r="G410" i="3"/>
  <c r="G411" i="3"/>
  <c r="G412" i="3"/>
  <c r="BL412" i="3"/>
  <c r="BA413" i="3"/>
  <c r="AZ413" i="3" s="1"/>
  <c r="BA414" i="3"/>
  <c r="AZ414" i="3" s="1"/>
  <c r="G417" i="3"/>
  <c r="BL417" i="3"/>
  <c r="AZ417" i="3" s="1"/>
  <c r="BL419" i="3"/>
  <c r="AZ419" i="3" s="1"/>
  <c r="BA420" i="3"/>
  <c r="AZ420" i="3" s="1"/>
  <c r="BL422" i="3"/>
  <c r="AZ422" i="3" s="1"/>
  <c r="BA423" i="3"/>
  <c r="AZ423" i="3" s="1"/>
  <c r="BA424" i="3"/>
  <c r="AZ424" i="3" s="1"/>
  <c r="G427" i="3"/>
  <c r="G428" i="3"/>
  <c r="BL428" i="3"/>
  <c r="BA429" i="3"/>
  <c r="AZ429" i="3" s="1"/>
  <c r="BA430" i="3"/>
  <c r="AZ430" i="3" s="1"/>
  <c r="G433" i="3"/>
  <c r="BL433" i="3"/>
  <c r="AZ433" i="3" s="1"/>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AZ480" i="3" s="1"/>
  <c r="G483" i="3"/>
  <c r="BA484" i="3"/>
  <c r="AZ484" i="3" s="1"/>
  <c r="BA485" i="3"/>
  <c r="AZ485" i="3" s="1"/>
  <c r="BL487" i="3"/>
  <c r="AZ487" i="3" s="1"/>
  <c r="BA488" i="3"/>
  <c r="BA489" i="3"/>
  <c r="AZ489" i="3" s="1"/>
  <c r="BL491" i="3"/>
  <c r="AZ491" i="3" s="1"/>
  <c r="BA492" i="3"/>
  <c r="AZ492" i="3" s="1"/>
  <c r="G313" i="3"/>
  <c r="BA315" i="3"/>
  <c r="AZ315" i="3" s="1"/>
  <c r="BL316" i="3"/>
  <c r="AZ316" i="3" s="1"/>
  <c r="G318" i="3"/>
  <c r="G329" i="3"/>
  <c r="BA331" i="3"/>
  <c r="AZ331" i="3" s="1"/>
  <c r="BL332" i="3"/>
  <c r="AZ332" i="3" s="1"/>
  <c r="G334" i="3"/>
  <c r="BL346" i="3"/>
  <c r="AZ346" i="3" s="1"/>
  <c r="G349" i="3"/>
  <c r="BA350" i="3"/>
  <c r="BL353" i="3"/>
  <c r="AZ353" i="3" s="1"/>
  <c r="G362" i="3"/>
  <c r="G366" i="3"/>
  <c r="BA368" i="3"/>
  <c r="AZ368" i="3" s="1"/>
  <c r="G378" i="3"/>
  <c r="BL383" i="3"/>
  <c r="AZ383" i="3" s="1"/>
  <c r="BA385" i="3"/>
  <c r="AZ385" i="3" s="1"/>
  <c r="BL266" i="3"/>
  <c r="BA267" i="3"/>
  <c r="AZ267" i="3" s="1"/>
  <c r="BA268" i="3"/>
  <c r="AZ268" i="3" s="1"/>
  <c r="BL271" i="3"/>
  <c r="AZ271" i="3" s="1"/>
  <c r="BA272" i="3"/>
  <c r="AZ272" i="3" s="1"/>
  <c r="BA273" i="3"/>
  <c r="AZ273" i="3" s="1"/>
  <c r="BL281" i="3"/>
  <c r="BA282" i="3"/>
  <c r="AZ282" i="3" s="1"/>
  <c r="BA283" i="3"/>
  <c r="AZ283" i="3" s="1"/>
  <c r="BL286" i="3"/>
  <c r="BL288" i="3"/>
  <c r="AZ288" i="3" s="1"/>
  <c r="BA289" i="3"/>
  <c r="AZ289" i="3" s="1"/>
  <c r="BL291" i="3"/>
  <c r="AZ291" i="3" s="1"/>
  <c r="BL297" i="3"/>
  <c r="BA298" i="3"/>
  <c r="AZ298" i="3" s="1"/>
  <c r="BA299" i="3"/>
  <c r="AZ299" i="3" s="1"/>
  <c r="BL117" i="3"/>
  <c r="AZ117" i="3" s="1"/>
  <c r="BA118" i="3"/>
  <c r="AZ118" i="3" s="1"/>
  <c r="BL119" i="3"/>
  <c r="AZ119" i="3" s="1"/>
  <c r="BA121" i="3"/>
  <c r="AZ121" i="3" s="1"/>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9" i="3"/>
  <c r="BL154" i="3"/>
  <c r="AZ154" i="3" s="1"/>
  <c r="BL162" i="3"/>
  <c r="AZ162" i="3" s="1"/>
  <c r="BL165" i="3"/>
  <c r="AZ165" i="3" s="1"/>
  <c r="BL170" i="3"/>
  <c r="AZ170" i="3" s="1"/>
  <c r="BL173" i="3"/>
  <c r="G176" i="3"/>
  <c r="BL178" i="3"/>
  <c r="AZ178" i="3" s="1"/>
  <c r="BA180" i="3"/>
  <c r="AZ180" i="3" s="1"/>
  <c r="BL181" i="3"/>
  <c r="G184" i="3"/>
  <c r="BL186" i="3"/>
  <c r="AZ186" i="3" s="1"/>
  <c r="BA188" i="3"/>
  <c r="AZ188" i="3" s="1"/>
  <c r="BL189" i="3"/>
  <c r="G192" i="3"/>
  <c r="BL194" i="3"/>
  <c r="AZ194"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BA229" i="3"/>
  <c r="AZ229" i="3" s="1"/>
  <c r="G232" i="3"/>
  <c r="G233" i="3"/>
  <c r="G234" i="3"/>
  <c r="BL234" i="3"/>
  <c r="G237" i="3"/>
  <c r="G238" i="3"/>
  <c r="BL238" i="3"/>
  <c r="AZ238" i="3" s="1"/>
  <c r="BA239" i="3"/>
  <c r="AZ239" i="3" s="1"/>
  <c r="BA240" i="3"/>
  <c r="AZ240" i="3" s="1"/>
  <c r="BA241" i="3"/>
  <c r="AZ241" i="3" s="1"/>
  <c r="BL243" i="3"/>
  <c r="AZ243" i="3" s="1"/>
  <c r="BA244" i="3"/>
  <c r="AZ244" i="3" s="1"/>
  <c r="BA245" i="3"/>
  <c r="G248" i="3"/>
  <c r="G249" i="3"/>
  <c r="G250" i="3"/>
  <c r="BL250" i="3"/>
  <c r="G253" i="3"/>
  <c r="G254" i="3"/>
  <c r="BL254" i="3"/>
  <c r="BA255" i="3"/>
  <c r="AZ255" i="3" s="1"/>
  <c r="BA256" i="3"/>
  <c r="AZ256" i="3" s="1"/>
  <c r="BA257" i="3"/>
  <c r="BL259" i="3"/>
  <c r="AZ259" i="3" s="1"/>
  <c r="BA260" i="3"/>
  <c r="AZ260" i="3" s="1"/>
  <c r="BA261" i="3"/>
  <c r="AZ261" i="3" s="1"/>
  <c r="BL263" i="3"/>
  <c r="AZ263" i="3" s="1"/>
  <c r="BA264" i="3"/>
  <c r="AZ264" i="3" s="1"/>
  <c r="BA265" i="3"/>
  <c r="AZ265" i="3" s="1"/>
  <c r="BL274" i="3"/>
  <c r="AZ274" i="3" s="1"/>
  <c r="G277" i="3"/>
  <c r="BL277" i="3"/>
  <c r="AZ277" i="3" s="1"/>
  <c r="BA278" i="3"/>
  <c r="AZ278" i="3" s="1"/>
  <c r="BA279" i="3"/>
  <c r="AZ279" i="3" s="1"/>
  <c r="BL284" i="3"/>
  <c r="AZ284" i="3" s="1"/>
  <c r="BA285" i="3"/>
  <c r="AZ285" i="3" s="1"/>
  <c r="BL290" i="3"/>
  <c r="AZ290" i="3" s="1"/>
  <c r="BL293" i="3"/>
  <c r="AZ293" i="3" s="1"/>
  <c r="BA294" i="3"/>
  <c r="AZ294" i="3" s="1"/>
  <c r="BA295" i="3"/>
  <c r="AZ295" i="3" s="1"/>
  <c r="BA296" i="3"/>
  <c r="AZ296" i="3" s="1"/>
  <c r="BL300" i="3"/>
  <c r="AZ300" i="3" s="1"/>
  <c r="BA301" i="3"/>
  <c r="AZ302" i="3"/>
  <c r="BA113" i="3"/>
  <c r="AZ113" i="3" s="1"/>
  <c r="BA114" i="3"/>
  <c r="AZ114" i="3" s="1"/>
  <c r="BL115" i="3"/>
  <c r="AZ115" i="3" s="1"/>
  <c r="BL122" i="3"/>
  <c r="AZ122" i="3" s="1"/>
  <c r="BL125" i="3"/>
  <c r="AZ125" i="3" s="1"/>
  <c r="BA126" i="3"/>
  <c r="AZ126" i="3" s="1"/>
  <c r="BL127" i="3"/>
  <c r="AZ127" i="3" s="1"/>
  <c r="BA129" i="3"/>
  <c r="AZ129" i="3" s="1"/>
  <c r="BA130" i="3"/>
  <c r="AZ130" i="3" s="1"/>
  <c r="BL131" i="3"/>
  <c r="AZ131" i="3" s="1"/>
  <c r="BL150" i="3"/>
  <c r="AZ150" i="3" s="1"/>
  <c r="BL153" i="3"/>
  <c r="AZ153" i="3" s="1"/>
  <c r="BL158" i="3"/>
  <c r="AZ158" i="3" s="1"/>
  <c r="BL161" i="3"/>
  <c r="AZ161" i="3" s="1"/>
  <c r="BL166" i="3"/>
  <c r="AZ166" i="3" s="1"/>
  <c r="BL169" i="3"/>
  <c r="AZ169" i="3" s="1"/>
  <c r="BA196" i="3"/>
  <c r="AZ196" i="3" s="1"/>
  <c r="BL197" i="3"/>
  <c r="AZ197"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AZ76" i="3"/>
  <c r="G61" i="3"/>
  <c r="G62" i="3"/>
  <c r="BL62" i="3"/>
  <c r="AZ62" i="3" s="1"/>
  <c r="G65" i="3"/>
  <c r="BL65" i="3"/>
  <c r="AZ65" i="3" s="1"/>
  <c r="BL67" i="3"/>
  <c r="AZ67" i="3" s="1"/>
  <c r="BA68" i="3"/>
  <c r="AZ68" i="3" s="1"/>
  <c r="BA69" i="3"/>
  <c r="AZ69" i="3" s="1"/>
  <c r="BL71" i="3"/>
  <c r="AZ71" i="3" s="1"/>
  <c r="G74" i="3"/>
  <c r="G75" i="3"/>
  <c r="G76" i="3"/>
  <c r="BL76" i="3"/>
  <c r="BA78" i="3"/>
  <c r="AZ78" i="3" s="1"/>
  <c r="BA79" i="3"/>
  <c r="AZ79" i="3" s="1"/>
  <c r="BA81" i="3"/>
  <c r="AZ81" i="3" s="1"/>
  <c r="BA82" i="3"/>
  <c r="AZ82" i="3" s="1"/>
  <c r="BA83" i="3"/>
  <c r="AZ83" i="3" s="1"/>
  <c r="BL85" i="3"/>
  <c r="AZ85" i="3" s="1"/>
  <c r="BA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G107" i="3"/>
  <c r="BL107" i="3"/>
  <c r="G109" i="3"/>
  <c r="G110" i="3"/>
  <c r="G111" i="3"/>
  <c r="BL111" i="3"/>
  <c r="M100" i="43"/>
  <c r="I100" i="43"/>
  <c r="E100" i="43"/>
  <c r="I20" i="66"/>
  <c r="U40" i="33"/>
  <c r="B11" i="72"/>
  <c r="E8" i="6"/>
  <c r="F27" i="6" s="1"/>
  <c r="U43" i="33"/>
  <c r="F42" i="33"/>
  <c r="AA42" i="33" s="1"/>
  <c r="H42" i="33"/>
  <c r="AB42" i="33" s="1"/>
  <c r="U35" i="33"/>
  <c r="S41" i="33"/>
  <c r="W33" i="33"/>
  <c r="U32" i="33"/>
  <c r="AB26" i="33"/>
  <c r="S26" i="33"/>
  <c r="G14" i="3"/>
  <c r="BR5" i="3"/>
  <c r="G28" i="6" s="1"/>
  <c r="G16" i="3"/>
  <c r="G3" i="43"/>
  <c r="B113" i="43" s="1"/>
  <c r="C11" i="39"/>
  <c r="F3" i="35"/>
  <c r="AB41" i="21"/>
  <c r="J36" i="21"/>
  <c r="AC36" i="21" s="1"/>
  <c r="J34" i="21"/>
  <c r="W34" i="21" s="1"/>
  <c r="S34" i="21"/>
  <c r="AB38" i="21"/>
  <c r="U40" i="39"/>
  <c r="AZ16" i="3"/>
  <c r="BL15" i="3"/>
  <c r="AZ15" i="3" s="1"/>
  <c r="BJ5" i="3"/>
  <c r="BF5" i="3"/>
  <c r="BN5" i="3"/>
  <c r="G29" i="6" s="1"/>
  <c r="A15" i="62"/>
  <c r="B61" i="72" s="1"/>
  <c r="D93" i="9"/>
  <c r="K6" i="1"/>
  <c r="AC26" i="33"/>
  <c r="W26" i="33"/>
  <c r="W27" i="34"/>
  <c r="AC27" i="34"/>
  <c r="AB34" i="36"/>
  <c r="U34" i="36"/>
  <c r="AB33" i="36"/>
  <c r="U33" i="36"/>
  <c r="AC12" i="39"/>
  <c r="W12" i="39"/>
  <c r="AC39" i="40"/>
  <c r="W39" i="40"/>
  <c r="AZ412" i="3"/>
  <c r="AZ428" i="3"/>
  <c r="AZ465" i="3"/>
  <c r="AZ586" i="3"/>
  <c r="W12" i="33"/>
  <c r="AC12" i="33"/>
  <c r="AA32" i="36"/>
  <c r="S32" i="36"/>
  <c r="AZ551" i="3"/>
  <c r="AZ408" i="3"/>
  <c r="AZ437" i="3"/>
  <c r="AZ441" i="3"/>
  <c r="AZ457" i="3"/>
  <c r="AZ473" i="3"/>
  <c r="AZ490" i="3"/>
  <c r="AA39" i="34"/>
  <c r="F28" i="6"/>
  <c r="F30" i="6" s="1"/>
  <c r="BL14" i="3"/>
  <c r="AZ266" i="3"/>
  <c r="U30" i="33"/>
  <c r="AC13" i="34"/>
  <c r="AA47" i="34"/>
  <c r="W28" i="37"/>
  <c r="S19" i="39"/>
  <c r="F12" i="33"/>
  <c r="H12" i="39"/>
  <c r="AB12" i="39" s="1"/>
  <c r="F39" i="40"/>
  <c r="BA14" i="3"/>
  <c r="AZ367" i="3"/>
  <c r="AZ213" i="3"/>
  <c r="AZ224" i="3"/>
  <c r="AZ234" i="3"/>
  <c r="AZ250" i="3"/>
  <c r="AZ254" i="3"/>
  <c r="AZ281" i="3"/>
  <c r="AZ286" i="3"/>
  <c r="AZ297" i="3"/>
  <c r="AZ149" i="3"/>
  <c r="AZ157" i="3"/>
  <c r="AZ173" i="3"/>
  <c r="AZ181" i="3"/>
  <c r="AZ189"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32" i="33"/>
  <c r="AA29" i="33"/>
  <c r="AB29" i="33"/>
  <c r="W38" i="33"/>
  <c r="H41" i="33"/>
  <c r="F121" i="33"/>
  <c r="G121" i="33" s="1"/>
  <c r="H121" i="33" s="1"/>
  <c r="I121" i="33" s="1"/>
  <c r="J121" i="33" s="1"/>
  <c r="K121" i="33" s="1"/>
  <c r="L121" i="33" s="1"/>
  <c r="M121" i="33" s="1"/>
  <c r="U42" i="33"/>
  <c r="G111" i="33"/>
  <c r="F36" i="33" s="1"/>
  <c r="G108" i="33"/>
  <c r="H108" i="33" s="1"/>
  <c r="I108" i="33" s="1"/>
  <c r="J108" i="33" s="1"/>
  <c r="K108" i="33" s="1"/>
  <c r="L108" i="33" s="1"/>
  <c r="M108" i="33" s="1"/>
  <c r="J35" i="33"/>
  <c r="S37" i="33"/>
  <c r="AA37" i="33"/>
  <c r="S39" i="33"/>
  <c r="F101" i="33"/>
  <c r="G101" i="33" s="1"/>
  <c r="H101" i="33" s="1"/>
  <c r="I101" i="33" s="1"/>
  <c r="J101" i="33" s="1"/>
  <c r="K101" i="33" s="1"/>
  <c r="L101" i="33" s="1"/>
  <c r="M101" i="33" s="1"/>
  <c r="S46" i="33"/>
  <c r="W43" i="33"/>
  <c r="S43" i="33"/>
  <c r="F91" i="33"/>
  <c r="F27" i="33" s="1"/>
  <c r="AA27" i="33" s="1"/>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S39" i="21"/>
  <c r="AA38" i="21"/>
  <c r="AA36" i="21"/>
  <c r="AC40" i="21"/>
  <c r="J15" i="21"/>
  <c r="W15" i="21" s="1"/>
  <c r="F77" i="21"/>
  <c r="F23" i="21"/>
  <c r="S23" i="21" s="1"/>
  <c r="E85" i="21"/>
  <c r="AA14" i="21"/>
  <c r="AB8" i="21"/>
  <c r="S8" i="21"/>
  <c r="M3" i="43"/>
  <c r="N10" i="43"/>
  <c r="M1" i="43"/>
  <c r="M8" i="43"/>
  <c r="N8" i="43"/>
  <c r="N9" i="43"/>
  <c r="D120" i="9"/>
  <c r="C18" i="9"/>
  <c r="D18" i="9" s="1"/>
  <c r="F34" i="67"/>
  <c r="F62" i="67" s="1"/>
  <c r="M20" i="67"/>
  <c r="F34" i="15"/>
  <c r="F62" i="15" s="1"/>
  <c r="G13" i="3"/>
  <c r="G5" i="3" s="1"/>
  <c r="B3" i="3" s="1"/>
  <c r="BA13" i="3"/>
  <c r="E10" i="6"/>
  <c r="BL17" i="3"/>
  <c r="AZ17" i="3" s="1"/>
  <c r="BL13" i="3"/>
  <c r="J56" i="9"/>
  <c r="J57" i="9" s="1"/>
  <c r="A24" i="51"/>
  <c r="B18" i="72" s="1"/>
  <c r="U29" i="34"/>
  <c r="E5" i="6"/>
  <c r="D9" i="11" s="1"/>
  <c r="C9" i="11" s="1"/>
  <c r="P10" i="1"/>
  <c r="H22" i="43"/>
  <c r="L101" i="43"/>
  <c r="L109" i="43" s="1"/>
  <c r="H101" i="43"/>
  <c r="D101" i="43"/>
  <c r="D109" i="43" s="1"/>
  <c r="M101" i="43"/>
  <c r="M109" i="43" s="1"/>
  <c r="I101" i="43"/>
  <c r="I109" i="43" s="1"/>
  <c r="E101" i="43"/>
  <c r="G22" i="43"/>
  <c r="E32" i="6"/>
  <c r="G1" i="68"/>
  <c r="K1" i="12"/>
  <c r="T10" i="1"/>
  <c r="E19" i="69"/>
  <c r="E19" i="68"/>
  <c r="E19" i="11"/>
  <c r="E1" i="73"/>
  <c r="K1" i="73" s="1"/>
  <c r="G41" i="69"/>
  <c r="G22" i="69"/>
  <c r="G41" i="68"/>
  <c r="G22" i="68"/>
  <c r="G27" i="12"/>
  <c r="G26" i="12"/>
  <c r="G41" i="11"/>
  <c r="G22" i="11"/>
  <c r="G25" i="12"/>
  <c r="C100" i="43"/>
  <c r="E11" i="43"/>
  <c r="E10" i="43"/>
  <c r="E9" i="43"/>
  <c r="E8" i="43"/>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7" i="21"/>
  <c r="C58" i="21" s="1"/>
  <c r="D58" i="21" s="1"/>
  <c r="C7" i="40"/>
  <c r="C63" i="40" s="1"/>
  <c r="M47" i="9"/>
  <c r="G19" i="43"/>
  <c r="P23" i="43" s="1"/>
  <c r="B71" i="39" s="1"/>
  <c r="T35" i="4"/>
  <c r="A19" i="51" s="1"/>
  <c r="B14" i="72" s="1"/>
  <c r="C46" i="36"/>
  <c r="D46" i="36" s="1"/>
  <c r="E46" i="36" s="1"/>
  <c r="C59" i="34"/>
  <c r="D59" i="34" s="1"/>
  <c r="C52" i="37"/>
  <c r="D52" i="37" s="1"/>
  <c r="A4" i="51"/>
  <c r="B6" i="72" s="1"/>
  <c r="C94" i="9"/>
  <c r="C92" i="9"/>
  <c r="H62" i="43"/>
  <c r="H66" i="43"/>
  <c r="H61" i="43"/>
  <c r="H65" i="43"/>
  <c r="H60" i="43"/>
  <c r="H64" i="43"/>
  <c r="H59" i="43"/>
  <c r="H63" i="43"/>
  <c r="H67" i="43"/>
  <c r="H55" i="43"/>
  <c r="H51" i="43"/>
  <c r="H56" i="43"/>
  <c r="H76" i="43"/>
  <c r="H72" i="43"/>
  <c r="H77" i="43"/>
  <c r="L20" i="6"/>
  <c r="E56" i="39"/>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AC45" i="21"/>
  <c r="F10" i="21"/>
  <c r="K145" i="21"/>
  <c r="W25" i="21"/>
  <c r="W31" i="21"/>
  <c r="S27" i="21"/>
  <c r="S17" i="21"/>
  <c r="AC27" i="21"/>
  <c r="AC26" i="21"/>
  <c r="AB29" i="21"/>
  <c r="S28"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B8" i="49"/>
  <c r="E4" i="49"/>
  <c r="E11" i="49"/>
  <c r="M29" i="78"/>
  <c r="C76" i="15"/>
  <c r="L48" i="67"/>
  <c r="M29" i="79"/>
  <c r="J15" i="15"/>
  <c r="F43" i="79"/>
  <c r="F37" i="67"/>
  <c r="F13" i="67"/>
  <c r="F43" i="78"/>
  <c r="M9" i="15"/>
  <c r="L48" i="78"/>
  <c r="M24" i="15"/>
  <c r="F36" i="15"/>
  <c r="C76" i="67"/>
  <c r="M6" i="15"/>
  <c r="F37" i="15"/>
  <c r="F7" i="78"/>
  <c r="M28" i="67"/>
  <c r="F7" i="79"/>
  <c r="G1" i="73"/>
  <c r="L12" i="77" l="1"/>
  <c r="M12" i="77" s="1"/>
  <c r="E29" i="6"/>
  <c r="AC42" i="21"/>
  <c r="W42" i="21"/>
  <c r="AZ245" i="3"/>
  <c r="AZ488" i="3"/>
  <c r="AZ54" i="3"/>
  <c r="AZ50" i="3"/>
  <c r="AZ207" i="3"/>
  <c r="AZ174" i="3"/>
  <c r="AZ280" i="3"/>
  <c r="AZ217" i="3"/>
  <c r="AZ415" i="3"/>
  <c r="AZ529" i="3"/>
  <c r="AZ511" i="3"/>
  <c r="AZ193" i="3"/>
  <c r="AZ223" i="3"/>
  <c r="AZ221" i="3"/>
  <c r="AZ395" i="3"/>
  <c r="AZ500" i="3"/>
  <c r="AZ66" i="3"/>
  <c r="AA40" i="39"/>
  <c r="S40" i="39"/>
  <c r="F101" i="39"/>
  <c r="G101" i="39" s="1"/>
  <c r="H27" i="39"/>
  <c r="F28" i="79"/>
  <c r="C28" i="79" s="1"/>
  <c r="F32" i="79"/>
  <c r="F60" i="79" s="1"/>
  <c r="M18" i="79"/>
  <c r="AZ14" i="3"/>
  <c r="E11" i="6"/>
  <c r="E61" i="39" s="1"/>
  <c r="AZ301" i="3"/>
  <c r="AZ257" i="3"/>
  <c r="AZ228" i="3"/>
  <c r="AZ350" i="3"/>
  <c r="AZ98" i="3"/>
  <c r="AZ86" i="3"/>
  <c r="AZ201" i="3"/>
  <c r="AZ270" i="3"/>
  <c r="AZ235" i="3"/>
  <c r="AZ208" i="3"/>
  <c r="AZ540" i="3"/>
  <c r="AZ198" i="3"/>
  <c r="AZ59" i="3"/>
  <c r="AZ214" i="3"/>
  <c r="AZ211" i="3"/>
  <c r="J32" i="15"/>
  <c r="J36" i="15" s="1"/>
  <c r="I30" i="15"/>
  <c r="F71" i="79"/>
  <c r="M7" i="79"/>
  <c r="F50" i="79"/>
  <c r="J53" i="78"/>
  <c r="F1" i="78" s="1"/>
  <c r="L56" i="78"/>
  <c r="J57" i="78"/>
  <c r="J55" i="78" s="1"/>
  <c r="J58" i="78" s="1"/>
  <c r="Q50" i="78" s="1"/>
  <c r="L57" i="78"/>
  <c r="I54" i="78"/>
  <c r="L60" i="78"/>
  <c r="Q66" i="78" s="1"/>
  <c r="U25" i="37"/>
  <c r="AB25" i="37"/>
  <c r="S14" i="37"/>
  <c r="AA14" i="37"/>
  <c r="AB35" i="35"/>
  <c r="U35" i="35"/>
  <c r="AB46" i="33"/>
  <c r="U46" i="33"/>
  <c r="W28" i="34"/>
  <c r="AC28" i="34"/>
  <c r="AB12" i="21"/>
  <c r="U12" i="21"/>
  <c r="AA44" i="39"/>
  <c r="S44" i="39"/>
  <c r="AZ555" i="3"/>
  <c r="W33" i="36"/>
  <c r="AC33" i="36"/>
  <c r="AC24" i="36"/>
  <c r="W24" i="36"/>
  <c r="AA29" i="21"/>
  <c r="F53" i="9"/>
  <c r="F32" i="78"/>
  <c r="F60" i="78" s="1"/>
  <c r="F28" i="78"/>
  <c r="C28" i="78" s="1"/>
  <c r="M18" i="78"/>
  <c r="AZ550" i="3"/>
  <c r="AZ101" i="3"/>
  <c r="AZ91" i="3"/>
  <c r="AZ47" i="3"/>
  <c r="AZ43" i="3"/>
  <c r="AZ33" i="3"/>
  <c r="AZ31" i="3"/>
  <c r="AZ20" i="3"/>
  <c r="AZ190" i="3"/>
  <c r="AZ185" i="3"/>
  <c r="AZ287" i="3"/>
  <c r="AZ251" i="3"/>
  <c r="AZ230" i="3"/>
  <c r="AZ226" i="3"/>
  <c r="AZ386" i="3"/>
  <c r="AZ486" i="3"/>
  <c r="AZ399" i="3"/>
  <c r="G7" i="1"/>
  <c r="U39" i="40"/>
  <c r="AB39" i="40"/>
  <c r="AC26" i="37"/>
  <c r="W26" i="37"/>
  <c r="AC14" i="37"/>
  <c r="W14" i="37"/>
  <c r="S13" i="35"/>
  <c r="AA13" i="35"/>
  <c r="AA28" i="34"/>
  <c r="S28" i="34"/>
  <c r="F123" i="21"/>
  <c r="G123" i="21" s="1"/>
  <c r="H123" i="21" s="1"/>
  <c r="I123" i="21" s="1"/>
  <c r="J123" i="21" s="1"/>
  <c r="K123" i="21" s="1"/>
  <c r="L123" i="21" s="1"/>
  <c r="M123" i="21" s="1"/>
  <c r="F42" i="21"/>
  <c r="H42" i="21"/>
  <c r="U30" i="21"/>
  <c r="AB30" i="21"/>
  <c r="S12" i="21"/>
  <c r="AA12" i="21"/>
  <c r="U11" i="36"/>
  <c r="AB11" i="36"/>
  <c r="AC44" i="39"/>
  <c r="W44" i="39"/>
  <c r="AB44" i="39"/>
  <c r="U44" i="39"/>
  <c r="W35" i="21"/>
  <c r="AC35" i="21"/>
  <c r="AA42" i="39"/>
  <c r="S42" i="39"/>
  <c r="AA11" i="36"/>
  <c r="S11" i="36"/>
  <c r="F71" i="78"/>
  <c r="F50" i="78"/>
  <c r="M7" i="78"/>
  <c r="AB38" i="40"/>
  <c r="U38" i="40"/>
  <c r="AC34" i="21"/>
  <c r="W17" i="21"/>
  <c r="E51" i="40"/>
  <c r="T12" i="1"/>
  <c r="E14" i="6"/>
  <c r="E64" i="39" s="1"/>
  <c r="AA43" i="21"/>
  <c r="H27" i="33"/>
  <c r="S42" i="33"/>
  <c r="S27" i="33"/>
  <c r="AA40" i="40"/>
  <c r="S40" i="40"/>
  <c r="AC25" i="37"/>
  <c r="W25" i="37"/>
  <c r="AB43" i="21"/>
  <c r="U43" i="21"/>
  <c r="AC41" i="33"/>
  <c r="W41" i="33"/>
  <c r="C58" i="33"/>
  <c r="D58" i="33" s="1"/>
  <c r="E58" i="33" s="1"/>
  <c r="F58" i="33" s="1"/>
  <c r="G58" i="33" s="1"/>
  <c r="H58" i="33" s="1"/>
  <c r="I58" i="33" s="1"/>
  <c r="J58" i="33" s="1"/>
  <c r="K58" i="33" s="1"/>
  <c r="L58" i="33" s="1"/>
  <c r="M58" i="33" s="1"/>
  <c r="N58" i="33" s="1"/>
  <c r="O58" i="33" s="1"/>
  <c r="G7" i="33"/>
  <c r="I7" i="33"/>
  <c r="E7" i="33"/>
  <c r="D3" i="39"/>
  <c r="BA5" i="3"/>
  <c r="E27" i="6" s="1"/>
  <c r="F31" i="6"/>
  <c r="J32" i="33"/>
  <c r="E12" i="6"/>
  <c r="E62" i="39" s="1"/>
  <c r="G101" i="43"/>
  <c r="G106" i="43" s="1"/>
  <c r="K101" i="43"/>
  <c r="K105" i="43" s="1"/>
  <c r="J101" i="43"/>
  <c r="J103" i="43" s="1"/>
  <c r="N101" i="43"/>
  <c r="N109" i="43" s="1"/>
  <c r="F22" i="43"/>
  <c r="B115" i="43"/>
  <c r="C115" i="43" s="1"/>
  <c r="D117" i="43"/>
  <c r="E117" i="43" s="1"/>
  <c r="F117" i="43" s="1"/>
  <c r="G117" i="43" s="1"/>
  <c r="H117" i="43" s="1"/>
  <c r="B117" i="43"/>
  <c r="C117" i="43" s="1"/>
  <c r="I115" i="43"/>
  <c r="J115" i="43" s="1"/>
  <c r="K115" i="43" s="1"/>
  <c r="L115" i="43" s="1"/>
  <c r="M115" i="43" s="1"/>
  <c r="N104" i="46"/>
  <c r="C101" i="43"/>
  <c r="C102" i="43" s="1"/>
  <c r="E22" i="43"/>
  <c r="F101" i="43"/>
  <c r="F109" i="43" s="1"/>
  <c r="L19" i="6"/>
  <c r="L27" i="6" s="1"/>
  <c r="I7" i="21"/>
  <c r="E7" i="21"/>
  <c r="G7" i="21"/>
  <c r="F11" i="39"/>
  <c r="H11" i="39"/>
  <c r="J11" i="39"/>
  <c r="C7" i="43"/>
  <c r="E28" i="6"/>
  <c r="K20" i="6" s="1"/>
  <c r="S7" i="1" s="1"/>
  <c r="E7" i="70" s="1"/>
  <c r="G30" i="6"/>
  <c r="G31" i="6" s="1"/>
  <c r="G77" i="21"/>
  <c r="F15" i="21"/>
  <c r="AC15" i="21"/>
  <c r="AR12" i="1"/>
  <c r="K104" i="43"/>
  <c r="G118" i="43"/>
  <c r="H118" i="43" s="1"/>
  <c r="F106" i="43"/>
  <c r="D115" i="43"/>
  <c r="E115" i="43" s="1"/>
  <c r="F115" i="43" s="1"/>
  <c r="G115" i="43" s="1"/>
  <c r="H115" i="43" s="1"/>
  <c r="B118" i="43"/>
  <c r="C118" i="43" s="1"/>
  <c r="D116" i="43"/>
  <c r="E116" i="43" s="1"/>
  <c r="F116" i="43" s="1"/>
  <c r="G116" i="43" s="1"/>
  <c r="H116" i="43" s="1"/>
  <c r="F107" i="43"/>
  <c r="I116" i="43"/>
  <c r="J116" i="43" s="1"/>
  <c r="K116" i="43" s="1"/>
  <c r="L116" i="43" s="1"/>
  <c r="M116" i="43" s="1"/>
  <c r="I117" i="43"/>
  <c r="J117" i="43" s="1"/>
  <c r="K117" i="43" s="1"/>
  <c r="L117" i="43" s="1"/>
  <c r="M117" i="43" s="1"/>
  <c r="B116" i="43"/>
  <c r="C116" i="43" s="1"/>
  <c r="D118" i="43"/>
  <c r="E118" i="43" s="1"/>
  <c r="F118" i="43" s="1"/>
  <c r="I118" i="43"/>
  <c r="J118" i="43" s="1"/>
  <c r="K118" i="43" s="1"/>
  <c r="L118" i="43" s="1"/>
  <c r="M118" i="43" s="1"/>
  <c r="C103" i="43"/>
  <c r="F102" i="43"/>
  <c r="C106" i="43"/>
  <c r="E15" i="6"/>
  <c r="E60" i="40" s="1"/>
  <c r="E13" i="6"/>
  <c r="E58" i="40" s="1"/>
  <c r="G109" i="43"/>
  <c r="J106" i="43"/>
  <c r="J102" i="43"/>
  <c r="J107" i="43"/>
  <c r="J105" i="43"/>
  <c r="AR10" i="1"/>
  <c r="E56" i="40"/>
  <c r="C4" i="4"/>
  <c r="K4" i="4" s="1"/>
  <c r="B46" i="48" s="1"/>
  <c r="J53" i="67"/>
  <c r="I54" i="67"/>
  <c r="AQ13" i="1"/>
  <c r="AZ13" i="3"/>
  <c r="M6" i="1"/>
  <c r="F30" i="68"/>
  <c r="C30" i="68" s="1"/>
  <c r="F30" i="11"/>
  <c r="C48" i="11" s="1"/>
  <c r="F28" i="67"/>
  <c r="C28" i="67" s="1"/>
  <c r="F31" i="12"/>
  <c r="F52" i="9"/>
  <c r="M18" i="67"/>
  <c r="F32" i="67"/>
  <c r="F60" i="67" s="1"/>
  <c r="F30" i="69"/>
  <c r="C48" i="69" s="1"/>
  <c r="F32" i="15"/>
  <c r="F60" i="15" s="1"/>
  <c r="M18" i="15"/>
  <c r="F28" i="15"/>
  <c r="C28" i="15" s="1"/>
  <c r="T11" i="1"/>
  <c r="D9" i="69"/>
  <c r="C9" i="69" s="1"/>
  <c r="D19" i="12"/>
  <c r="C19" i="12" s="1"/>
  <c r="AQ9" i="1"/>
  <c r="AR11" i="1"/>
  <c r="E59" i="40"/>
  <c r="D68" i="39"/>
  <c r="D70" i="39" s="1"/>
  <c r="P24" i="43"/>
  <c r="B66" i="40" s="1"/>
  <c r="K15" i="1"/>
  <c r="T9" i="1"/>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D9" i="68"/>
  <c r="C9" i="68"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BL5" i="3"/>
  <c r="P21" i="43"/>
  <c r="M20" i="43"/>
  <c r="C19"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B40" i="1"/>
  <c r="O19" i="43"/>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G16" i="1"/>
  <c r="H10" i="40" s="1"/>
  <c r="U10" i="40" s="1"/>
  <c r="L56" i="67"/>
  <c r="J57" i="67"/>
  <c r="J55" i="67" s="1"/>
  <c r="J58" i="67" s="1"/>
  <c r="Q50" i="67" s="1"/>
  <c r="Q71" i="67"/>
  <c r="F65" i="67"/>
  <c r="Q71" i="15"/>
  <c r="F64" i="15"/>
  <c r="F65" i="15"/>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15"/>
  <c r="M17" i="67"/>
  <c r="F59" i="15"/>
  <c r="F59" i="67"/>
  <c r="F31" i="67"/>
  <c r="F31" i="15"/>
  <c r="F26" i="79"/>
  <c r="F16" i="15"/>
  <c r="M26" i="78"/>
  <c r="F37" i="79"/>
  <c r="M8" i="67"/>
  <c r="F36" i="79"/>
  <c r="F7" i="15"/>
  <c r="L47" i="78"/>
  <c r="F43" i="67"/>
  <c r="F6" i="15"/>
  <c r="F8" i="79"/>
  <c r="F36" i="67"/>
  <c r="M29" i="67"/>
  <c r="F9" i="79"/>
  <c r="M8" i="15"/>
  <c r="L48" i="15"/>
  <c r="M8" i="78"/>
  <c r="M8" i="79"/>
  <c r="F8" i="15"/>
  <c r="F43" i="15"/>
  <c r="J15" i="78"/>
  <c r="F13" i="79"/>
  <c r="F9" i="67"/>
  <c r="M23" i="67"/>
  <c r="F36" i="78"/>
  <c r="M6" i="79"/>
  <c r="M23" i="78"/>
  <c r="F16" i="78"/>
  <c r="F26" i="78"/>
  <c r="M26" i="79"/>
  <c r="F42" i="67"/>
  <c r="F9" i="78"/>
  <c r="L47" i="67"/>
  <c r="F38" i="78"/>
  <c r="M26" i="67"/>
  <c r="F8" i="67"/>
  <c r="F6" i="67"/>
  <c r="M29" i="15"/>
  <c r="L47" i="15"/>
  <c r="F40" i="79"/>
  <c r="J15" i="67"/>
  <c r="F7" i="67"/>
  <c r="M22" i="78"/>
  <c r="F40" i="78"/>
  <c r="M22" i="67"/>
  <c r="M6" i="67"/>
  <c r="F26" i="15"/>
  <c r="F42" i="78"/>
  <c r="F42" i="79"/>
  <c r="M22" i="79"/>
  <c r="M9" i="78"/>
  <c r="F8" i="78"/>
  <c r="F40" i="67"/>
  <c r="L48" i="79"/>
  <c r="F38" i="67"/>
  <c r="M23" i="15"/>
  <c r="M23" i="79"/>
  <c r="M28" i="79"/>
  <c r="F6" i="78"/>
  <c r="F13" i="15"/>
  <c r="M24" i="79"/>
  <c r="F13" i="78"/>
  <c r="L47" i="79"/>
  <c r="F38" i="15"/>
  <c r="M9" i="79"/>
  <c r="F26" i="67"/>
  <c r="C76" i="78"/>
  <c r="M9" i="67"/>
  <c r="F38" i="79"/>
  <c r="M26" i="15"/>
  <c r="F9" i="15"/>
  <c r="C76" i="79"/>
  <c r="F42" i="15"/>
  <c r="F40" i="15"/>
  <c r="F37" i="78"/>
  <c r="M6" i="78"/>
  <c r="M22" i="15"/>
  <c r="J15" i="79"/>
  <c r="F16" i="79"/>
  <c r="M28" i="78"/>
  <c r="M28" i="15"/>
  <c r="F16" i="67"/>
  <c r="M24" i="67"/>
  <c r="M24" i="78"/>
  <c r="G107" i="43" l="1"/>
  <c r="G102" i="43"/>
  <c r="G104" i="43"/>
  <c r="C27" i="15"/>
  <c r="M59" i="78"/>
  <c r="L59" i="78" s="1"/>
  <c r="N59" i="78"/>
  <c r="L58" i="78"/>
  <c r="Q60" i="78" s="1"/>
  <c r="F64" i="78"/>
  <c r="F68" i="67"/>
  <c r="N59" i="15"/>
  <c r="M59" i="15"/>
  <c r="L59" i="15" s="1"/>
  <c r="Q74" i="15" s="1"/>
  <c r="L57" i="79"/>
  <c r="L56" i="79"/>
  <c r="J53" i="79"/>
  <c r="L60" i="79"/>
  <c r="I54" i="79"/>
  <c r="J57" i="79"/>
  <c r="J55" i="79" s="1"/>
  <c r="J58" i="79" s="1"/>
  <c r="Q50" i="79" s="1"/>
  <c r="F51" i="79"/>
  <c r="F66" i="15"/>
  <c r="C10" i="78"/>
  <c r="C6" i="78"/>
  <c r="F70" i="15"/>
  <c r="C27" i="67"/>
  <c r="Q71" i="79"/>
  <c r="F66" i="79"/>
  <c r="F52" i="15"/>
  <c r="F64" i="67"/>
  <c r="F71" i="67"/>
  <c r="L58" i="79"/>
  <c r="M59" i="79"/>
  <c r="L59" i="79" s="1"/>
  <c r="N59" i="79"/>
  <c r="F65" i="79"/>
  <c r="F66" i="78"/>
  <c r="F65" i="78"/>
  <c r="C27" i="78"/>
  <c r="Q71" i="78"/>
  <c r="F68" i="78"/>
  <c r="F51" i="78"/>
  <c r="C49" i="78" s="1"/>
  <c r="C48" i="78" s="1"/>
  <c r="F51" i="15"/>
  <c r="F64" i="79"/>
  <c r="C27" i="79"/>
  <c r="F68" i="79"/>
  <c r="F6" i="79"/>
  <c r="F49" i="15"/>
  <c r="F103" i="43"/>
  <c r="C49" i="79"/>
  <c r="C48" i="79" s="1"/>
  <c r="C60" i="79" s="1"/>
  <c r="U27" i="39"/>
  <c r="AB27" i="39"/>
  <c r="Q73" i="78"/>
  <c r="Q52" i="78"/>
  <c r="Q57" i="78"/>
  <c r="J6" i="79"/>
  <c r="J10" i="79"/>
  <c r="F24" i="78"/>
  <c r="C24" i="78" s="1"/>
  <c r="F24" i="79"/>
  <c r="K102" i="43"/>
  <c r="N107" i="43"/>
  <c r="U42" i="21"/>
  <c r="AB42" i="21"/>
  <c r="AA42" i="21"/>
  <c r="S42" i="21"/>
  <c r="O6" i="1"/>
  <c r="P6" i="1" s="1"/>
  <c r="J6" i="78"/>
  <c r="J10" i="78"/>
  <c r="N105" i="43"/>
  <c r="E57" i="40"/>
  <c r="M59" i="67"/>
  <c r="L59" i="67" s="1"/>
  <c r="Q74" i="67" s="1"/>
  <c r="L58" i="67"/>
  <c r="Q73" i="67" s="1"/>
  <c r="N59" i="67"/>
  <c r="M7" i="67"/>
  <c r="J6" i="67" s="1"/>
  <c r="F50" i="67"/>
  <c r="F68" i="15"/>
  <c r="F70" i="67"/>
  <c r="F50" i="15"/>
  <c r="M7" i="15"/>
  <c r="J6" i="15" s="1"/>
  <c r="F66" i="67"/>
  <c r="C6" i="67"/>
  <c r="C10" i="67"/>
  <c r="L58" i="15"/>
  <c r="Q73" i="15" s="1"/>
  <c r="J53" i="15"/>
  <c r="L56" i="15" s="1"/>
  <c r="I54" i="15"/>
  <c r="J57" i="15"/>
  <c r="J55" i="15" s="1"/>
  <c r="J58" i="15" s="1"/>
  <c r="Q50" i="15" s="1"/>
  <c r="F51" i="67"/>
  <c r="C49" i="67" s="1"/>
  <c r="F71" i="15"/>
  <c r="C10" i="15"/>
  <c r="C6" i="15"/>
  <c r="B4" i="72"/>
  <c r="B73" i="72"/>
  <c r="N103" i="43"/>
  <c r="E30" i="6"/>
  <c r="E31" i="6" s="1"/>
  <c r="D22" i="43"/>
  <c r="E63" i="39"/>
  <c r="C107" i="43"/>
  <c r="C105" i="43"/>
  <c r="G105" i="43"/>
  <c r="G103" i="43"/>
  <c r="K19" i="6"/>
  <c r="S6" i="1" s="1"/>
  <c r="T6" i="1" s="1"/>
  <c r="K103" i="43"/>
  <c r="K107" i="43"/>
  <c r="K106" i="43"/>
  <c r="K109" i="43"/>
  <c r="K14" i="1"/>
  <c r="M14" i="1" s="1"/>
  <c r="O14" i="1" s="1"/>
  <c r="P14" i="1" s="1"/>
  <c r="J104" i="43"/>
  <c r="J109" i="43"/>
  <c r="K23" i="6"/>
  <c r="M23" i="6" s="1"/>
  <c r="I23" i="6" s="1"/>
  <c r="S23" i="6" s="1"/>
  <c r="K26" i="6"/>
  <c r="M26" i="6" s="1"/>
  <c r="I26" i="6" s="1"/>
  <c r="S26" i="6" s="1"/>
  <c r="N102" i="43"/>
  <c r="N106" i="43"/>
  <c r="N104" i="43"/>
  <c r="F104" i="43"/>
  <c r="F105" i="43"/>
  <c r="C104" i="43"/>
  <c r="C109" i="43"/>
  <c r="K25" i="6"/>
  <c r="M25" i="6" s="1"/>
  <c r="I25" i="6" s="1"/>
  <c r="S25" i="6" s="1"/>
  <c r="K22" i="6"/>
  <c r="M22" i="6" s="1"/>
  <c r="I22" i="6" s="1"/>
  <c r="S22" i="6" s="1"/>
  <c r="K21" i="6"/>
  <c r="K24" i="6"/>
  <c r="M24" i="6" s="1"/>
  <c r="I24" i="6" s="1"/>
  <c r="S24" i="6" s="1"/>
  <c r="AB11" i="39"/>
  <c r="U11" i="39"/>
  <c r="W11" i="39"/>
  <c r="AC11" i="39"/>
  <c r="AA11" i="39"/>
  <c r="S11" i="39"/>
  <c r="S15" i="21"/>
  <c r="AA15" i="21"/>
  <c r="C30" i="69"/>
  <c r="C48" i="68"/>
  <c r="E16" i="6"/>
  <c r="AQ7" i="1"/>
  <c r="E65" i="39"/>
  <c r="D113" i="43"/>
  <c r="J22" i="43" s="1"/>
  <c r="C23" i="43"/>
  <c r="C21" i="43" s="1"/>
  <c r="C29" i="43" s="1"/>
  <c r="S7" i="43"/>
  <c r="T7" i="43" s="1"/>
  <c r="V7" i="43" s="1"/>
  <c r="S4" i="43"/>
  <c r="T4" i="43" s="1"/>
  <c r="V4" i="43" s="1"/>
  <c r="S6" i="43"/>
  <c r="T6" i="43" s="1"/>
  <c r="V6" i="43" s="1"/>
  <c r="S5" i="43"/>
  <c r="S2" i="43"/>
  <c r="T2" i="43" s="1"/>
  <c r="V2" i="43" s="1"/>
  <c r="S3" i="43"/>
  <c r="T3" i="43" s="1"/>
  <c r="V3" i="43" s="1"/>
  <c r="M20" i="6"/>
  <c r="I20" i="6" s="1"/>
  <c r="S20" i="6" s="1"/>
  <c r="E3" i="6"/>
  <c r="D19" i="11" s="1"/>
  <c r="C19" i="11" s="1"/>
  <c r="C20" i="11" s="1"/>
  <c r="B4" i="62"/>
  <c r="T7" i="1"/>
  <c r="AR7" i="1"/>
  <c r="C30" i="11"/>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F7" i="36"/>
  <c r="S7" i="36" s="1"/>
  <c r="H7" i="37"/>
  <c r="U7" i="37" s="1"/>
  <c r="H6" i="3"/>
  <c r="AC6" i="3"/>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T5" i="43"/>
  <c r="V5" i="43" s="1"/>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F10" i="40"/>
  <c r="AA10" i="40" s="1"/>
  <c r="H10" i="39"/>
  <c r="J10" i="39"/>
  <c r="M16" i="1"/>
  <c r="N16" i="1" s="1"/>
  <c r="F27" i="11"/>
  <c r="F1" i="67"/>
  <c r="Q52" i="67"/>
  <c r="C16" i="78"/>
  <c r="C17" i="15"/>
  <c r="C14" i="79"/>
  <c r="C14" i="78"/>
  <c r="C16" i="67"/>
  <c r="C17" i="79"/>
  <c r="C16" i="79"/>
  <c r="C17" i="78"/>
  <c r="C16" i="15"/>
  <c r="E6" i="70" l="1"/>
  <c r="C66" i="79"/>
  <c r="C5" i="78"/>
  <c r="C33" i="78" s="1"/>
  <c r="C66" i="78"/>
  <c r="C60" i="78"/>
  <c r="K27" i="6"/>
  <c r="M19" i="6"/>
  <c r="I19" i="6" s="1"/>
  <c r="Q73" i="79"/>
  <c r="Q60" i="79"/>
  <c r="Q52" i="79"/>
  <c r="F1" i="79"/>
  <c r="C49" i="15"/>
  <c r="Q74" i="78"/>
  <c r="Q61" i="78"/>
  <c r="Q74" i="79"/>
  <c r="Q61" i="79"/>
  <c r="Q57" i="79"/>
  <c r="Q66" i="79"/>
  <c r="C6" i="79"/>
  <c r="C10" i="79"/>
  <c r="M21" i="6"/>
  <c r="I21" i="6" s="1"/>
  <c r="S21" i="6" s="1"/>
  <c r="S8" i="1"/>
  <c r="J5" i="79"/>
  <c r="J24" i="79" s="1"/>
  <c r="C18" i="79"/>
  <c r="C15" i="79"/>
  <c r="C24" i="79"/>
  <c r="J10" i="15"/>
  <c r="J5" i="15" s="1"/>
  <c r="K16" i="1"/>
  <c r="C15" i="78"/>
  <c r="C18" i="78"/>
  <c r="J5" i="78"/>
  <c r="Q60" i="67"/>
  <c r="F1" i="15"/>
  <c r="Q52" i="15"/>
  <c r="C5" i="67"/>
  <c r="C32" i="67" s="1"/>
  <c r="C5" i="15"/>
  <c r="C32" i="15" s="1"/>
  <c r="Q60" i="15"/>
  <c r="B71" i="72"/>
  <c r="AQ6" i="1"/>
  <c r="D3" i="34"/>
  <c r="U23" i="31"/>
  <c r="U24" i="31" s="1"/>
  <c r="Q61" i="67"/>
  <c r="O16" i="1"/>
  <c r="E66" i="39"/>
  <c r="AR6" i="1"/>
  <c r="D14" i="12"/>
  <c r="D17" i="12" s="1"/>
  <c r="C17" i="12" s="1"/>
  <c r="M27" i="6"/>
  <c r="M18" i="9"/>
  <c r="B118" i="9" s="1"/>
  <c r="B14" i="74" s="1"/>
  <c r="D37" i="11"/>
  <c r="D3" i="21"/>
  <c r="D3" i="37"/>
  <c r="L18" i="9"/>
  <c r="C17" i="4"/>
  <c r="B4" i="52" s="1"/>
  <c r="B43" i="72" s="1"/>
  <c r="E6" i="6"/>
  <c r="D10" i="11" s="1"/>
  <c r="C10" i="11" s="1"/>
  <c r="D3" i="33"/>
  <c r="Q61" i="15"/>
  <c r="E37" i="43"/>
  <c r="AA7" i="36"/>
  <c r="R36" i="36" s="1"/>
  <c r="E36" i="36" s="1"/>
  <c r="E40" i="36" s="1"/>
  <c r="F40" i="36" s="1"/>
  <c r="AC11" i="37"/>
  <c r="W11" i="37"/>
  <c r="AB7" i="37"/>
  <c r="T42" i="37" s="1"/>
  <c r="G42" i="37" s="1"/>
  <c r="G46" i="37" s="1"/>
  <c r="H46" i="37" s="1"/>
  <c r="W11" i="34"/>
  <c r="AC11" i="34"/>
  <c r="J5" i="67"/>
  <c r="H20" i="6"/>
  <c r="AB7" i="36"/>
  <c r="T36" i="36" s="1"/>
  <c r="E38" i="43"/>
  <c r="E6" i="3"/>
  <c r="C47" i="68"/>
  <c r="D45" i="68" s="1"/>
  <c r="AA10" i="39"/>
  <c r="M19" i="9"/>
  <c r="C118" i="9" s="1"/>
  <c r="C14" i="74" s="1"/>
  <c r="D19" i="6"/>
  <c r="D25" i="6"/>
  <c r="D26" i="6"/>
  <c r="D15" i="6"/>
  <c r="C18" i="4"/>
  <c r="D22" i="6"/>
  <c r="D8" i="6"/>
  <c r="D21" i="6"/>
  <c r="D23" i="6"/>
  <c r="D24" i="6"/>
  <c r="D14" i="6"/>
  <c r="D20" i="6"/>
  <c r="D5" i="6"/>
  <c r="D12" i="6"/>
  <c r="D9" i="6"/>
  <c r="D11" i="6"/>
  <c r="D10" i="6"/>
  <c r="D13" i="6"/>
  <c r="L19" i="9"/>
  <c r="D28" i="6"/>
  <c r="D29" i="6"/>
  <c r="E61" i="40"/>
  <c r="H25" i="6"/>
  <c r="H22" i="6"/>
  <c r="H23" i="6"/>
  <c r="H21" i="6"/>
  <c r="H26" i="6"/>
  <c r="H24" i="6"/>
  <c r="C13" i="12"/>
  <c r="P16" i="1"/>
  <c r="C11" i="12" s="1"/>
  <c r="C26" i="12"/>
  <c r="D25" i="12" s="1"/>
  <c r="F34" i="1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F63" i="40"/>
  <c r="E65" i="40"/>
  <c r="E70" i="39"/>
  <c r="F70" i="39"/>
  <c r="S10" i="40"/>
  <c r="H19" i="6"/>
  <c r="S19" i="6"/>
  <c r="S27" i="6" s="1"/>
  <c r="I27" i="6"/>
  <c r="W10" i="39"/>
  <c r="AC10" i="39"/>
  <c r="U10" i="39"/>
  <c r="AB10" i="39"/>
  <c r="F50" i="11"/>
  <c r="F50" i="69"/>
  <c r="F50" i="68"/>
  <c r="C47" i="11"/>
  <c r="D45" i="11" s="1"/>
  <c r="C29" i="11"/>
  <c r="D27" i="11" s="1"/>
  <c r="C28" i="11"/>
  <c r="C27" i="11" s="1"/>
  <c r="L16" i="1"/>
  <c r="C38" i="78" l="1"/>
  <c r="C32" i="78"/>
  <c r="AA7" i="34"/>
  <c r="R49" i="34" s="1"/>
  <c r="R50" i="34" s="1"/>
  <c r="C5" i="79"/>
  <c r="C38" i="79" s="1"/>
  <c r="J19" i="79"/>
  <c r="C37" i="11"/>
  <c r="C19" i="79"/>
  <c r="C20" i="79" s="1"/>
  <c r="C26" i="79" s="1"/>
  <c r="J18" i="79"/>
  <c r="AR8" i="1"/>
  <c r="T8" i="1"/>
  <c r="AQ8" i="1"/>
  <c r="C19" i="78"/>
  <c r="C20" i="78" s="1"/>
  <c r="C26" i="78" s="1"/>
  <c r="J19" i="78"/>
  <c r="J24" i="78"/>
  <c r="J18" i="78"/>
  <c r="C38" i="15"/>
  <c r="C38" i="67"/>
  <c r="B2" i="74"/>
  <c r="B1" i="74"/>
  <c r="D10" i="68"/>
  <c r="D19" i="68" s="1"/>
  <c r="R25" i="6"/>
  <c r="D20" i="12"/>
  <c r="C20" i="12" s="1"/>
  <c r="C18" i="12" s="1"/>
  <c r="C34" i="11"/>
  <c r="C35" i="11" s="1"/>
  <c r="D6" i="6"/>
  <c r="R20" i="6"/>
  <c r="C36" i="11"/>
  <c r="J24" i="67"/>
  <c r="J18" i="67"/>
  <c r="J24" i="15"/>
  <c r="J18" i="15"/>
  <c r="G36" i="36"/>
  <c r="R37" i="36"/>
  <c r="AB7" i="34"/>
  <c r="T49" i="34" s="1"/>
  <c r="G49" i="34" s="1"/>
  <c r="G53" i="34" s="1"/>
  <c r="H53" i="34" s="1"/>
  <c r="W7" i="21"/>
  <c r="AA7" i="21"/>
  <c r="R26" i="6"/>
  <c r="R23" i="6"/>
  <c r="R24" i="6"/>
  <c r="R21" i="6"/>
  <c r="R8" i="1" s="1"/>
  <c r="R22" i="6"/>
  <c r="D30" i="6"/>
  <c r="D16" i="6"/>
  <c r="A7" i="51"/>
  <c r="B7" i="72" s="1"/>
  <c r="C4" i="52"/>
  <c r="B45" i="72" s="1"/>
  <c r="A10" i="51"/>
  <c r="B9" i="72" s="1"/>
  <c r="D27" i="6"/>
  <c r="C12" i="12"/>
  <c r="C15" i="12"/>
  <c r="C34" i="68"/>
  <c r="U7" i="21"/>
  <c r="C22" i="11"/>
  <c r="C31" i="11" s="1"/>
  <c r="C26" i="43"/>
  <c r="C27" i="43"/>
  <c r="I40" i="36"/>
  <c r="J40" i="36" s="1"/>
  <c r="R43" i="37"/>
  <c r="E42" i="37"/>
  <c r="I47" i="37" s="1"/>
  <c r="J47" i="37" s="1"/>
  <c r="G43" i="35"/>
  <c r="H43" i="35" s="1"/>
  <c r="I42" i="35"/>
  <c r="J42" i="35" s="1"/>
  <c r="R39" i="35"/>
  <c r="E38" i="35"/>
  <c r="I43" i="35" s="1"/>
  <c r="J43" i="35" s="1"/>
  <c r="G47" i="37"/>
  <c r="H47" i="37" s="1"/>
  <c r="I46" i="37"/>
  <c r="J46" i="37" s="1"/>
  <c r="G63" i="40"/>
  <c r="F65" i="40"/>
  <c r="E49" i="34"/>
  <c r="G70" i="39"/>
  <c r="H27" i="6"/>
  <c r="R19" i="6"/>
  <c r="C14" i="12"/>
  <c r="E6" i="76"/>
  <c r="C32" i="79" l="1"/>
  <c r="C33" i="79"/>
  <c r="C23" i="79"/>
  <c r="C29" i="79" s="1"/>
  <c r="C23" i="78"/>
  <c r="C29" i="78" s="1"/>
  <c r="R7" i="1"/>
  <c r="B22" i="31"/>
  <c r="C25" i="31"/>
  <c r="C29" i="31"/>
  <c r="C28" i="31"/>
  <c r="C27" i="31"/>
  <c r="C26" i="31"/>
  <c r="C10" i="68"/>
  <c r="C38" i="11"/>
  <c r="C33" i="11" s="1"/>
  <c r="C42" i="11" s="1"/>
  <c r="D31" i="6"/>
  <c r="I6" i="6" s="1"/>
  <c r="C11" i="21" s="1"/>
  <c r="E2" i="76"/>
  <c r="B2" i="43"/>
  <c r="G54" i="34"/>
  <c r="H54" i="34"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M21" i="15"/>
  <c r="M21" i="78"/>
  <c r="B6" i="76"/>
  <c r="F35" i="67"/>
  <c r="F35" i="78"/>
  <c r="M21" i="79"/>
  <c r="F35" i="79"/>
  <c r="F35" i="15"/>
  <c r="M21" i="67"/>
  <c r="C36" i="79" l="1"/>
  <c r="C13" i="79"/>
  <c r="Q49" i="79"/>
  <c r="J14" i="79"/>
  <c r="C57" i="79"/>
  <c r="J59" i="79"/>
  <c r="J60" i="79" s="1"/>
  <c r="F63" i="79"/>
  <c r="C62" i="79" s="1"/>
  <c r="C34" i="79"/>
  <c r="C31" i="79" s="1"/>
  <c r="J20" i="79"/>
  <c r="J17" i="79" s="1"/>
  <c r="J59" i="78"/>
  <c r="J60" i="78" s="1"/>
  <c r="Q49" i="78"/>
  <c r="C36" i="78"/>
  <c r="C13" i="78"/>
  <c r="C57" i="78"/>
  <c r="J14" i="78"/>
  <c r="F63" i="78"/>
  <c r="C62" i="78" s="1"/>
  <c r="C34" i="78"/>
  <c r="C31" i="78" s="1"/>
  <c r="J20" i="78"/>
  <c r="J17" i="78" s="1"/>
  <c r="J11" i="21"/>
  <c r="F11" i="21"/>
  <c r="H11" i="21"/>
  <c r="I5" i="6"/>
  <c r="B2" i="76"/>
  <c r="B3" i="76" s="1"/>
  <c r="B3" i="43"/>
  <c r="F63" i="67"/>
  <c r="C62" i="67" s="1"/>
  <c r="C34" i="67"/>
  <c r="J20" i="67"/>
  <c r="C24" i="68"/>
  <c r="J20" i="15"/>
  <c r="F63" i="15"/>
  <c r="C62" i="15" s="1"/>
  <c r="C34" i="15"/>
  <c r="R16" i="1"/>
  <c r="C22" i="12"/>
  <c r="C33" i="68"/>
  <c r="I63" i="40"/>
  <c r="H65" i="40"/>
  <c r="C39" i="11"/>
  <c r="C43" i="11" s="1"/>
  <c r="C41" i="11" s="1"/>
  <c r="I70" i="39"/>
  <c r="L46" i="79" l="1"/>
  <c r="Q48" i="79"/>
  <c r="J22" i="79"/>
  <c r="J13" i="79"/>
  <c r="J23" i="79" s="1"/>
  <c r="C37" i="79"/>
  <c r="C30" i="79" s="1"/>
  <c r="C39" i="79" s="1"/>
  <c r="Q69" i="79" s="1"/>
  <c r="Q70" i="79"/>
  <c r="C56" i="79"/>
  <c r="C65" i="79" s="1"/>
  <c r="C75" i="79"/>
  <c r="C61" i="79"/>
  <c r="C59" i="79" s="1"/>
  <c r="C64" i="79"/>
  <c r="C64" i="78"/>
  <c r="C61" i="78"/>
  <c r="C59" i="78" s="1"/>
  <c r="Q48" i="78"/>
  <c r="L46" i="78"/>
  <c r="J13" i="78"/>
  <c r="J23" i="78" s="1"/>
  <c r="J22" i="78"/>
  <c r="C56" i="78"/>
  <c r="C65" i="78" s="1"/>
  <c r="Q70" i="78"/>
  <c r="C75" i="78"/>
  <c r="C37" i="78"/>
  <c r="C30" i="78" s="1"/>
  <c r="C39" i="78" s="1"/>
  <c r="S11" i="21"/>
  <c r="AA11" i="21"/>
  <c r="R48" i="21" s="1"/>
  <c r="U11" i="21"/>
  <c r="AB11" i="21"/>
  <c r="T48" i="21" s="1"/>
  <c r="G48" i="21" s="1"/>
  <c r="W11" i="21"/>
  <c r="AC11" i="21"/>
  <c r="V48" i="21" s="1"/>
  <c r="I48" i="21" s="1"/>
  <c r="C39" i="68"/>
  <c r="C43" i="68" s="1"/>
  <c r="C42" i="68"/>
  <c r="J63" i="40"/>
  <c r="I65" i="40"/>
  <c r="C46" i="11"/>
  <c r="C45" i="11" s="1"/>
  <c r="C49" i="11" s="1"/>
  <c r="C51" i="11" s="1"/>
  <c r="C52" i="11" s="1"/>
  <c r="B2" i="11" s="1"/>
  <c r="B3" i="11" s="1"/>
  <c r="J70" i="39"/>
  <c r="L51" i="78"/>
  <c r="L51" i="79"/>
  <c r="J16" i="79" l="1"/>
  <c r="J25" i="79" s="1"/>
  <c r="Q68" i="79"/>
  <c r="C58" i="79"/>
  <c r="C67" i="79" s="1"/>
  <c r="C80" i="79"/>
  <c r="C79" i="79" s="1"/>
  <c r="Q67" i="79"/>
  <c r="C58" i="78"/>
  <c r="C67" i="78" s="1"/>
  <c r="J16" i="78"/>
  <c r="J25" i="78" s="1"/>
  <c r="C80" i="78"/>
  <c r="C79" i="78" s="1"/>
  <c r="Q69" i="78"/>
  <c r="Q68" i="78" s="1"/>
  <c r="Q67" i="78"/>
  <c r="I52" i="21"/>
  <c r="J52" i="21" s="1"/>
  <c r="G52" i="21"/>
  <c r="H52" i="21" s="1"/>
  <c r="G53" i="21"/>
  <c r="H53" i="21" s="1"/>
  <c r="E48" i="21"/>
  <c r="R49" i="21"/>
  <c r="C41" i="68"/>
  <c r="C46" i="68"/>
  <c r="C45" i="68" s="1"/>
  <c r="K63" i="40"/>
  <c r="J65" i="40"/>
  <c r="K70" i="39"/>
  <c r="C56" i="11"/>
  <c r="C57" i="11" s="1"/>
  <c r="E52" i="21" l="1"/>
  <c r="F52" i="21" s="1"/>
  <c r="E53" i="21"/>
  <c r="F53" i="21" s="1"/>
  <c r="C48" i="21"/>
  <c r="C49" i="21"/>
  <c r="I53" i="21"/>
  <c r="J53" i="21" s="1"/>
  <c r="C49" i="68"/>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L51" i="67"/>
  <c r="C14" i="15"/>
  <c r="AG7" i="1" l="1"/>
  <c r="L57" i="67"/>
  <c r="L60" i="67" s="1"/>
  <c r="L46" i="67" s="1"/>
  <c r="C80" i="67"/>
  <c r="C79" i="67" s="1"/>
  <c r="Q69" i="67"/>
  <c r="Q68" i="67" s="1"/>
  <c r="Q67" i="67"/>
  <c r="C59" i="67"/>
  <c r="C66" i="67"/>
  <c r="T16" i="1"/>
  <c r="C18" i="15"/>
  <c r="C15" i="15"/>
  <c r="F41" i="79"/>
  <c r="F41" i="78"/>
  <c r="F69" i="79" l="1"/>
  <c r="C68" i="79" s="1"/>
  <c r="C71" i="79" s="1"/>
  <c r="C40" i="79"/>
  <c r="C43" i="79" s="1"/>
  <c r="F69" i="78"/>
  <c r="C68" i="78" s="1"/>
  <c r="C71" i="78" s="1"/>
  <c r="C40" i="78"/>
  <c r="C43" i="78" s="1"/>
  <c r="Q66" i="67"/>
  <c r="Q57" i="67"/>
  <c r="C58" i="67"/>
  <c r="C67" i="67" s="1"/>
  <c r="C19" i="15"/>
  <c r="C83" i="79" l="1"/>
  <c r="C82" i="79" s="1"/>
  <c r="C46" i="79"/>
  <c r="C83" i="78"/>
  <c r="C82" i="78" s="1"/>
  <c r="C46" i="78"/>
  <c r="C20" i="15"/>
  <c r="C26" i="15" s="1"/>
  <c r="C23" i="15" l="1"/>
  <c r="C29" i="15" s="1"/>
  <c r="J59" i="15" s="1"/>
  <c r="J60" i="15" s="1"/>
  <c r="Q48" i="15" s="1"/>
  <c r="J19" i="15" l="1"/>
  <c r="J17" i="15" s="1"/>
  <c r="Q49" i="15"/>
  <c r="C57" i="15"/>
  <c r="C33" i="15"/>
  <c r="C31" i="15" s="1"/>
  <c r="C13" i="15"/>
  <c r="C37" i="15" s="1"/>
  <c r="C36" i="15"/>
  <c r="J14" i="15"/>
  <c r="J22" i="15" s="1"/>
  <c r="C30" i="15" l="1"/>
  <c r="C39" i="15" s="1"/>
  <c r="Q69" i="15" s="1"/>
  <c r="C56" i="15"/>
  <c r="C48" i="15" s="1"/>
  <c r="C61" i="15" s="1"/>
  <c r="C64" i="15"/>
  <c r="Q70" i="15"/>
  <c r="C75" i="15"/>
  <c r="J13" i="15"/>
  <c r="J23" i="15" s="1"/>
  <c r="J16" i="15" s="1"/>
  <c r="J25" i="15" s="1"/>
  <c r="AE8" i="1"/>
  <c r="AE6" i="1"/>
  <c r="L51" i="15"/>
  <c r="C66" i="15" l="1"/>
  <c r="C60" i="15"/>
  <c r="AG6" i="1"/>
  <c r="C80" i="15"/>
  <c r="C79" i="15" s="1"/>
  <c r="C65" i="15"/>
  <c r="Q68" i="15"/>
  <c r="L57" i="15"/>
  <c r="L60" i="15" s="1"/>
  <c r="Q67" i="15"/>
  <c r="M27" i="67"/>
  <c r="M27" i="15"/>
  <c r="M27" i="78"/>
  <c r="F41" i="67"/>
  <c r="F41" i="15"/>
  <c r="M27" i="79"/>
  <c r="C59" i="15" l="1"/>
  <c r="C58" i="15" s="1"/>
  <c r="C67" i="15" s="1"/>
  <c r="J26" i="79"/>
  <c r="J29" i="79" s="1"/>
  <c r="J26" i="78"/>
  <c r="J29" i="78" s="1"/>
  <c r="J26" i="15"/>
  <c r="J29" i="15" s="1"/>
  <c r="J26" i="67"/>
  <c r="J29" i="67" s="1"/>
  <c r="F69" i="15"/>
  <c r="C40" i="15"/>
  <c r="C43" i="15" s="1"/>
  <c r="L46" i="15"/>
  <c r="Q57" i="15"/>
  <c r="Q66" i="15"/>
  <c r="F69" i="67"/>
  <c r="C68" i="67" s="1"/>
  <c r="C71" i="67" s="1"/>
  <c r="C40" i="67"/>
  <c r="C83" i="67" s="1"/>
  <c r="C82" i="67" s="1"/>
  <c r="Q65" i="79" l="1"/>
  <c r="Q75" i="79" s="1"/>
  <c r="Q47" i="79"/>
  <c r="Q53" i="79" s="1"/>
  <c r="Q56" i="79"/>
  <c r="Q62" i="79" s="1"/>
  <c r="Q65" i="78"/>
  <c r="Q75" i="78" s="1"/>
  <c r="B2" i="78"/>
  <c r="B3" i="78" s="1"/>
  <c r="Q56" i="78"/>
  <c r="Q62" i="78" s="1"/>
  <c r="Q47" i="78"/>
  <c r="Q53" i="78" s="1"/>
  <c r="C68" i="15"/>
  <c r="C71" i="15" s="1"/>
  <c r="C83" i="15"/>
  <c r="C82" i="15" s="1"/>
  <c r="Q65" i="15"/>
  <c r="Q75" i="15" s="1"/>
  <c r="Q47" i="15"/>
  <c r="Q53" i="15" s="1"/>
  <c r="Q56" i="15"/>
  <c r="Q62" i="15" s="1"/>
  <c r="B2" i="15"/>
  <c r="D8" i="12" s="1"/>
  <c r="C43" i="67"/>
  <c r="C45" i="67"/>
  <c r="C46" i="67" s="1"/>
  <c r="Q65" i="67"/>
  <c r="Q75" i="67" s="1"/>
  <c r="Q56" i="67"/>
  <c r="Q62" i="67" s="1"/>
  <c r="Q47" i="67"/>
  <c r="Q53" i="67" s="1"/>
  <c r="D2" i="67"/>
  <c r="B2" i="67" s="1"/>
  <c r="E2" i="69"/>
  <c r="AO6" i="1"/>
  <c r="AO8" i="1"/>
  <c r="AO7" i="1"/>
  <c r="B2" i="79" l="1"/>
  <c r="B3" i="79" s="1"/>
  <c r="B3" i="15"/>
  <c r="B8" i="70"/>
  <c r="B7" i="70"/>
  <c r="B6" i="70"/>
  <c r="C46" i="15"/>
  <c r="B2" i="69"/>
  <c r="B3" i="69" s="1"/>
  <c r="B3" i="67"/>
  <c r="E2" i="68"/>
  <c r="D2" i="35"/>
  <c r="D2" i="33"/>
  <c r="D2" i="21"/>
  <c r="D2" i="36"/>
  <c r="F20" i="31"/>
  <c r="D2" i="37"/>
  <c r="D2" i="34"/>
  <c r="D6" i="12" l="1"/>
  <c r="B2" i="36"/>
  <c r="B3" i="36" s="1"/>
  <c r="B2" i="35"/>
  <c r="B3" i="35" s="1"/>
  <c r="B2" i="37"/>
  <c r="B3" i="37" s="1"/>
  <c r="B2" i="34"/>
  <c r="B3" i="34" s="1"/>
  <c r="B2" i="21"/>
  <c r="B2" i="70"/>
  <c r="B3" i="70" s="1"/>
  <c r="B3" i="21" l="1"/>
  <c r="C6" i="12" s="1"/>
  <c r="C8" i="12"/>
  <c r="C4" i="12" s="1"/>
  <c r="C31" i="12" l="1"/>
  <c r="C23" i="12"/>
  <c r="C27" i="12" l="1"/>
  <c r="C25" i="12" s="1"/>
  <c r="C30" i="12"/>
  <c r="C28" i="12" s="1"/>
  <c r="H109" i="9"/>
  <c r="C32" i="12" l="1"/>
  <c r="B2" i="12" s="1"/>
  <c r="B3" i="12" s="1"/>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B3" i="33" l="1"/>
  <c r="G52" i="39"/>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l="1"/>
  <c r="B3" i="39" s="1"/>
  <c r="C6" i="68"/>
  <c r="C7" i="68" l="1"/>
  <c r="C5" i="68" s="1"/>
  <c r="C23" i="68" l="1"/>
  <c r="C20" i="68"/>
  <c r="H112" i="9"/>
  <c r="D21" i="53" s="1"/>
  <c r="B39" i="72" s="1"/>
  <c r="H111" i="9"/>
  <c r="D126" i="9" s="1"/>
  <c r="D59" i="9"/>
  <c r="M55" i="9" s="1"/>
  <c r="D19" i="53" l="1"/>
  <c r="C28" i="68"/>
  <c r="C27" i="68" s="1"/>
  <c r="C25" i="68"/>
  <c r="C22" i="68" s="1"/>
  <c r="B38" i="72"/>
  <c r="D20" i="53"/>
  <c r="B40" i="72" s="1"/>
  <c r="I14" i="74"/>
  <c r="B8" i="74" s="1"/>
  <c r="D127" i="9"/>
  <c r="D13" i="52" s="1"/>
  <c r="D12" i="52"/>
  <c r="C31" i="68" l="1"/>
  <c r="C52" i="68" s="1"/>
  <c r="C57" i="68" s="1"/>
  <c r="C56" i="68" s="1"/>
  <c r="D8" i="74"/>
  <c r="C8" i="74"/>
  <c r="B2" i="68" l="1"/>
  <c r="C19" i="9"/>
  <c r="C102" i="9" l="1"/>
  <c r="C21" i="9"/>
  <c r="B3" i="68"/>
  <c r="D35" i="9"/>
  <c r="C20" i="9"/>
  <c r="D34" i="9"/>
  <c r="C103" i="9" l="1"/>
  <c r="R29" i="31" l="1"/>
  <c r="S29" i="31" s="1"/>
  <c r="D20" i="9"/>
  <c r="D19" i="9"/>
  <c r="D102" i="9" l="1"/>
  <c r="D22" i="9"/>
  <c r="D21" i="9"/>
  <c r="G19" i="9"/>
  <c r="G20" i="9"/>
  <c r="R24" i="31" s="1"/>
  <c r="D103" i="9"/>
  <c r="R39" i="31" l="1"/>
  <c r="S39" i="31" s="1"/>
  <c r="R37" i="31"/>
  <c r="S37" i="31" s="1"/>
  <c r="R25" i="31"/>
  <c r="S25" i="31" s="1"/>
  <c r="R27" i="31"/>
  <c r="S27" i="31" s="1"/>
  <c r="R38" i="31"/>
  <c r="S38" i="31" s="1"/>
  <c r="R36" i="31"/>
  <c r="S36" i="31" s="1"/>
  <c r="S24" i="31"/>
  <c r="R26" i="31"/>
  <c r="S26" i="31" s="1"/>
  <c r="R28" i="31"/>
  <c r="S28" i="31" s="1"/>
  <c r="G21" i="9"/>
  <c r="C32" i="9"/>
  <c r="S22" i="31" l="1"/>
  <c r="C35" i="9"/>
  <c r="F118" i="9" s="1"/>
  <c r="H118" i="9"/>
  <c r="U22" i="31" l="1"/>
  <c r="R22" i="31"/>
  <c r="B21" i="31" s="1"/>
  <c r="B20" i="31"/>
  <c r="C34" i="9"/>
  <c r="D118" i="9" s="1"/>
  <c r="D4" i="52" s="1"/>
  <c r="B47" i="72" s="1"/>
  <c r="I118" i="9"/>
  <c r="H119" i="9"/>
  <c r="H5" i="52" s="1"/>
  <c r="D14" i="74"/>
  <c r="D15" i="74" s="1"/>
  <c r="C104" i="9"/>
  <c r="H4" i="52"/>
  <c r="H101" i="9"/>
  <c r="G118" i="9"/>
  <c r="G4" i="52" s="1"/>
  <c r="B52" i="72" s="1"/>
  <c r="F119" i="9"/>
  <c r="F5" i="52" s="1"/>
  <c r="B53" i="72" s="1"/>
  <c r="F4" i="52"/>
  <c r="B51" i="72" s="1"/>
  <c r="D119" i="9" l="1"/>
  <c r="D5" i="52" s="1"/>
  <c r="B49" i="72" s="1"/>
  <c r="F15" i="74"/>
  <c r="E15" i="74"/>
  <c r="G15" i="74"/>
  <c r="H107" i="9"/>
  <c r="D45" i="9"/>
  <c r="M48" i="9"/>
  <c r="D5" i="53"/>
  <c r="E14" i="74"/>
  <c r="F14" i="74"/>
  <c r="B5" i="74"/>
  <c r="C105" i="9"/>
  <c r="H102" i="9"/>
  <c r="D7" i="53" s="1"/>
  <c r="B21" i="72" s="1"/>
  <c r="I4" i="52"/>
  <c r="E118" i="9"/>
  <c r="E4" i="52" s="1"/>
  <c r="B48" i="72" s="1"/>
  <c r="B20" i="72" l="1"/>
  <c r="D6" i="53"/>
  <c r="B22" i="72" s="1"/>
  <c r="D53" i="9"/>
  <c r="D52" i="9"/>
  <c r="C78" i="9"/>
  <c r="C73" i="9" s="1"/>
  <c r="C93" i="9"/>
  <c r="C86" i="9" s="1"/>
  <c r="D55" i="9"/>
  <c r="M53" i="9" s="1"/>
  <c r="C85" i="9"/>
  <c r="C95" i="9" s="1"/>
  <c r="C72" i="9"/>
  <c r="C79" i="9" s="1"/>
  <c r="C64" i="9"/>
  <c r="C63" i="9" s="1"/>
  <c r="C67" i="9" s="1"/>
  <c r="C68" i="9" s="1"/>
  <c r="D54" i="9" s="1"/>
  <c r="D5" i="74"/>
  <c r="C5" i="74"/>
  <c r="H108" i="9"/>
  <c r="D15" i="53" s="1"/>
  <c r="B31" i="72" s="1"/>
  <c r="M49" i="9"/>
  <c r="D122" i="9"/>
  <c r="D13" i="53"/>
  <c r="L63" i="9" l="1"/>
  <c r="M63" i="9" s="1"/>
  <c r="L68" i="9"/>
  <c r="M68" i="9" s="1"/>
  <c r="L67" i="9"/>
  <c r="M67" i="9" s="1"/>
  <c r="L65" i="9"/>
  <c r="M65" i="9" s="1"/>
  <c r="L64" i="9"/>
  <c r="M64" i="9" s="1"/>
  <c r="L66" i="9"/>
  <c r="M66" i="9" s="1"/>
  <c r="B30" i="72"/>
  <c r="D14" i="53"/>
  <c r="B32" i="72" s="1"/>
  <c r="C96" i="9"/>
  <c r="E96" i="9" s="1"/>
  <c r="E97" i="9" s="1"/>
  <c r="D8" i="52"/>
  <c r="D123" i="9"/>
  <c r="D9" i="52" s="1"/>
  <c r="G14" i="74"/>
  <c r="B6" i="74" s="1"/>
  <c r="C80" i="9"/>
  <c r="E80" i="9" s="1"/>
  <c r="E81" i="9" s="1"/>
  <c r="C97" i="9" l="1"/>
  <c r="D58" i="9" s="1"/>
  <c r="D56" i="9" s="1"/>
  <c r="M54" i="9" s="1"/>
  <c r="N57" i="9" s="1"/>
  <c r="N59" i="9" s="1"/>
  <c r="C81" i="9"/>
  <c r="C6" i="74"/>
  <c r="D6" i="74"/>
  <c r="M69" i="9"/>
  <c r="N69" i="9" s="1"/>
  <c r="P57" i="9" l="1"/>
  <c r="N58"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<sst xmlns="http://schemas.openxmlformats.org/spreadsheetml/2006/main" count="8478" uniqueCount="3244">
  <si>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</si>
  <si>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</si>
  <si>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</si>
  <si>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</si>
  <si>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</si>
  <si>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</si>
  <si>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</si>
  <si>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</si>
  <si>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</si>
  <si>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</si>
  <si>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</si>
  <si>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</si>
  <si>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</si>
  <si>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</si>
  <si>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</si>
  <si>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</si>
  <si>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</si>
  <si>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</si>
  <si>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</si>
  <si>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</si>
  <si>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</si>
  <si>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</si>
  <si>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</si>
  <si>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</si>
  <si>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</si>
  <si>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</si>
  <si>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</si>
  <si>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</si>
  <si>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</si>
  <si>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</si>
  <si>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</si>
  <si>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</si>
  <si>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</si>
  <si>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</si>
  <si>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</si>
  <si>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</si>
  <si>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</si>
  <si>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</si>
  <si>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</si>
  <si>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</si>
  <si>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</si>
  <si>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</si>
  <si>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</si>
  <si>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</si>
  <si>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</si>
  <si>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</si>
  <si>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</si>
  <si>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</si>
  <si>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</si>
  <si>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</si>
  <si>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</si>
  <si>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</si>
  <si>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</si>
  <si>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</si>
  <si>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</si>
  <si>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</si>
  <si>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</si>
  <si>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</si>
  <si>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</si>
  <si>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</si>
  <si>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</si>
  <si>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</si>
  <si>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</si>
  <si>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</si>
  <si>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</si>
  <si>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</si>
  <si>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</si>
  <si>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</si>
  <si>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</si>
  <si>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</si>
  <si>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</si>
  <si>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</si>
  <si>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</si>
  <si>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</si>
  <si>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</si>
  <si>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</si>
  <si>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</si>
  <si>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</si>
  <si>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</si>
  <si>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</si>
  <si>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</si>
  <si>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</si>
  <si>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</si>
  <si>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</si>
  <si>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</si>
  <si>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</si>
  <si>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</si>
  <si>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</si>
  <si>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</si>
  <si>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</si>
  <si>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</si>
  <si>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</si>
  <si>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</si>
  <si>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</si>
  <si>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</si>
  <si>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</si>
  <si>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</si>
  <si>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</si>
  <si>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</si>
  <si>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</si>
  <si>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</si>
  <si>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</si>
  <si>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</si>
  <si>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</si>
  <si>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</si>
  <si>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</si>
  <si>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</si>
  <si>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</si>
  <si>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</si>
  <si>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</si>
  <si>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</si>
  <si>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</si>
  <si>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</si>
  <si>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</si>
  <si>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</si>
  <si>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</si>
  <si>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</si>
  <si>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</si>
  <si>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</si>
  <si>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</si>
  <si>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</si>
  <si>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</si>
  <si>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</si>
  <si>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</si>
  <si>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</si>
  <si>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</si>
  <si>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</si>
  <si>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</si>
  <si>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</si>
  <si>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</si>
  <si>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</si>
  <si>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</si>
  <si>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</si>
  <si>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</si>
  <si>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</si>
  <si>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</si>
  <si>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</si>
  <si>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</si>
  <si>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</si>
  <si>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</si>
  <si>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</si>
  <si>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</si>
  <si>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</si>
  <si>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</si>
  <si>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</si>
  <si>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</si>
  <si>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</si>
  <si>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</si>
  <si>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</si>
  <si>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</si>
  <si>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</si>
  <si>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</si>
  <si>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</si>
  <si>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</si>
  <si>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</si>
  <si>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</si>
  <si>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</si>
  <si>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</si>
  <si>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</si>
  <si>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</si>
  <si>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</si>
  <si>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</si>
  <si>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</si>
  <si>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</si>
  <si>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</si>
  <si>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</si>
  <si>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</si>
  <si>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</si>
  <si>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</si>
  <si>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</si>
  <si>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</si>
  <si>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</si>
  <si>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</si>
  <si>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</si>
  <si>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</si>
  <si>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</si>
  <si>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</si>
  <si>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</si>
  <si>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</si>
  <si>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</si>
  <si>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</si>
  <si>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</si>
  <si>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</si>
  <si>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</si>
  <si>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</si>
  <si>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</si>
  <si>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</si>
  <si>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</si>
  <si>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</si>
  <si>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</si>
  <si>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</si>
  <si>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</si>
  <si>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</si>
  <si>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</si>
  <si>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</si>
  <si>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</si>
  <si>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</si>
  <si>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</si>
  <si>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</si>
  <si>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</si>
  <si>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</si>
  <si>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</si>
  <si>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</si>
  <si>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</si>
  <si>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</si>
  <si>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</si>
  <si>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</si>
  <si>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</si>
  <si>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</si>
  <si>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</si>
  <si>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</si>
  <si>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</si>
  <si>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</si>
  <si>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</si>
  <si>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</si>
  <si>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</si>
  <si>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</si>
  <si>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</si>
  <si>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</si>
  <si>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</si>
  <si>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</si>
  <si>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</si>
  <si>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</si>
  <si>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</si>
  <si>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</si>
  <si>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</si>
  <si>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</si>
  <si>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</si>
  <si>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</si>
  <si>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</si>
  <si>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</si>
  <si>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</si>
  <si>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</si>
  <si>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</si>
  <si>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</si>
  <si>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</si>
  <si>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</si>
  <si>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</si>
  <si>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</si>
  <si>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</si>
  <si>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</si>
  <si>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</si>
  <si>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</si>
  <si>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</si>
  <si>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</si>
  <si>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</si>
  <si>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</si>
  <si>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</si>
  <si>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</si>
  <si>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</si>
  <si>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</si>
  <si>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</si>
  <si>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</si>
  <si>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</si>
  <si>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</si>
  <si>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</si>
  <si>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</si>
  <si>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</si>
  <si>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</si>
  <si>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</si>
  <si>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</si>
  <si>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</si>
  <si>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</si>
  <si>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</si>
  <si>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</si>
  <si>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</si>
  <si>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</si>
  <si>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</si>
  <si>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</si>
  <si>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</si>
  <si>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</si>
  <si>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</si>
  <si>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</si>
  <si>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</si>
  <si>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</si>
  <si>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</si>
  <si>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</si>
  <si>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</si>
  <si>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</si>
  <si>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</si>
  <si>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</si>
  <si>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</si>
  <si>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</si>
  <si>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</si>
  <si>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</si>
  <si>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</si>
  <si>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</si>
  <si>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</si>
  <si>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</si>
  <si>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</si>
  <si>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</si>
  <si>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</si>
  <si>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</si>
  <si>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</si>
  <si>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</si>
  <si>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</si>
  <si>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</si>
  <si>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</si>
  <si>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</si>
  <si>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</si>
  <si>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</si>
  <si>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</si>
  <si>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</si>
  <si>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</si>
  <si>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</si>
  <si>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</si>
  <si>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</si>
  <si>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</si>
  <si>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</si>
  <si>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</si>
  <si>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</si>
  <si>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</si>
  <si>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</si>
  <si>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</si>
  <si>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</si>
  <si>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</si>
  <si>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</si>
  <si>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</si>
  <si>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</si>
  <si>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</si>
  <si>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</si>
  <si>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</si>
  <si>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</si>
  <si>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</si>
  <si>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</si>
  <si>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</si>
  <si>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</si>
  <si>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</si>
  <si>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</si>
  <si>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</si>
  <si>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</si>
  <si>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</si>
  <si>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</si>
  <si>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</si>
  <si>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</si>
  <si>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</si>
  <si>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</si>
  <si>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</si>
  <si>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</si>
  <si>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</si>
  <si>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</si>
  <si>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</si>
  <si>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</si>
  <si>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</si>
  <si>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</si>
  <si>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</si>
  <si>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</si>
  <si>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</si>
  <si>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</si>
  <si>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</si>
  <si>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</si>
  <si>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</si>
  <si>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</si>
  <si>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</si>
  <si>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</si>
  <si>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</si>
  <si>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</si>
  <si>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</si>
  <si>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</si>
  <si>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</si>
  <si>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</si>
  <si>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</si>
  <si>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</si>
  <si>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</si>
  <si>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</si>
  <si>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</si>
  <si>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</si>
  <si>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</si>
  <si>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</si>
  <si>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</si>
  <si>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</si>
  <si>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</si>
  <si>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</si>
  <si>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</si>
  <si>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</si>
  <si>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</si>
  <si>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</si>
  <si>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</si>
  <si>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</si>
  <si>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</si>
  <si>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</si>
  <si>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</si>
  <si>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</si>
  <si>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</si>
  <si>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</si>
  <si>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</si>
  <si>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</si>
  <si>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</si>
  <si>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</si>
  <si>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</si>
  <si>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</si>
  <si>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</si>
  <si>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</si>
  <si>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</si>
  <si>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</si>
  <si>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</si>
  <si>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</si>
  <si>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</si>
  <si>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</si>
  <si>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</si>
  <si>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</si>
  <si>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</si>
  <si>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</si>
  <si>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</si>
  <si>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</si>
  <si>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</si>
  <si>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</si>
  <si>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</si>
  <si>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</si>
  <si>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</si>
  <si>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</si>
  <si>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</si>
  <si>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</si>
  <si>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</si>
  <si>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</si>
  <si>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</si>
  <si>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</si>
  <si>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</si>
  <si>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</si>
  <si>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</si>
  <si>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</si>
  <si>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</si>
  <si>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</si>
  <si>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</si>
  <si>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</si>
  <si>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</si>
  <si>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</si>
  <si>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</si>
  <si>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</si>
  <si>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</si>
  <si>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</si>
  <si>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</si>
  <si>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</si>
  <si>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</si>
  <si>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</si>
  <si>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</si>
  <si>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</si>
  <si>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</si>
  <si>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</si>
  <si>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</si>
  <si>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</si>
  <si>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</si>
  <si>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</si>
  <si>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</si>
  <si>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</si>
  <si>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</si>
  <si>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</si>
  <si>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</si>
  <si>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</si>
  <si>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</si>
  <si>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</si>
  <si>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</si>
  <si>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</si>
  <si>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</si>
  <si>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</si>
  <si>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</si>
  <si>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</si>
  <si>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</si>
  <si>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</si>
  <si>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</si>
  <si>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</si>
  <si>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</si>
  <si>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</si>
  <si>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</si>
  <si>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</si>
  <si>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</si>
  <si>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</si>
  <si>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</si>
  <si>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</si>
  <si>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</si>
  <si>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</si>
  <si>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</si>
  <si>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</si>
  <si>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</si>
  <si>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</si>
  <si>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</si>
  <si>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</si>
  <si>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</si>
  <si>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</si>
  <si>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</si>
  <si>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</si>
  <si>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</si>
  <si>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</si>
  <si>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</si>
  <si>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</si>
  <si>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</si>
  <si>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</si>
  <si>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</si>
  <si>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</si>
  <si>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</si>
  <si>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</si>
  <si>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</si>
  <si>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</si>
  <si>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</si>
  <si>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</si>
  <si>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</si>
  <si>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</si>
  <si>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</si>
  <si>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</si>
  <si>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</si>
  <si>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</si>
  <si>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</si>
  <si>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</si>
  <si>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</si>
  <si>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</si>
  <si>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</si>
  <si>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</si>
  <si>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</si>
  <si>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</si>
  <si>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</si>
  <si>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</si>
  <si>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</si>
  <si>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</si>
  <si>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</si>
  <si>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</si>
  <si>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</si>
  <si>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</si>
  <si>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</si>
  <si>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</si>
  <si>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</si>
  <si>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</si>
  <si>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</si>
  <si>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</si>
  <si>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</si>
  <si>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</si>
  <si>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</si>
  <si>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</si>
  <si>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</si>
  <si>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</si>
  <si>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</si>
  <si>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</si>
  <si>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</si>
  <si>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</si>
  <si>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</si>
  <si>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</si>
  <si>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</si>
  <si>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</si>
  <si>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</si>
  <si>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</si>
  <si>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</si>
  <si>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</si>
  <si>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</si>
  <si>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</si>
  <si>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</si>
  <si>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</si>
  <si>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</si>
  <si>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</si>
  <si>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</si>
  <si>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</si>
  <si>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</si>
  <si>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</si>
  <si>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</si>
  <si>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</si>
  <si>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</si>
  <si>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</si>
  <si>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</si>
  <si>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</si>
  <si>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</si>
  <si>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</si>
  <si>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</si>
  <si>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</si>
  <si>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</si>
  <si>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</si>
  <si>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</si>
  <si>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</si>
  <si>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</si>
  <si>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</si>
  <si>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</si>
  <si>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</si>
  <si>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</si>
  <si>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</si>
  <si>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</si>
  <si>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</si>
  <si>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</si>
  <si>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</si>
  <si>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</si>
  <si>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</si>
  <si>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</si>
  <si>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</si>
  <si>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</si>
  <si>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</si>
  <si>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</si>
  <si>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</si>
  <si>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</si>
  <si>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</si>
  <si>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</si>
  <si>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</si>
  <si>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</si>
  <si>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</si>
  <si>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</si>
  <si>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</si>
  <si>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</si>
  <si>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</si>
  <si>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</si>
  <si>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</si>
  <si>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</si>
  <si>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</si>
  <si>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</si>
  <si>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</si>
  <si>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</si>
  <si>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</si>
  <si>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</si>
  <si>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</si>
  <si>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</si>
  <si>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</si>
  <si>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</si>
  <si>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</si>
  <si>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</si>
  <si>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</si>
  <si>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</si>
  <si>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</si>
  <si>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</si>
  <si>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</si>
  <si>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</si>
  <si>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</si>
  <si>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</si>
  <si>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</si>
  <si>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</si>
  <si>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</si>
  <si>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</si>
  <si>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</si>
  <si>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</si>
  <si>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</si>
  <si>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</si>
  <si>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</si>
  <si>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</si>
  <si>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</si>
  <si>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</si>
  <si>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</si>
  <si>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</si>
  <si>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</si>
  <si>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</si>
  <si>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</si>
  <si>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</si>
  <si>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</si>
  <si>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</si>
  <si>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</si>
  <si>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</si>
  <si>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</si>
  <si>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</si>
  <si>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</si>
  <si>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</si>
  <si>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</si>
  <si>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</si>
  <si>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</si>
  <si>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</si>
  <si>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</si>
  <si>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</si>
  <si>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</si>
  <si>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</si>
  <si>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</si>
  <si>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</si>
  <si>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</si>
  <si>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</si>
  <si>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</si>
  <si>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</si>
  <si>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</si>
  <si>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</si>
  <si>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</si>
  <si>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</si>
  <si>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</si>
  <si>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</si>
  <si>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</si>
  <si>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</si>
  <si>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</si>
  <si>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</si>
  <si>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</si>
  <si>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</si>
  <si>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</si>
  <si>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</si>
  <si>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</si>
  <si>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</si>
  <si>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</si>
  <si>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</si>
  <si>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</si>
  <si>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</si>
  <si>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</si>
  <si>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</si>
  <si>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</si>
  <si>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</si>
  <si>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</si>
  <si>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</si>
  <si>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</si>
  <si>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</si>
  <si>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</si>
  <si>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</si>
  <si>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</si>
  <si>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</si>
  <si>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</si>
  <si>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</si>
  <si>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</si>
  <si>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</si>
  <si>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</si>
  <si>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</si>
  <si>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</si>
  <si>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</si>
  <si>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</si>
  <si>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</si>
  <si>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</si>
  <si>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</si>
  <si>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</si>
  <si>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</si>
  <si>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</si>
  <si>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</si>
  <si>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</si>
  <si>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</si>
  <si>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</si>
  <si>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</si>
  <si>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</si>
  <si>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</si>
  <si>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</si>
  <si>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</si>
  <si>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</si>
  <si>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</si>
  <si>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</si>
  <si>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</si>
  <si>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</si>
  <si>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</si>
  <si>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</si>
  <si>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</si>
  <si>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</si>
  <si>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</si>
  <si>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</si>
  <si>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</si>
  <si>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</si>
  <si>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</si>
  <si>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</si>
  <si>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</si>
  <si>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</si>
  <si>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</si>
  <si>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</si>
  <si>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</si>
  <si>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</si>
  <si>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</si>
  <si>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</si>
  <si>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</si>
  <si>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</si>
  <si>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</si>
  <si>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</si>
  <si>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</si>
  <si>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</si>
  <si>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</si>
  <si>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</si>
  <si>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</si>
  <si>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</si>
  <si>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</si>
  <si>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</si>
  <si>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</si>
  <si>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</si>
  <si>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</si>
  <si>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</si>
  <si>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</si>
  <si>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</si>
  <si>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</si>
  <si>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</si>
  <si>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</si>
  <si>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</si>
  <si>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</si>
  <si>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</si>
  <si>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</si>
  <si>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</si>
  <si>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</si>
  <si>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</si>
  <si>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</si>
  <si>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</si>
  <si>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</si>
  <si>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</si>
  <si>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</si>
  <si>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</si>
  <si>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</si>
  <si>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</si>
  <si>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</si>
  <si>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</si>
  <si>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</si>
  <si>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</si>
  <si>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</si>
  <si>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</si>
  <si>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</si>
  <si>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</si>
  <si>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</si>
  <si>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</si>
  <si>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</si>
  <si>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</si>
  <si>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</si>
  <si>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</si>
  <si>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</si>
  <si>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</si>
  <si>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</si>
  <si>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</si>
  <si>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</si>
  <si>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</si>
  <si>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</si>
  <si>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</si>
  <si>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</si>
  <si>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</si>
  <si>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</si>
  <si>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</si>
  <si>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</si>
  <si>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</si>
  <si>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</si>
  <si>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</si>
  <si>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</si>
  <si>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</si>
  <si>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</si>
  <si>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</si>
  <si>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</si>
  <si>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</si>
  <si>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</si>
  <si>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</si>
  <si>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</si>
  <si>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</si>
  <si>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</si>
  <si>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</si>
  <si>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</si>
  <si>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</si>
  <si>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</si>
  <si>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</si>
  <si>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</si>
  <si>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</si>
  <si>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</si>
  <si>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</si>
  <si>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</si>
  <si>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</si>
  <si>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</si>
  <si>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</si>
  <si>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</si>
  <si>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</si>
  <si>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</si>
  <si>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</si>
  <si>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</si>
  <si>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</si>
  <si>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</si>
  <si>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</si>
  <si>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</si>
  <si>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</si>
  <si>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</si>
  <si>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</si>
  <si>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</si>
  <si>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</si>
  <si>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</si>
  <si>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</si>
  <si>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</si>
  <si>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</si>
  <si>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</si>
  <si>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</si>
  <si>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</si>
  <si>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</si>
  <si>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</si>
  <si>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</si>
  <si>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</si>
  <si>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</si>
  <si>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</si>
  <si>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</si>
  <si>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</si>
  <si>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</si>
  <si>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</si>
  <si>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</si>
  <si>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</si>
  <si>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</si>
  <si>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</si>
  <si>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</si>
  <si>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</si>
  <si>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</si>
  <si>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</si>
  <si>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</si>
  <si>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</si>
  <si>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</si>
  <si>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</si>
  <si>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</si>
  <si>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</si>
  <si>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</si>
  <si>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</si>
  <si>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</si>
  <si>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</si>
  <si>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</si>
  <si>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</si>
  <si>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</si>
  <si>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</si>
  <si>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</si>
  <si>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</si>
  <si>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</si>
  <si>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</si>
  <si>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</si>
  <si>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</si>
  <si>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</si>
  <si>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</si>
  <si>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</si>
  <si>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</si>
  <si>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</si>
  <si>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</si>
  <si>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</si>
  <si>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</si>
  <si>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</si>
  <si>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</si>
  <si>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</si>
  <si>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</si>
  <si>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</si>
  <si>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</si>
  <si>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</si>
  <si>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</si>
  <si>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</si>
  <si>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</si>
  <si>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</si>
  <si>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</si>
  <si>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</si>
  <si>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</si>
  <si>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</si>
  <si>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</si>
  <si>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</si>
  <si>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</si>
  <si>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</si>
  <si>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</si>
  <si>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</si>
  <si>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</si>
  <si>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</si>
  <si>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</si>
  <si>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</si>
  <si>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</si>
  <si>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</si>
  <si>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</si>
  <si>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</si>
  <si>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</si>
  <si>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</si>
  <si>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</si>
  <si>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</si>
  <si>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</si>
  <si>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</si>
  <si>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</si>
  <si>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</si>
  <si>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</si>
  <si>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</si>
  <si>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</si>
  <si>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</si>
  <si>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</si>
  <si>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</si>
  <si>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</si>
  <si>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</si>
  <si>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</si>
  <si>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</si>
  <si>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</si>
  <si>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</si>
  <si>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</si>
  <si>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</si>
  <si>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</si>
  <si>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</si>
  <si>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</si>
  <si>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</si>
  <si>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</si>
  <si>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</si>
  <si>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</si>
  <si>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</si>
  <si>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</si>
  <si>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</si>
  <si>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</si>
  <si>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</si>
  <si>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</si>
  <si>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</si>
  <si>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</si>
  <si>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</si>
  <si>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</si>
  <si>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</si>
  <si>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</si>
  <si>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</si>
  <si>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</si>
  <si>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</si>
  <si>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</si>
  <si>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</si>
  <si>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</si>
  <si>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</si>
  <si>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</si>
  <si>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</si>
  <si>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</si>
  <si>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</si>
  <si>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</si>
  <si>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</si>
  <si>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</si>
  <si>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</si>
  <si>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</si>
  <si>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</si>
  <si>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</si>
  <si>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</si>
  <si>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</si>
  <si>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</si>
  <si>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</si>
  <si>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</si>
  <si>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</si>
  <si>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</si>
  <si>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</si>
  <si>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</si>
  <si>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</si>
  <si>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</si>
  <si>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</si>
  <si>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</si>
  <si>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</si>
  <si>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</si>
  <si>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</si>
  <si>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</si>
  <si>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</si>
  <si>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</si>
  <si>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</si>
  <si>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</si>
  <si>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</si>
  <si>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</si>
  <si>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</si>
  <si>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</si>
  <si>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</si>
  <si>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</si>
  <si>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</si>
  <si>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</si>
  <si>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</si>
  <si>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</si>
  <si>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</si>
  <si>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</si>
  <si>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</si>
  <si>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</si>
  <si>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</si>
  <si>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</si>
  <si>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</si>
  <si>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</si>
  <si>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</si>
  <si>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</si>
  <si>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</si>
  <si>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</si>
  <si>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</si>
  <si>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</si>
  <si>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</si>
  <si>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</si>
  <si>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</si>
  <si>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</si>
  <si>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</si>
  <si>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</si>
  <si>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</si>
  <si>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</si>
  <si>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</si>
  <si>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</si>
  <si>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</si>
  <si>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</si>
  <si>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</si>
  <si>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</si>
  <si>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</si>
  <si>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</si>
  <si>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</si>
  <si>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</si>
  <si>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</si>
  <si>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</si>
  <si>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</si>
  <si>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</si>
  <si>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</si>
  <si>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</si>
  <si>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</si>
  <si>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</si>
  <si>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</si>
  <si>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</si>
  <si>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</si>
  <si>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</si>
  <si>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</si>
  <si>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</si>
  <si>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</si>
  <si>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</si>
  <si>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</si>
  <si>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</si>
  <si>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</si>
  <si>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</si>
  <si>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</si>
  <si>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</si>
  <si>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</si>
  <si>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</si>
  <si>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</si>
  <si>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</si>
  <si>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</si>
  <si>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</si>
  <si>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</si>
  <si>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</si>
  <si>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</si>
  <si>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</si>
  <si>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</si>
  <si>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</si>
  <si>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</si>
  <si>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</si>
  <si>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</si>
  <si>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</si>
  <si>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</si>
  <si>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</si>
  <si>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</si>
  <si>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</si>
  <si>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</si>
  <si>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</si>
  <si>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</si>
  <si>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</si>
  <si>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</si>
  <si>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</si>
  <si>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</si>
  <si>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</si>
  <si>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</si>
  <si>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</si>
  <si>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</si>
  <si>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</si>
  <si>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</si>
  <si>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</si>
  <si>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</si>
  <si>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</si>
  <si>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</si>
  <si>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</si>
  <si>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</si>
  <si>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</si>
  <si>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</si>
  <si>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</si>
  <si>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</si>
  <si>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</si>
  <si>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</si>
  <si>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</si>
  <si>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</si>
  <si>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</si>
  <si>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</si>
  <si>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</si>
  <si>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</si>
  <si>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</si>
  <si>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</si>
  <si>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</si>
  <si>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</si>
  <si>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</si>
  <si>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</si>
  <si>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</si>
  <si>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</si>
  <si>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</si>
  <si>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</si>
  <si>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</si>
  <si>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</si>
  <si>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</si>
  <si>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</si>
  <si>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</si>
  <si>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</si>
  <si>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</si>
  <si>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</si>
  <si>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</si>
  <si>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</si>
  <si>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</si>
  <si>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</si>
  <si>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</si>
  <si>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</si>
  <si>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</si>
  <si>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</si>
  <si>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</si>
  <si>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</si>
  <si>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</si>
  <si>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</si>
  <si>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</si>
  <si>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</si>
  <si>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</si>
  <si>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</si>
  <si>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</si>
  <si>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</si>
  <si>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</si>
  <si>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</si>
  <si>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</si>
  <si>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</si>
  <si>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</si>
  <si>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</si>
  <si>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</si>
  <si>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</si>
  <si>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</si>
  <si>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</si>
  <si>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</si>
  <si>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</si>
  <si>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</si>
  <si>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</si>
  <si>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</si>
  <si>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</si>
  <si>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</si>
  <si>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</si>
  <si>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</si>
  <si>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</si>
  <si>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</si>
  <si>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</si>
  <si>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</si>
  <si>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</si>
  <si>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</si>
  <si>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</si>
  <si>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</si>
  <si>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</si>
  <si>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</si>
  <si>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</si>
  <si>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</si>
  <si>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</si>
  <si>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</si>
  <si>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</si>
  <si>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</si>
  <si>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</si>
  <si>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</si>
  <si>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</si>
  <si>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</si>
  <si>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</si>
  <si>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</si>
  <si>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</si>
  <si>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</si>
  <si>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</si>
  <si>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</si>
  <si>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</si>
  <si>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</si>
  <si>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</si>
  <si>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</si>
  <si>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</si>
  <si>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</si>
  <si>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</si>
  <si>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</si>
  <si>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</si>
  <si>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</si>
  <si>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</si>
  <si>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</si>
  <si>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</si>
  <si>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</si>
  <si>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</si>
  <si>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</si>
  <si>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</si>
  <si>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</si>
  <si>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</si>
  <si>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</si>
  <si>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</si>
  <si>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</si>
  <si>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</si>
  <si>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</si>
  <si>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</si>
  <si>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</si>
  <si>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</si>
  <si>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</si>
  <si>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</si>
  <si>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</si>
  <si>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</si>
  <si>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</si>
  <si>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</si>
  <si>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</si>
  <si>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</si>
  <si>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</si>
  <si>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</si>
  <si>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</si>
  <si>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</si>
  <si>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</si>
  <si>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</si>
  <si>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</si>
  <si>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</si>
  <si>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</si>
  <si>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</si>
  <si>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</si>
  <si>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</si>
  <si>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</si>
  <si>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</si>
  <si>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</si>
  <si>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</si>
  <si>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</si>
  <si>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</si>
  <si>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</si>
  <si>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</si>
  <si>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</si>
  <si>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</si>
  <si>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</si>
  <si>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</si>
  <si>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</si>
  <si>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</si>
  <si>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</si>
  <si>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</si>
  <si>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</si>
  <si>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</si>
  <si>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</si>
  <si>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</si>
  <si>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</si>
  <si>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</si>
  <si>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</si>
  <si>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</si>
  <si>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</si>
  <si>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</si>
  <si>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</si>
  <si>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</si>
  <si>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</si>
  <si>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</si>
  <si>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</si>
  <si>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</si>
  <si>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</si>
  <si>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</si>
  <si>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</si>
  <si>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</si>
  <si>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</si>
  <si>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</si>
  <si>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</si>
  <si>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</si>
  <si>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</si>
  <si>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</si>
  <si>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</si>
  <si>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</si>
  <si>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</si>
  <si>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</si>
  <si>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</si>
  <si>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</si>
  <si>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</si>
  <si>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</si>
  <si>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</si>
  <si>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</si>
  <si>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</si>
  <si>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</si>
  <si>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</si>
  <si>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</si>
  <si>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</si>
  <si>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</si>
  <si>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</si>
  <si>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</si>
  <si>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</si>
  <si>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</si>
  <si>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</si>
  <si>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</si>
  <si>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</si>
  <si>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</si>
  <si>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</si>
  <si>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</si>
  <si>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</si>
  <si>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</si>
  <si>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</si>
  <si>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</si>
  <si>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</si>
  <si>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</si>
  <si>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</si>
  <si>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</si>
  <si>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</si>
  <si>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</si>
  <si>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</si>
  <si>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</si>
  <si>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</si>
  <si>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</si>
  <si>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</si>
  <si>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</si>
  <si>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</si>
  <si>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</si>
  <si>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</si>
  <si>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</si>
  <si>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</si>
  <si>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</si>
  <si>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</si>
  <si>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</si>
  <si>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</si>
  <si>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</si>
  <si>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</si>
  <si>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</si>
  <si>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</si>
  <si>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</si>
  <si>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</si>
  <si>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</si>
  <si>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</si>
  <si>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</si>
  <si>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</si>
  <si>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</si>
  <si>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</si>
  <si>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</si>
  <si>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</si>
  <si>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</si>
  <si>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</si>
  <si>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</si>
  <si>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</si>
  <si>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</si>
  <si>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</si>
  <si>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</si>
  <si>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</si>
  <si>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</si>
  <si>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</si>
  <si>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</si>
  <si>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</si>
  <si>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</si>
  <si>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</si>
  <si>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</si>
  <si>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</si>
  <si>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</si>
  <si>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</si>
  <si>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</si>
  <si>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</si>
  <si>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</si>
  <si>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</si>
  <si>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</si>
  <si>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</si>
  <si>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</si>
  <si>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</si>
  <si>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</si>
  <si>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</si>
  <si>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</si>
  <si>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</si>
  <si>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</si>
  <si>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</si>
  <si>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</si>
  <si>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</si>
  <si>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</si>
  <si>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</si>
  <si>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</si>
  <si>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</si>
  <si>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</si>
  <si>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</si>
  <si>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</si>
  <si>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</si>
  <si>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</si>
  <si>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</si>
  <si>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</si>
  <si>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</si>
  <si>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</si>
  <si>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</si>
  <si>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</si>
  <si>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</si>
  <si>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</si>
  <si>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</si>
  <si>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</si>
  <si>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</si>
  <si>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</si>
  <si>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</si>
  <si>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</si>
  <si>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</si>
  <si>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</si>
  <si>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</si>
  <si>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</si>
  <si>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</si>
  <si>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</si>
  <si>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</si>
  <si>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</si>
  <si>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</si>
  <si>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</si>
  <si>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</si>
  <si>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</si>
  <si>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</si>
  <si>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</si>
  <si>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</si>
  <si>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</si>
  <si>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</si>
  <si>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</si>
  <si>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</si>
  <si>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</si>
  <si>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</si>
  <si>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</si>
  <si>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</si>
  <si>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</si>
  <si>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</si>
  <si>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</si>
  <si>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</si>
  <si>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</si>
  <si>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</si>
  <si>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</si>
  <si>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</si>
  <si>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</si>
  <si>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</si>
  <si>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</si>
  <si>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</si>
  <si>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</si>
  <si>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</si>
  <si>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</si>
  <si>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</si>
  <si>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</si>
  <si>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</si>
  <si>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</si>
  <si>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</si>
  <si>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</si>
  <si>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</si>
  <si>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</si>
  <si>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</si>
  <si>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</si>
  <si>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</si>
  <si>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</si>
  <si>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</si>
  <si>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</si>
  <si>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</si>
  <si>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</si>
  <si>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</si>
  <si>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</si>
  <si>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</si>
  <si>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</si>
  <si>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</si>
  <si>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</si>
  <si>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</si>
  <si>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</si>
  <si>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</si>
  <si>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</si>
  <si>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</si>
  <si>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</si>
  <si>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</si>
  <si>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</si>
  <si>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</si>
  <si>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</si>
  <si>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</si>
  <si>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</si>
  <si>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</si>
  <si>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</si>
  <si>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</si>
  <si>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</si>
  <si>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</si>
  <si>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</si>
  <si>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</si>
  <si>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</si>
  <si>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</si>
  <si>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</si>
  <si>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</si>
  <si>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</si>
  <si>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</si>
  <si>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</si>
  <si>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</si>
  <si>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</si>
  <si>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</si>
  <si>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</si>
  <si>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</si>
  <si>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</si>
  <si>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</si>
  <si>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</si>
  <si>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</si>
  <si>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</si>
  <si>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</si>
  <si>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</si>
  <si>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</si>
  <si>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</si>
  <si>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</si>
  <si>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</si>
  <si>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</si>
  <si>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</si>
  <si>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</si>
  <si>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</si>
  <si>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</si>
  <si>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</si>
  <si>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</si>
  <si>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</si>
  <si>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</si>
  <si>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</si>
  <si>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</si>
  <si>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</si>
  <si>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</si>
  <si>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</si>
  <si>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</si>
  <si>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</si>
  <si>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</si>
  <si>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</si>
  <si>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</si>
  <si>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</si>
  <si>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</si>
  <si>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</si>
  <si>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</si>
  <si>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</si>
  <si>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</si>
  <si>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</si>
  <si>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</si>
  <si>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</si>
  <si>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</si>
  <si>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</si>
  <si>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</si>
  <si>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</si>
  <si>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</si>
  <si>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</si>
  <si>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</si>
  <si>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</si>
  <si>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</si>
  <si>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</si>
  <si>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</si>
  <si>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</si>
  <si>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</si>
  <si>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</si>
  <si>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</si>
  <si>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</si>
  <si>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</si>
  <si>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</si>
  <si>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</si>
  <si>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</si>
  <si>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</si>
  <si>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</si>
  <si>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</si>
  <si>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</si>
  <si>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</si>
  <si>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</si>
  <si>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</si>
  <si>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</si>
  <si>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</si>
  <si>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</si>
  <si>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</si>
  <si>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</si>
  <si>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</si>
  <si>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</si>
  <si>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</si>
  <si>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</si>
  <si>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</si>
  <si>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</si>
  <si>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</si>
  <si>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</si>
  <si>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</si>
  <si>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</si>
  <si>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</si>
  <si>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</si>
  <si>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</si>
  <si>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</si>
  <si>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</si>
  <si>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</si>
  <si>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</si>
  <si>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</si>
  <si>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</si>
  <si>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</si>
  <si>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</si>
  <si>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</si>
  <si>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</si>
  <si>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</si>
  <si>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</si>
  <si>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</si>
  <si>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</si>
  <si>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</si>
  <si>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</si>
  <si>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</si>
  <si>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</si>
  <si>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</si>
  <si>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</si>
  <si>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</si>
  <si>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</si>
  <si>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</si>
  <si>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</si>
  <si>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</si>
  <si>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</si>
  <si>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</si>
  <si>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</si>
  <si>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</si>
  <si>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</si>
  <si>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</si>
  <si>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</si>
  <si>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</si>
  <si>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</si>
  <si>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</si>
  <si>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</si>
  <si>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</si>
  <si>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</si>
  <si>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</si>
  <si>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</si>
  <si>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</si>
  <si>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</si>
  <si>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</si>
  <si>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</si>
  <si>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</si>
  <si>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</si>
  <si>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</si>
  <si>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</si>
  <si>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</si>
  <si>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</si>
  <si>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</si>
  <si>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</si>
  <si>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</si>
  <si>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</si>
  <si>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</si>
  <si>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</si>
  <si>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</si>
  <si>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</si>
  <si>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</si>
  <si>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</si>
  <si>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</si>
  <si>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</si>
  <si>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</si>
  <si>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</si>
  <si>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</si>
  <si>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</si>
  <si>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</si>
  <si>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</si>
  <si>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</si>
  <si>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</si>
  <si>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</si>
  <si>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</si>
  <si>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</si>
  <si>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</si>
  <si>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</si>
  <si>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</si>
  <si>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</si>
  <si>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</si>
  <si>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</si>
  <si>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</si>
  <si>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</si>
  <si>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</si>
  <si>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</si>
  <si>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</si>
  <si>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</si>
  <si>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</si>
  <si>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</si>
  <si>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</si>
  <si>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</si>
  <si>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</si>
  <si>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</si>
  <si>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</si>
  <si>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</si>
  <si>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</si>
  <si>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</si>
  <si>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</si>
  <si>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</si>
  <si>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</si>
  <si>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</si>
  <si>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</si>
  <si>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</si>
  <si>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</si>
  <si>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</si>
  <si>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</si>
  <si>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</si>
  <si>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</si>
  <si>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</si>
  <si>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</si>
  <si>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</si>
  <si>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</si>
  <si>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</si>
  <si>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</si>
  <si>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</si>
  <si>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</si>
  <si>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</si>
  <si>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</si>
  <si>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</si>
  <si>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</si>
  <si>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</si>
  <si>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</si>
  <si>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</si>
  <si>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</si>
  <si>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</si>
  <si>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</si>
  <si>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</si>
  <si>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</si>
  <si>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</si>
  <si>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</si>
  <si>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</si>
  <si>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</si>
  <si>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</si>
  <si>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</si>
  <si>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</si>
  <si>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</si>
  <si>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</si>
  <si>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</si>
  <si>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</si>
  <si>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</si>
  <si>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</si>
  <si>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</si>
  <si>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</si>
  <si>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</si>
  <si>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</si>
  <si>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</si>
  <si>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</si>
  <si>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</si>
  <si>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</si>
  <si>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</si>
  <si>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</si>
  <si>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</si>
  <si>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</si>
  <si>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</si>
  <si>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</si>
  <si>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</si>
  <si>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</si>
  <si>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</si>
  <si>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</si>
  <si>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</si>
  <si>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</si>
  <si>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</si>
  <si>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</si>
  <si>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</si>
  <si>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</si>
  <si>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</si>
  <si>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</si>
  <si>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</si>
  <si>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</si>
  <si>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</si>
  <si>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</si>
  <si>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</si>
  <si>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</si>
  <si>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</si>
  <si>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</si>
  <si>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</si>
  <si>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</si>
  <si>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</si>
  <si>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</si>
  <si>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</si>
  <si>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</si>
  <si>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</si>
  <si>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</si>
  <si>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</si>
  <si>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</si>
  <si>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</si>
  <si>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</si>
  <si>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</si>
  <si>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</si>
  <si>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</si>
  <si>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</si>
  <si>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</si>
  <si>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</si>
  <si>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</si>
  <si>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</si>
  <si>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</si>
  <si>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</si>
  <si>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</si>
  <si>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</si>
  <si>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</si>
  <si>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</si>
  <si>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</si>
  <si>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</si>
  <si>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</si>
  <si>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</si>
  <si>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</si>
  <si>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</si>
  <si>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</si>
  <si>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</si>
  <si>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</si>
  <si>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</si>
  <si>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</si>
  <si>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</si>
  <si>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</si>
  <si>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</si>
  <si>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</si>
  <si>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</si>
  <si>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</si>
  <si>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</si>
  <si>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</si>
  <si>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</si>
  <si>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</si>
  <si>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</si>
  <si>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</si>
  <si>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</si>
  <si>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</si>
  <si>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</si>
  <si>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</si>
  <si>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</si>
  <si>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</si>
  <si>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</si>
  <si>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</si>
  <si>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</si>
  <si>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</si>
  <si>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</si>
  <si>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</si>
  <si>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</si>
  <si>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</si>
  <si>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</si>
  <si>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</si>
  <si>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</si>
  <si>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</si>
  <si>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</si>
  <si>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</si>
  <si>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</si>
  <si>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</si>
  <si>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</si>
  <si>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</si>
  <si>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</si>
  <si>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</si>
  <si>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</si>
  <si>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</si>
  <si>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</si>
  <si>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</si>
  <si>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</si>
  <si>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</si>
  <si>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</si>
  <si>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</si>
  <si>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</si>
  <si>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</si>
  <si>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</si>
  <si>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</si>
  <si>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</si>
  <si>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</si>
  <si>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</si>
  <si>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</si>
  <si>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</si>
  <si>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</si>
  <si>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</si>
  <si>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</si>
  <si>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</si>
  <si>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</si>
  <si>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</si>
  <si>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</si>
  <si>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</si>
  <si>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</si>
  <si>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</si>
  <si>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</si>
  <si>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</si>
  <si>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</si>
  <si>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</si>
  <si>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</si>
  <si>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</si>
  <si>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</si>
  <si>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</si>
  <si>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</si>
  <si>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</si>
  <si>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</si>
  <si>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</si>
  <si>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</si>
  <si>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</si>
  <si>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</si>
  <si>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</si>
  <si>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</si>
  <si>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</si>
  <si>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</si>
  <si>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</si>
  <si>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</si>
  <si>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</si>
  <si>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</si>
  <si>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</si>
  <si>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</si>
  <si>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</si>
  <si>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</si>
  <si>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</si>
  <si>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</si>
  <si>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</si>
  <si>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</si>
  <si>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</si>
  <si>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</si>
  <si>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</si>
  <si>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</si>
  <si>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</si>
  <si>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</si>
  <si>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</si>
  <si>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</si>
  <si>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</si>
  <si>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</si>
  <si>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</si>
  <si>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</si>
  <si>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</si>
  <si>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</si>
  <si>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</si>
  <si>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</si>
  <si>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</si>
  <si>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</si>
  <si>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</si>
  <si>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</si>
  <si>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</si>
  <si>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</si>
  <si>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</si>
  <si>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</si>
  <si>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</si>
  <si>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</si>
  <si>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</si>
  <si>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</si>
  <si>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</si>
  <si>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</si>
  <si>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</si>
  <si>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</si>
  <si>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</si>
  <si>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</si>
  <si>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</si>
  <si>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</si>
  <si>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</si>
  <si>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</si>
  <si>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</si>
  <si>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</si>
  <si>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</si>
  <si>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</si>
  <si>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</si>
  <si>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</si>
  <si>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</si>
  <si>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</si>
  <si>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</si>
  <si>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</si>
  <si>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</si>
  <si>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</si>
  <si>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</si>
  <si>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</si>
  <si>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</si>
  <si>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</si>
  <si>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</si>
  <si>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</si>
  <si>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</si>
  <si>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</si>
  <si>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</si>
  <si>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</si>
  <si>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</si>
  <si>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</si>
  <si>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</si>
  <si>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</si>
  <si>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</si>
  <si>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</si>
  <si>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</si>
  <si>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</si>
  <si>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</si>
  <si>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</si>
  <si>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</si>
  <si>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</si>
  <si>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</si>
  <si>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</si>
  <si>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</si>
  <si>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</si>
  <si>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</si>
  <si>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</si>
  <si>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</si>
  <si>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</si>
  <si>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</si>
  <si>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</si>
  <si>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</si>
  <si>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</si>
  <si>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</si>
  <si>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</si>
  <si>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</si>
  <si>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</si>
  <si>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</si>
  <si>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</si>
  <si>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</si>
  <si>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</si>
  <si>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</si>
  <si>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</si>
  <si>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</si>
  <si>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</si>
  <si>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</si>
  <si>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</si>
  <si>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</si>
  <si>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</si>
  <si>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</si>
  <si>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</si>
  <si>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</si>
  <si>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</si>
  <si>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</si>
  <si>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</si>
  <si>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</si>
  <si>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</si>
  <si>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</si>
  <si>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</si>
  <si>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</si>
  <si>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</si>
  <si>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</si>
  <si>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</si>
  <si>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</si>
  <si>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</si>
  <si>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</si>
  <si>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</si>
  <si>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</si>
  <si>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</si>
  <si>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</si>
  <si>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</si>
  <si>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</si>
  <si>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</si>
  <si>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</si>
  <si>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</si>
  <si>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</si>
  <si>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</si>
  <si>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</si>
  <si>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</si>
  <si>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</si>
  <si>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</si>
  <si>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</si>
  <si>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</si>
  <si>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</si>
  <si>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</si>
  <si>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</si>
  <si>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</si>
  <si>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</si>
  <si>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</si>
  <si>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</si>
  <si>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</si>
  <si>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</si>
  <si>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</si>
  <si>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</si>
  <si>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</si>
  <si>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</si>
  <si>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</si>
  <si>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</si>
  <si>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</si>
  <si>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</si>
  <si>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</si>
  <si>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</si>
  <si>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</si>
  <si>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</si>
  <si>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</si>
  <si>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</si>
  <si>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</si>
  <si>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</si>
  <si>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</si>
  <si>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</si>
  <si>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</si>
  <si>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</si>
  <si>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</si>
  <si>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</si>
  <si>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</si>
  <si>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</si>
  <si>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</si>
  <si>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</si>
  <si>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</si>
  <si>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</si>
  <si>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</si>
  <si>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</si>
  <si>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</si>
  <si>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</si>
  <si>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</si>
  <si>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</si>
  <si>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</si>
  <si>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</si>
  <si>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</si>
  <si>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</si>
  <si>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</si>
  <si>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</si>
  <si>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</si>
  <si>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</si>
  <si>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</si>
  <si>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</si>
  <si>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</si>
  <si>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</si>
  <si>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</si>
  <si>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</si>
  <si>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</si>
  <si>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</si>
  <si>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</si>
  <si>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</si>
  <si>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</si>
  <si>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</si>
  <si>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</si>
  <si>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</si>
  <si>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</si>
  <si>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</si>
  <si>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</si>
  <si>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</si>
  <si>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</si>
  <si>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</si>
  <si>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</si>
  <si>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</si>
  <si>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</si>
  <si>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</si>
  <si>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</si>
  <si>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</si>
  <si>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</si>
  <si>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</si>
  <si>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</si>
  <si>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</si>
  <si>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</si>
  <si>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</si>
  <si>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</si>
  <si>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</si>
  <si>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</si>
  <si>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</si>
  <si>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</si>
  <si>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</si>
  <si>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</si>
  <si>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</si>
  <si>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</si>
  <si>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</si>
  <si>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</si>
  <si>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</si>
  <si>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</si>
  <si>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</si>
  <si>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</si>
  <si>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</si>
  <si>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</si>
  <si>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</si>
  <si>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</si>
  <si>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</si>
  <si>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</si>
  <si>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</si>
  <si>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</si>
  <si>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</si>
  <si>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</si>
  <si>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</si>
  <si>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</si>
  <si>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</si>
  <si>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</si>
  <si>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</si>
  <si>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</si>
  <si>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</si>
  <si>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</si>
  <si>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</si>
  <si>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</si>
  <si>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</si>
  <si>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</si>
  <si>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</si>
  <si>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</si>
  <si>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</si>
  <si>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</si>
  <si>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</si>
  <si>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</si>
  <si>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</si>
  <si>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</si>
  <si>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</si>
  <si>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</si>
  <si>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</si>
  <si>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</si>
  <si>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</si>
  <si>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</si>
  <si>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</si>
  <si>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</si>
  <si>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</si>
  <si>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</si>
  <si>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</si>
  <si>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</si>
  <si>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</si>
  <si>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</si>
  <si>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</si>
  <si>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</si>
  <si>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</si>
  <si>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</si>
  <si>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</si>
  <si>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</si>
  <si>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</si>
  <si>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</si>
  <si>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</si>
  <si>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</si>
  <si>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</si>
  <si>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</si>
  <si>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</si>
  <si>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</si>
  <si>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</si>
  <si>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</si>
  <si>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</si>
  <si>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</si>
  <si>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</si>
  <si>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</si>
  <si>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</si>
  <si>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</si>
  <si>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</si>
  <si>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</si>
  <si>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</si>
  <si>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</si>
  <si>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</si>
  <si>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</si>
  <si>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</si>
  <si>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</si>
  <si>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</si>
  <si>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</si>
  <si>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</si>
  <si>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</si>
  <si>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</si>
  <si>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</si>
  <si>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</si>
  <si>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</si>
  <si>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</si>
  <si>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</si>
  <si>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</si>
  <si>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</si>
  <si>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</si>
  <si>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</si>
  <si>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</si>
  <si>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</si>
  <si>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</si>
  <si>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</si>
  <si>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</si>
  <si>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</si>
  <si>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</si>
  <si>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</si>
  <si>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</si>
  <si>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</si>
  <si>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</si>
  <si>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</si>
  <si>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</si>
  <si>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</si>
  <si>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</si>
  <si>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</si>
  <si>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</si>
  <si>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</si>
  <si>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</si>
  <si>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</si>
  <si>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</si>
  <si>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</si>
  <si>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</si>
  <si>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</si>
  <si>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</si>
  <si>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</si>
  <si>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</si>
  <si>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</si>
  <si>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</si>
  <si>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</si>
  <si>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</si>
  <si>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</si>
  <si>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</si>
  <si>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</si>
  <si>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</si>
  <si>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</si>
  <si>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</si>
  <si>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</si>
  <si>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</si>
  <si>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</si>
  <si>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</si>
  <si>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</si>
  <si>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</si>
  <si>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</si>
  <si>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</si>
  <si>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</si>
  <si>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</si>
  <si>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</si>
  <si>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</si>
  <si>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</si>
  <si>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</si>
  <si>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</si>
  <si>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</si>
  <si>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</si>
  <si>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</si>
  <si>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</si>
  <si>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</si>
  <si>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</si>
  <si>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</si>
  <si>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</si>
  <si>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</si>
  <si>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</si>
  <si>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</si>
  <si>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</si>
  <si>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</si>
  <si>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</si>
  <si>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</si>
  <si>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</si>
  <si>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</si>
  <si>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</si>
  <si>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</si>
  <si>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</si>
  <si>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</si>
  <si>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</si>
  <si>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</si>
  <si>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</si>
  <si>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</si>
  <si>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</si>
  <si>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</si>
  <si>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</si>
  <si>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</si>
  <si>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</si>
  <si>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</si>
  <si>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</si>
  <si>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</si>
  <si>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</si>
  <si>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</si>
  <si>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</si>
  <si>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</si>
  <si>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</si>
  <si>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</si>
  <si>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</si>
  <si>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</si>
  <si>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</si>
  <si>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</si>
  <si>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</si>
  <si>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</si>
  <si>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</si>
  <si>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</si>
  <si>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</si>
  <si>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</si>
  <si>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</si>
  <si>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</si>
  <si>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</si>
  <si>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</si>
  <si>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</si>
  <si>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</si>
  <si>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</si>
  <si>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</si>
  <si>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</si>
  <si>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</si>
  <si>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</si>
  <si>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</si>
  <si>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</si>
  <si>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</si>
  <si>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</si>
  <si>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</si>
  <si>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</si>
  <si>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</si>
  <si>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</si>
  <si>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</si>
  <si>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</si>
  <si>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</si>
  <si>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</si>
  <si>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</si>
  <si>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</si>
  <si>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</si>
  <si>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</si>
  <si>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</si>
  <si>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</si>
  <si>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</si>
  <si>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</si>
  <si>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</si>
  <si>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</si>
  <si>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</si>
  <si>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</si>
  <si>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</si>
  <si>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</si>
  <si>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</si>
  <si>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</si>
  <si>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</si>
  <si>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</si>
  <si>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</si>
  <si>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</si>
  <si>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</si>
  <si>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</si>
  <si>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</si>
  <si>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</si>
  <si>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</si>
  <si>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</si>
  <si>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</si>
  <si>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</si>
  <si>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</si>
  <si>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</si>
  <si>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</si>
  <si>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</si>
  <si>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</si>
  <si>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</si>
  <si>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</si>
  <si>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</si>
  <si>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</si>
  <si>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</si>
  <si>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</si>
  <si>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</si>
  <si>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</si>
  <si>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</si>
  <si>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</si>
  <si>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</si>
  <si>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</si>
  <si>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</si>
  <si>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</si>
  <si>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</si>
  <si>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</si>
  <si>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</si>
  <si>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</si>
  <si>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</si>
  <si>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</si>
  <si>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</si>
  <si>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</si>
  <si>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</si>
  <si>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</si>
  <si>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</si>
  <si>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</si>
  <si>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</si>
  <si>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</si>
  <si>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</si>
  <si>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</si>
  <si>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</si>
  <si>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</si>
  <si>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</si>
  <si>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</si>
  <si>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</si>
  <si>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</si>
  <si>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</si>
  <si>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</si>
  <si>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</si>
  <si>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</si>
  <si>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</si>
  <si>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</si>
  <si>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</si>
  <si>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</si>
  <si>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</si>
  <si>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</si>
  <si>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</si>
  <si>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</si>
  <si>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</si>
  <si>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</si>
  <si>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</si>
  <si>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</si>
  <si>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</si>
  <si>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</si>
  <si>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</si>
  <si>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</si>
  <si>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</si>
  <si>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</si>
  <si>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</si>
  <si>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</si>
  <si>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</si>
  <si>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</si>
  <si>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</si>
  <si>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</si>
  <si>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</si>
  <si>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</si>
  <si>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</si>
  <si>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</si>
  <si>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</si>
  <si>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</si>
  <si>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</si>
  <si>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</si>
  <si>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</si>
  <si>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</si>
  <si>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</si>
  <si>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</si>
  <si>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</si>
  <si>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</si>
  <si>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</si>
  <si>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</si>
  <si>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</si>
  <si>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</si>
  <si>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</si>
  <si>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</si>
  <si>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</si>
  <si>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</si>
  <si>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</si>
  <si>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</si>
  <si>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</si>
  <si>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</si>
  <si>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</si>
  <si>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</si>
  <si>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</si>
  <si>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</si>
  <si>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</si>
  <si>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</si>
  <si>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</si>
  <si>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</si>
  <si>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</si>
  <si>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</si>
  <si>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</si>
  <si>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</si>
  <si>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</si>
  <si>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</si>
  <si>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</si>
  <si>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</si>
  <si>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</si>
  <si>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</si>
  <si>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</si>
  <si>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</si>
  <si>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</si>
  <si>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</si>
  <si>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</si>
  <si>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</si>
  <si>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</si>
  <si>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</si>
  <si>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</si>
  <si>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</si>
  <si>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</si>
  <si>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</si>
  <si>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</si>
  <si>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</si>
  <si>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</si>
  <si>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</si>
  <si>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</si>
  <si>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</si>
  <si>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</si>
  <si>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</si>
  <si>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</si>
  <si>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</si>
  <si>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</si>
  <si>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</si>
  <si>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</si>
  <si>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</si>
  <si>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</si>
  <si>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</si>
  <si>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</si>
  <si>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</si>
  <si>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</si>
  <si>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</si>
  <si>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</si>
  <si>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</si>
  <si>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</si>
  <si>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</si>
  <si>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</si>
  <si>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</si>
  <si>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</si>
  <si>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</si>
  <si>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</si>
  <si>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</si>
  <si>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</si>
  <si>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</si>
  <si>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</si>
  <si>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</si>
  <si>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</si>
  <si>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</si>
  <si>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</si>
  <si>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</si>
  <si>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</si>
  <si>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</si>
  <si>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</si>
  <si>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</si>
  <si>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</si>
  <si>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</si>
  <si>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</si>
  <si>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</si>
  <si>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</si>
  <si>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</si>
  <si>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</si>
  <si>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</si>
  <si>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</si>
  <si>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</si>
  <si>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</si>
  <si>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</si>
  <si>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</si>
  <si>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</si>
  <si>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</si>
  <si>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</si>
  <si>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</si>
  <si>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</si>
  <si>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</si>
  <si>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</si>
  <si>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</si>
  <si>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</si>
  <si>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</si>
  <si>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</si>
  <si>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</si>
  <si>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</si>
  <si>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</si>
  <si>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</si>
  <si>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</si>
  <si>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</si>
  <si>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</si>
  <si>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</si>
  <si>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</si>
  <si>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</si>
  <si>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</si>
  <si>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</si>
  <si>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</si>
  <si>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</si>
  <si>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</si>
  <si>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</si>
  <si>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</si>
  <si>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</si>
  <si>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</si>
  <si>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</si>
  <si>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</si>
  <si>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</si>
  <si>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</si>
  <si>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</si>
  <si>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</si>
  <si>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</si>
  <si>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</si>
  <si>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</si>
  <si>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</si>
  <si>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</si>
  <si>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</si>
  <si>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</si>
  <si>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</si>
  <si>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</si>
  <si>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</si>
  <si>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</si>
  <si>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</si>
  <si>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</si>
  <si>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</si>
  <si>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</si>
  <si>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</si>
  <si>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</si>
  <si>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</si>
  <si>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</si>
  <si>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</si>
  <si>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</si>
  <si>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</si>
  <si>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</si>
  <si>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</si>
  <si>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</si>
  <si>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</si>
  <si>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</si>
  <si>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</si>
  <si>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</si>
  <si>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</si>
  <si>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</si>
  <si>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</si>
  <si>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</si>
  <si>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</si>
  <si>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</si>
  <si>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</si>
  <si>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</si>
  <si>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</si>
  <si>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</si>
  <si>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</si>
  <si>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</si>
  <si>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</si>
  <si>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</si>
  <si>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</si>
  <si>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</si>
  <si>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</si>
  <si>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</si>
  <si>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</si>
  <si>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</si>
  <si>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</si>
  <si>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</si>
  <si>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</si>
  <si>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</si>
  <si>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</si>
  <si>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</si>
  <si>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</si>
  <si>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</si>
  <si>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</si>
  <si>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</si>
  <si>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</si>
  <si>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</si>
  <si>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</si>
  <si>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</si>
  <si>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</si>
  <si>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</si>
  <si>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</si>
  <si>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</si>
  <si>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</si>
  <si>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</si>
  <si>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</si>
  <si>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</si>
  <si>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</si>
  <si>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</si>
  <si>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</si>
  <si>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</si>
  <si>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</si>
  <si>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</si>
  <si>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</si>
  <si>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</si>
  <si>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</si>
  <si>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</si>
  <si>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</si>
  <si>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</si>
  <si>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</si>
  <si>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</si>
  <si>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</si>
  <si>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</si>
  <si>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</si>
  <si>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</si>
  <si>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</si>
  <si>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</si>
  <si>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</si>
  <si>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</si>
  <si>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</si>
  <si>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</si>
  <si>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</si>
  <si>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</si>
  <si>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</si>
  <si>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</si>
  <si>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</si>
  <si>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</si>
  <si>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</si>
  <si>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</si>
  <si>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</si>
  <si>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</si>
  <si>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</si>
  <si>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</si>
  <si>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</si>
  <si>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</si>
  <si>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</si>
  <si>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</si>
  <si>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</si>
  <si>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</si>
  <si>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</si>
  <si>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</si>
  <si>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</si>
  <si>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</si>
  <si>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</si>
  <si>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</si>
  <si>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</si>
  <si>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</si>
  <si>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</si>
  <si>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</si>
  <si>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</si>
  <si>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</si>
  <si>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</si>
  <si>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</si>
  <si>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</si>
  <si>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</si>
  <si>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</si>
  <si>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</si>
  <si>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</si>
  <si>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</si>
  <si>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</si>
  <si>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</si>
  <si>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</si>
  <si>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</si>
  <si>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</si>
  <si>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</si>
  <si>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</si>
  <si>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</si>
  <si>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</si>
  <si>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</si>
  <si>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</si>
  <si>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</si>
  <si>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</si>
  <si>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</si>
  <si>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</si>
  <si>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</si>
  <si>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</si>
  <si>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</si>
  <si>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</si>
  <si>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</si>
  <si>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</si>
  <si>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</si>
  <si>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</si>
  <si>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</si>
  <si>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</si>
  <si>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</si>
  <si>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</si>
  <si>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</si>
  <si>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</si>
  <si>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</si>
  <si>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</si>
  <si>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</si>
  <si>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</si>
  <si>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</si>
  <si>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</si>
  <si>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</si>
  <si>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</si>
  <si>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</si>
  <si>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</si>
  <si>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</si>
  <si>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</si>
  <si>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</si>
  <si>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</si>
  <si>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</si>
  <si>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</si>
  <si>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</si>
  <si>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</si>
  <si>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</si>
  <si>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</si>
  <si>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</si>
  <si>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</si>
  <si>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</si>
  <si>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</si>
  <si>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</si>
  <si>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</si>
  <si>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</si>
  <si>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</si>
  <si>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</si>
  <si>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</si>
  <si>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</si>
  <si>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</si>
  <si>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</si>
  <si>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</si>
  <si>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</si>
  <si>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</si>
  <si>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</si>
  <si>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</si>
  <si>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</si>
  <si>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</si>
  <si>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</si>
  <si>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</si>
  <si>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</si>
  <si>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</si>
  <si>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</si>
  <si>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</si>
  <si>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</si>
  <si>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</si>
  <si>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</si>
  <si>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</si>
  <si>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</si>
  <si>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</si>
  <si>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</si>
  <si>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</si>
  <si>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</si>
  <si>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</si>
  <si>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</si>
  <si>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</si>
  <si>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</si>
  <si>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</si>
  <si>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</si>
  <si>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</si>
  <si>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</si>
  <si>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</si>
  <si>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</si>
  <si>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</si>
  <si>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</si>
  <si>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</si>
  <si>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</si>
  <si>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</si>
  <si>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</si>
  <si>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</si>
  <si>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</si>
  <si>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</si>
  <si>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</si>
  <si>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</si>
  <si>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</si>
  <si>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</si>
  <si>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</si>
  <si>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</si>
  <si>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</si>
  <si>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</si>
  <si>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</si>
  <si>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</si>
  <si>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</si>
  <si>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</si>
  <si>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</si>
  <si>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</si>
  <si>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</si>
  <si>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</si>
  <si>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</si>
  <si>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</si>
  <si>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</si>
  <si>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</si>
  <si>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</si>
  <si>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</si>
  <si>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</si>
  <si>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</si>
  <si>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</si>
  <si>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</si>
  <si>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</si>
  <si>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</si>
  <si>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</si>
  <si>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</si>
  <si>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</si>
  <si>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</si>
  <si>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</si>
  <si>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</si>
  <si>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</si>
  <si>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</si>
  <si>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</si>
  <si>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</si>
  <si>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</si>
  <si>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</si>
  <si>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</si>
  <si>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</si>
  <si>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</si>
  <si>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</si>
  <si>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</si>
  <si>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</si>
  <si>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</si>
  <si>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</si>
  <si>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</si>
  <si>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</si>
  <si>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</si>
  <si>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</si>
  <si>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</si>
  <si>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</si>
  <si>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</si>
  <si>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</si>
  <si>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</si>
  <si>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</si>
  <si>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</si>
  <si>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</si>
  <si>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</si>
  <si>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</si>
  <si>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</si>
  <si>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</si>
  <si>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</si>
  <si>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</si>
  <si>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</si>
  <si>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</si>
  <si>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</si>
  <si>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</si>
  <si>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</si>
  <si>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</si>
  <si>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</si>
  <si>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</si>
  <si>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</si>
  <si>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</si>
  <si>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</si>
  <si>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</si>
  <si>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</si>
  <si>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</si>
  <si>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</si>
  <si>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</si>
  <si>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</si>
  <si>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</si>
  <si>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</si>
  <si>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</si>
  <si>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</si>
  <si>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</si>
  <si>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</si>
  <si>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</si>
  <si>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</si>
  <si>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</si>
  <si>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</si>
  <si>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</si>
  <si>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</si>
  <si>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</si>
  <si>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</si>
  <si>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</si>
  <si>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</si>
  <si>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</si>
  <si>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</si>
  <si>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</si>
  <si>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</si>
  <si>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</si>
  <si>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</si>
  <si>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</si>
  <si>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</si>
  <si>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</si>
  <si>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</si>
  <si>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</si>
  <si>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</si>
  <si>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</si>
  <si>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</si>
  <si>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</si>
  <si>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</si>
  <si>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</si>
  <si>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</si>
  <si>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</si>
  <si>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</si>
  <si>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</si>
  <si>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</si>
  <si>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</si>
  <si>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</si>
  <si>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</si>
  <si>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</si>
  <si>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</si>
  <si>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</si>
  <si>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</si>
  <si>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</si>
  <si>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</si>
  <si>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</si>
  <si>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</si>
  <si>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</si>
  <si>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</si>
  <si>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</si>
  <si>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</si>
  <si>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</si>
  <si>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</si>
  <si>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</si>
  <si>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</si>
  <si>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</si>
  <si>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</si>
  <si>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</si>
  <si>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</si>
  <si>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</si>
  <si>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</si>
  <si>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</si>
  <si>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</si>
  <si>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</si>
  <si>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</si>
  <si>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</si>
  <si>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</si>
  <si>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</si>
  <si>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</si>
  <si>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</si>
  <si>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</si>
  <si>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</si>
  <si>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</si>
  <si>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</si>
  <si>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</si>
  <si>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</si>
  <si>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</si>
  <si>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</si>
  <si>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</si>
  <si>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</si>
  <si>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</si>
  <si>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</si>
  <si>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</si>
  <si>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</si>
  <si>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</si>
  <si>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</si>
  <si>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</si>
  <si>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</si>
  <si>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</si>
  <si>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</si>
  <si>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</si>
  <si>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</si>
  <si>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</si>
  <si>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</si>
  <si>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</si>
  <si>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</si>
  <si>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</si>
  <si>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</si>
  <si>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</si>
  <si>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</si>
  <si>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</si>
  <si>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</si>
  <si>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</si>
  <si>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</si>
  <si>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</si>
  <si>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</si>
  <si>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</si>
  <si>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</si>
  <si>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</si>
  <si>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</si>
  <si>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</si>
  <si>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</si>
  <si>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</si>
  <si>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</si>
  <si>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</si>
  <si>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</si>
  <si>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</si>
  <si>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</si>
  <si>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</si>
  <si>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</si>
  <si>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</si>
  <si>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</si>
  <si>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</si>
  <si>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</si>
  <si>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</si>
  <si>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</si>
  <si>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</si>
  <si>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</si>
  <si>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</si>
  <si>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</si>
  <si>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</si>
  <si>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</si>
  <si>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</si>
  <si>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</si>
  <si>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</si>
  <si>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</si>
  <si>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</si>
  <si>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</si>
  <si>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郑燚</t>
  </si>
  <si>
    <t>王萌</t>
  </si>
  <si>
    <t>河北旭嘉房地产开发有限公司</t>
    <phoneticPr fontId="6" type="noConversion"/>
  </si>
  <si>
    <t>抵押</t>
  </si>
  <si>
    <t>房地产抵押价值</t>
  </si>
  <si>
    <t>其他：</t>
  </si>
  <si>
    <t>河北省保定市涞水县涞水镇</t>
    <phoneticPr fontId="6" type="noConversion"/>
  </si>
  <si>
    <t>企业</t>
  </si>
  <si>
    <t>出让</t>
  </si>
  <si>
    <t>住宅</t>
  </si>
  <si>
    <t>住宅</t>
    <phoneticPr fontId="6" type="noConversion"/>
  </si>
  <si>
    <t>否</t>
  </si>
  <si>
    <t>《国有土地使用权》</t>
  </si>
  <si>
    <t>居住项目</t>
  </si>
  <si>
    <t>无</t>
  </si>
  <si>
    <t>在建</t>
  </si>
  <si>
    <t>通路</t>
  </si>
  <si>
    <t>通电</t>
  </si>
  <si>
    <t>通讯</t>
  </si>
  <si>
    <t>通上水</t>
  </si>
  <si>
    <t>通下水</t>
  </si>
  <si>
    <t>通热</t>
  </si>
  <si>
    <t>燃气</t>
  </si>
  <si>
    <t>地上</t>
  </si>
  <si>
    <t>平层住宅</t>
  </si>
  <si>
    <t>是</t>
  </si>
  <si>
    <t>底商</t>
  </si>
  <si>
    <t>其他省市请录依据文件名称：《河北省城镇土地使用税实施办法》（省政府令[2007]第9号）</t>
    <phoneticPr fontId="3" type="noConversion"/>
  </si>
  <si>
    <t>北京</t>
    <phoneticPr fontId="3" type="noConversion"/>
  </si>
  <si>
    <t>其他普通商品住宅用地</t>
  </si>
  <si>
    <t>其他普通商品住宅用地</t>
    <phoneticPr fontId="31" type="noConversion"/>
  </si>
  <si>
    <t>高速路</t>
    <phoneticPr fontId="31" type="noConversion"/>
  </si>
  <si>
    <t>快速路</t>
    <phoneticPr fontId="31" type="noConversion"/>
  </si>
  <si>
    <t>主干道</t>
  </si>
  <si>
    <t>主干道</t>
    <phoneticPr fontId="31" type="noConversion"/>
  </si>
  <si>
    <t>次干道</t>
  </si>
  <si>
    <t>次干道</t>
    <phoneticPr fontId="31" type="noConversion"/>
  </si>
  <si>
    <t>支路</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</si>
  <si>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</si>
  <si>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</si>
  <si>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</si>
  <si>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</si>
  <si>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</si>
  <si>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好</t>
    <phoneticPr fontId="31" type="noConversion"/>
  </si>
  <si>
    <t>较好</t>
  </si>
  <si>
    <t>较好</t>
    <phoneticPr fontId="31" type="noConversion"/>
  </si>
  <si>
    <t>一般</t>
  </si>
  <si>
    <t>一般</t>
    <phoneticPr fontId="31" type="noConversion"/>
  </si>
  <si>
    <t>较差</t>
  </si>
  <si>
    <t>较差</t>
    <phoneticPr fontId="31" type="noConversion"/>
  </si>
  <si>
    <t>差</t>
  </si>
  <si>
    <t>差</t>
    <phoneticPr fontId="31" type="noConversion"/>
  </si>
  <si>
    <t>七通</t>
  </si>
  <si>
    <t>七通</t>
    <phoneticPr fontId="31" type="noConversion"/>
  </si>
  <si>
    <t>六通</t>
    <phoneticPr fontId="31" type="noConversion"/>
  </si>
  <si>
    <t>五通</t>
    <phoneticPr fontId="31" type="noConversion"/>
  </si>
  <si>
    <t>四通</t>
    <phoneticPr fontId="31" type="noConversion"/>
  </si>
  <si>
    <t>三通</t>
    <phoneticPr fontId="31" type="noConversion"/>
  </si>
  <si>
    <r>
      <rPr>
        <sz val="11"/>
        <color indexed="8"/>
        <rFont val="宋体"/>
        <family val="3"/>
        <charset val="134"/>
      </rPr>
      <t>住宅</t>
    </r>
    <r>
      <rPr>
        <sz val="11"/>
        <color indexed="8"/>
        <rFont val="Arial"/>
        <family val="2"/>
      </rPr>
      <t>70</t>
    </r>
    <r>
      <rPr>
        <sz val="11"/>
        <color indexed="8"/>
        <rFont val="宋体"/>
        <family val="3"/>
        <charset val="134"/>
      </rPr>
      <t>年，商业</t>
    </r>
    <r>
      <rPr>
        <sz val="11"/>
        <color indexed="8"/>
        <rFont val="Arial"/>
        <family val="2"/>
      </rPr>
      <t>40</t>
    </r>
    <r>
      <rPr>
        <sz val="11"/>
        <color indexed="8"/>
        <rFont val="宋体"/>
        <family val="3"/>
        <charset val="134"/>
      </rPr>
      <t>年</t>
    </r>
    <phoneticPr fontId="31" type="noConversion"/>
  </si>
  <si>
    <t>2017-016-3</t>
    <phoneticPr fontId="3" type="noConversion"/>
  </si>
  <si>
    <t>涞水县太行路西侧、府前街南侧</t>
    <phoneticPr fontId="3" type="noConversion"/>
  </si>
  <si>
    <t>正常</t>
  </si>
  <si>
    <t>单面临街</t>
  </si>
  <si>
    <t>双面临街</t>
  </si>
  <si>
    <t>保定监测指标情况一览表</t>
  </si>
  <si>
    <t>时间</t>
  </si>
  <si>
    <t>水平值</t>
  </si>
  <si>
    <t>环比增长率</t>
  </si>
  <si>
    <t>指数</t>
  </si>
  <si>
    <t>2017-012</t>
    <phoneticPr fontId="3" type="noConversion"/>
  </si>
  <si>
    <t>涞水县文汇街南侧、祖逖路东侧</t>
    <phoneticPr fontId="3" type="noConversion"/>
  </si>
  <si>
    <t>2017-010-2</t>
    <phoneticPr fontId="3" type="noConversion"/>
  </si>
  <si>
    <t>涞水县祖逖路西侧、府前街南侧</t>
    <phoneticPr fontId="3" type="noConversion"/>
  </si>
  <si>
    <t>成本法</t>
  </si>
  <si>
    <t>在建（套用方法）</t>
  </si>
  <si>
    <t>钢混</t>
  </si>
  <si>
    <t>非生产用房</t>
  </si>
  <si>
    <t>押一</t>
  </si>
  <si>
    <t>独栋别墅</t>
    <phoneticPr fontId="25" type="noConversion"/>
  </si>
  <si>
    <t>联排别墅</t>
    <phoneticPr fontId="25" type="noConversion"/>
  </si>
  <si>
    <t>钢混</t>
    <phoneticPr fontId="25" type="noConversion"/>
  </si>
  <si>
    <t>混合</t>
    <phoneticPr fontId="25" type="noConversion"/>
  </si>
  <si>
    <t>砖</t>
    <phoneticPr fontId="25" type="noConversion"/>
  </si>
  <si>
    <t>高档</t>
  </si>
  <si>
    <t>高档</t>
    <phoneticPr fontId="25" type="noConversion"/>
  </si>
  <si>
    <t>中档</t>
  </si>
  <si>
    <t>中档</t>
    <phoneticPr fontId="25" type="noConversion"/>
  </si>
  <si>
    <t>低档</t>
    <phoneticPr fontId="25" type="noConversion"/>
  </si>
  <si>
    <t>精装修</t>
  </si>
  <si>
    <t>精装修</t>
    <phoneticPr fontId="25" type="noConversion"/>
  </si>
  <si>
    <t>普通装修</t>
  </si>
  <si>
    <t>普通装修</t>
    <phoneticPr fontId="25" type="noConversion"/>
  </si>
  <si>
    <t>毛坯</t>
  </si>
  <si>
    <t>毛坯</t>
    <phoneticPr fontId="25" type="noConversion"/>
  </si>
  <si>
    <t>专业</t>
  </si>
  <si>
    <t>专业</t>
    <phoneticPr fontId="25" type="noConversion"/>
  </si>
  <si>
    <t>非专业</t>
    <phoneticPr fontId="25" type="noConversion"/>
  </si>
  <si>
    <t>滨河.新东城</t>
    <phoneticPr fontId="3" type="noConversion"/>
  </si>
  <si>
    <t>北京恒大京南半岛</t>
    <phoneticPr fontId="3" type="noConversion"/>
  </si>
  <si>
    <t>住宅</t>
    <phoneticPr fontId="25" type="noConversion"/>
  </si>
  <si>
    <t>60-70（含）</t>
  </si>
  <si>
    <t>七通</t>
    <phoneticPr fontId="25" type="noConversion"/>
  </si>
  <si>
    <t>六通</t>
    <phoneticPr fontId="25" type="noConversion"/>
  </si>
  <si>
    <t>五通</t>
    <phoneticPr fontId="25" type="noConversion"/>
  </si>
  <si>
    <t>四通</t>
    <phoneticPr fontId="25" type="noConversion"/>
  </si>
  <si>
    <t>三通</t>
    <phoneticPr fontId="25" type="noConversion"/>
  </si>
  <si>
    <t>80-120</t>
    <phoneticPr fontId="25" type="noConversion"/>
  </si>
  <si>
    <t>120-200</t>
    <phoneticPr fontId="25" type="noConversion"/>
  </si>
  <si>
    <t>高层电梯房</t>
  </si>
  <si>
    <t>高层电梯房</t>
    <phoneticPr fontId="25" type="noConversion"/>
  </si>
  <si>
    <t>小高层电梯房</t>
    <phoneticPr fontId="25" type="noConversion"/>
  </si>
  <si>
    <t>无电梯房</t>
    <phoneticPr fontId="25" type="noConversion"/>
  </si>
  <si>
    <t>鹏渤印象城·中央公园</t>
    <phoneticPr fontId="3" type="noConversion"/>
  </si>
  <si>
    <t>文成时代</t>
    <phoneticPr fontId="3" type="noConversion"/>
  </si>
  <si>
    <t>涞水镇西关大街北侧</t>
    <phoneticPr fontId="3" type="noConversion"/>
  </si>
  <si>
    <t>涞水镇府前街西侧聚秀公园旁</t>
    <phoneticPr fontId="3" type="noConversion"/>
  </si>
  <si>
    <t>涞水镇京昆高速涞水出口东行800米</t>
    <phoneticPr fontId="3" type="noConversion"/>
  </si>
  <si>
    <r>
      <rPr>
        <sz val="12"/>
        <color theme="9" tint="-0.249977111117893"/>
        <rFont val="宋体"/>
        <family val="3"/>
        <charset val="134"/>
      </rPr>
      <t>府前街</t>
    </r>
    <r>
      <rPr>
        <sz val="12"/>
        <color theme="9" tint="-0.249977111117893"/>
        <rFont val="Arial"/>
        <family val="2"/>
      </rPr>
      <t>2</t>
    </r>
    <r>
      <rPr>
        <sz val="12"/>
        <color theme="9" tint="-0.249977111117893"/>
        <rFont val="宋体"/>
        <family val="3"/>
        <charset val="134"/>
      </rPr>
      <t>号桥北侧</t>
    </r>
    <r>
      <rPr>
        <sz val="12"/>
        <color theme="9" tint="-0.249977111117893"/>
        <rFont val="Arial"/>
        <family val="2"/>
      </rPr>
      <t>6A#</t>
    </r>
    <phoneticPr fontId="6" type="noConversion"/>
  </si>
  <si>
    <t>商业34.44年</t>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</si>
  <si>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冀（</t>
    </r>
    <r>
      <rPr>
        <sz val="12"/>
        <color theme="9" tint="-0.249977111117893"/>
        <rFont val="Arial"/>
        <family val="2"/>
      </rPr>
      <t>2017</t>
    </r>
    <r>
      <rPr>
        <sz val="12"/>
        <color theme="9" tint="-0.249977111117893"/>
        <rFont val="宋体"/>
        <family val="3"/>
        <charset val="134"/>
      </rPr>
      <t>）涞水县不动产权第</t>
    </r>
    <r>
      <rPr>
        <sz val="12"/>
        <color theme="9" tint="-0.249977111117893"/>
        <rFont val="Arial"/>
        <family val="2"/>
      </rPr>
      <t>0001069</t>
    </r>
    <r>
      <rPr>
        <sz val="12"/>
        <color theme="9" tint="-0.249977111117893"/>
        <rFont val="宋体"/>
        <family val="3"/>
        <charset val="134"/>
      </rPr>
      <t>号</t>
    </r>
    <r>
      <rPr>
        <sz val="12"/>
        <color theme="9" tint="-0.249977111117893"/>
        <rFont val="Arial"/>
        <family val="2"/>
      </rPr>
      <t>]</t>
    </r>
    <phoneticPr fontId="6" type="noConversion"/>
  </si>
  <si>
    <t>《不动产权证书》[冀（2017）涞水县不动产权第0001069号]</t>
    <phoneticPr fontId="6" type="noConversion"/>
  </si>
  <si>
    <t>成新度</t>
  </si>
  <si>
    <t>商业</t>
    <phoneticPr fontId="31" type="noConversion"/>
  </si>
  <si>
    <t>30-40（含）</t>
  </si>
  <si>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</si>
  <si>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</si>
  <si>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1-2</t>
    </r>
    <r>
      <rPr>
        <sz val="11"/>
        <color indexed="8"/>
        <rFont val="宋体"/>
        <family val="3"/>
        <charset val="134"/>
      </rPr>
      <t>层</t>
    </r>
    <phoneticPr fontId="31" type="noConversion"/>
  </si>
  <si>
    <r>
      <t>3</t>
    </r>
    <r>
      <rPr>
        <sz val="11"/>
        <color indexed="8"/>
        <rFont val="宋体"/>
        <family val="3"/>
        <charset val="134"/>
      </rPr>
      <t>层</t>
    </r>
    <phoneticPr fontId="31" type="noConversion"/>
  </si>
  <si>
    <r>
      <t>4</t>
    </r>
    <r>
      <rPr>
        <sz val="11"/>
        <color indexed="8"/>
        <rFont val="宋体"/>
        <family val="3"/>
        <charset val="134"/>
      </rPr>
      <t>层</t>
    </r>
    <phoneticPr fontId="31" type="noConversion"/>
  </si>
  <si>
    <t>综合体商业</t>
    <phoneticPr fontId="31" type="noConversion"/>
  </si>
  <si>
    <t>商业街商业</t>
    <phoneticPr fontId="31" type="noConversion"/>
  </si>
  <si>
    <t>住宅底商</t>
  </si>
  <si>
    <t>住宅底商</t>
    <phoneticPr fontId="31" type="noConversion"/>
  </si>
  <si>
    <t>钢混</t>
    <phoneticPr fontId="31" type="noConversion"/>
  </si>
  <si>
    <t>混合</t>
    <phoneticPr fontId="31" type="noConversion"/>
  </si>
  <si>
    <t>砖</t>
    <phoneticPr fontId="31" type="noConversion"/>
  </si>
  <si>
    <t>精装修</t>
    <phoneticPr fontId="31" type="noConversion"/>
  </si>
  <si>
    <t>普通装修</t>
    <phoneticPr fontId="31" type="noConversion"/>
  </si>
  <si>
    <t>毛坯</t>
    <phoneticPr fontId="31" type="noConversion"/>
  </si>
  <si>
    <t>挑高层高</t>
  </si>
  <si>
    <t>挑高层高</t>
    <phoneticPr fontId="31" type="noConversion"/>
  </si>
  <si>
    <t>标准层高</t>
  </si>
  <si>
    <t>标准层高</t>
    <phoneticPr fontId="31" type="noConversion"/>
  </si>
  <si>
    <t>局部精装修</t>
    <phoneticPr fontId="31" type="noConversion"/>
  </si>
  <si>
    <t>毛坯</t>
    <phoneticPr fontId="31" type="noConversion"/>
  </si>
  <si>
    <t>可视性</t>
    <phoneticPr fontId="31" type="noConversion"/>
  </si>
  <si>
    <t>1层</t>
  </si>
  <si>
    <t>独栋商业楼</t>
  </si>
  <si>
    <t>独栋商业楼</t>
    <phoneticPr fontId="31" type="noConversion"/>
  </si>
  <si>
    <t>1-2层</t>
  </si>
  <si>
    <t>涞水县泰安路41号</t>
    <phoneticPr fontId="3" type="noConversion"/>
  </si>
  <si>
    <t>涞水县泰安路41号商铺</t>
    <phoneticPr fontId="3" type="noConversion"/>
  </si>
  <si>
    <t>售价</t>
  </si>
  <si>
    <t>总建筑面积</t>
    <phoneticPr fontId="25" type="noConversion"/>
  </si>
  <si>
    <t>单层面积</t>
    <phoneticPr fontId="25" type="noConversion"/>
  </si>
  <si>
    <t>出租面积</t>
    <phoneticPr fontId="143" type="noConversion"/>
  </si>
  <si>
    <t>收益法</t>
  </si>
  <si>
    <t>成本比率</t>
  </si>
  <si>
    <t>一层</t>
    <phoneticPr fontId="143" type="noConversion"/>
  </si>
  <si>
    <t>二层</t>
    <phoneticPr fontId="143" type="noConversion"/>
  </si>
  <si>
    <t>三层</t>
    <phoneticPr fontId="143" type="noConversion"/>
  </si>
  <si>
    <t>四层</t>
    <phoneticPr fontId="143" type="noConversion"/>
  </si>
  <si>
    <t>五层</t>
    <phoneticPr fontId="143" type="noConversion"/>
  </si>
  <si>
    <t>酒店</t>
    <phoneticPr fontId="143" type="noConversion"/>
  </si>
  <si>
    <t>办公及出租</t>
    <phoneticPr fontId="143" type="noConversion"/>
  </si>
  <si>
    <t>涞水县供销社</t>
    <phoneticPr fontId="143" type="noConversion"/>
  </si>
  <si>
    <t>小计</t>
    <phoneticPr fontId="143" type="noConversion"/>
  </si>
  <si>
    <t>合计</t>
    <phoneticPr fontId="143" type="noConversion"/>
  </si>
  <si>
    <t>位置</t>
    <phoneticPr fontId="143" type="noConversion"/>
  </si>
  <si>
    <t>年租金</t>
    <phoneticPr fontId="143" type="noConversion"/>
  </si>
  <si>
    <t>天数</t>
    <phoneticPr fontId="143" type="noConversion"/>
  </si>
  <si>
    <t>日租金</t>
    <phoneticPr fontId="143" type="noConversion"/>
  </si>
  <si>
    <t>年期</t>
    <phoneticPr fontId="143" type="noConversion"/>
  </si>
  <si>
    <r>
      <t>2</t>
    </r>
    <r>
      <rPr>
        <sz val="11"/>
        <color theme="1"/>
        <rFont val="宋体"/>
        <family val="3"/>
        <charset val="134"/>
        <scheme val="minor"/>
      </rPr>
      <t>020-1-1—2021-1-1</t>
    </r>
    <phoneticPr fontId="143" type="noConversion"/>
  </si>
  <si>
    <t>2021-1-1—2022-1-1</t>
    <phoneticPr fontId="143" type="noConversion"/>
  </si>
  <si>
    <t>2022-1-1—2023-1-1</t>
    <phoneticPr fontId="143" type="noConversion"/>
  </si>
  <si>
    <t>2023-1-1—2024-1-1</t>
    <phoneticPr fontId="143" type="noConversion"/>
  </si>
  <si>
    <t>2024-1-1—2025-1-1</t>
    <phoneticPr fontId="143" type="noConversion"/>
  </si>
  <si>
    <t>2025-1-1—2026-1-1</t>
    <phoneticPr fontId="143" type="noConversion"/>
  </si>
  <si>
    <t>2026-1-1—2027-1-1</t>
    <phoneticPr fontId="143" type="noConversion"/>
  </si>
  <si>
    <t>2027-1-1—2028-1-1</t>
    <phoneticPr fontId="143" type="noConversion"/>
  </si>
  <si>
    <t>2028-1-1—2029-1-1</t>
    <phoneticPr fontId="143" type="noConversion"/>
  </si>
  <si>
    <t>2029-1-1—2030-1-1</t>
    <phoneticPr fontId="143" type="noConversion"/>
  </si>
  <si>
    <t>2030-1-1—2031-1-1</t>
    <phoneticPr fontId="143" type="noConversion"/>
  </si>
  <si>
    <t>2031-1-1—2031-12-31</t>
    <phoneticPr fontId="143" type="noConversion"/>
  </si>
  <si>
    <t>小计</t>
    <phoneticPr fontId="143" type="noConversion"/>
  </si>
  <si>
    <t>按租金收入计税</t>
  </si>
  <si>
    <t>华鑫国际信托有限公司</t>
    <phoneticPr fontId="6" type="noConversion"/>
  </si>
  <si>
    <t>分摊土地面积</t>
    <phoneticPr fontId="143" type="noConversion"/>
  </si>
  <si>
    <t>汇金城</t>
    <phoneticPr fontId="3" type="noConversion"/>
  </si>
  <si>
    <t>涞水镇府前街西侧聚秀公园旁</t>
    <phoneticPr fontId="3" type="noConversion"/>
  </si>
  <si>
    <r>
      <t>1.</t>
    </r>
    <r>
      <rPr>
        <sz val="10"/>
        <color indexed="8"/>
        <rFont val="宋体"/>
        <family val="3"/>
        <charset val="134"/>
      </rPr>
      <t>分摊土地面积及面积情况待资料补全</t>
    </r>
    <phoneticPr fontId="8" type="noConversion"/>
  </si>
  <si>
    <t>收益法 (2)</t>
    <phoneticPr fontId="16" type="noConversion"/>
  </si>
  <si>
    <r>
      <t>2.</t>
    </r>
    <r>
      <rPr>
        <sz val="10"/>
        <color indexed="8"/>
        <rFont val="宋体"/>
        <family val="3"/>
        <charset val="134"/>
      </rPr>
      <t>分层建筑面积有误</t>
    </r>
    <phoneticPr fontId="8" type="noConversion"/>
  </si>
  <si>
    <r>
      <t>3.</t>
    </r>
    <r>
      <rPr>
        <sz val="10"/>
        <color indexed="8"/>
        <rFont val="宋体"/>
        <family val="3"/>
        <charset val="134"/>
      </rPr>
      <t>先汇总再加权</t>
    </r>
    <phoneticPr fontId="8" type="noConversion"/>
  </si>
  <si>
    <t>现房</t>
  </si>
  <si>
    <t>项目全部</t>
  </si>
  <si>
    <t>典型户型修正</t>
    <phoneticPr fontId="16" type="noConversion"/>
  </si>
  <si>
    <t>有租约</t>
  </si>
  <si>
    <t>无租约</t>
  </si>
  <si>
    <t>收益法 (承租人权益)</t>
    <phoneticPr fontId="16" type="noConversion"/>
  </si>
  <si>
    <t>正常平均租金</t>
    <phoneticPr fontId="143" type="noConversion"/>
  </si>
  <si>
    <t>自定义</t>
  </si>
  <si>
    <t>1层</t>
    <phoneticPr fontId="3" type="noConversion"/>
  </si>
  <si>
    <t>其余</t>
    <phoneticPr fontId="3" type="noConversion"/>
  </si>
  <si>
    <t>1层</t>
    <phoneticPr fontId="7" type="noConversion"/>
  </si>
  <si>
    <t>其余</t>
    <phoneticPr fontId="7" type="noConversion"/>
  </si>
  <si>
    <t>比较法-商业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</si>
</sst>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78B43C"/>
      <name val="宋体"/>
      <family val="3"/>
      <charset val="134"/>
      <scheme val="minor"/>
    </font>
    <font>
      <sz val="11"/>
      <color rgb="FF313131"/>
      <name val="宋体"/>
      <family val="3"/>
      <charset val="134"/>
      <scheme val="minor"/>
    </font>
    <font>
      <sz val="9"/>
      <color rgb="FF2E2E2E"/>
      <name val="微软雅黑"/>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AE8E8"/>
        <bgColor indexed="64"/>
      </patternFill>
    </fill>
    <fill>
      <patternFill patternType="solid">
        <fgColor rgb="FFF1F1F1"/>
        <bgColor indexed="64"/>
      </patternFill>
    </fill>
    <fill>
      <patternFill patternType="solid">
        <fgColor rgb="FF00B0F0"/>
        <bgColor indexed="64"/>
      </patternFill>
    </fill>
  </fills>
  <borders count="15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4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49" fontId="231" fillId="0" borderId="4" xfId="0" applyNumberFormat="1" applyFont="1" applyFill="1" applyBorder="1" applyAlignment="1" applyProtection="1">
      <alignment horizontal="left" vertical="center"/>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wrapText="1"/>
      <protection locked="0"/>
    </xf>
    <xf numFmtId="0" fontId="191" fillId="7" borderId="60" xfId="0" applyFont="1" applyFill="1" applyBorder="1" applyAlignment="1" applyProtection="1">
      <alignment vertical="center" wrapText="1"/>
      <protection locked="0"/>
    </xf>
    <xf numFmtId="0" fontId="137" fillId="6" borderId="0" xfId="0" applyFont="1" applyFill="1" applyAlignment="1" applyProtection="1">
      <alignment horizontal="center" vertical="center"/>
      <protection locked="0"/>
    </xf>
    <xf numFmtId="177" fontId="80" fillId="0" borderId="1" xfId="1" applyNumberFormat="1" applyFont="1" applyFill="1" applyBorder="1" applyAlignment="1" applyProtection="1">
      <alignment vertical="center"/>
      <protection locked="0" hidden="1"/>
    </xf>
    <xf numFmtId="0" fontId="244" fillId="6" borderId="0" xfId="0" applyFont="1" applyFill="1" applyAlignment="1" applyProtection="1">
      <alignment vertical="center"/>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5" fillId="0" borderId="0" xfId="0" applyFont="1" applyAlignment="1">
      <alignment horizontal="center" vertical="center"/>
    </xf>
    <xf numFmtId="0" fontId="256" fillId="16" borderId="156" xfId="0" applyFont="1" applyFill="1" applyBorder="1" applyAlignment="1">
      <alignment horizontal="center"/>
    </xf>
    <xf numFmtId="0" fontId="256" fillId="16" borderId="157" xfId="0" applyFont="1" applyFill="1" applyBorder="1" applyAlignment="1">
      <alignment horizontal="center"/>
    </xf>
    <xf numFmtId="0" fontId="99" fillId="0" borderId="0" xfId="0" applyFont="1" applyAlignment="1">
      <alignment horizontal="left" vertical="center" wrapText="1"/>
    </xf>
    <xf numFmtId="0" fontId="0" fillId="0" borderId="158" xfId="0" applyBorder="1" applyAlignment="1">
      <alignment horizontal="right" vertical="center" wrapText="1"/>
    </xf>
    <xf numFmtId="0" fontId="99" fillId="0" borderId="158" xfId="0" applyFont="1" applyBorder="1" applyAlignment="1">
      <alignment horizontal="right" vertical="center" wrapText="1"/>
    </xf>
    <xf numFmtId="0" fontId="99" fillId="17" borderId="0" xfId="0" applyFont="1" applyFill="1" applyAlignment="1">
      <alignment horizontal="left" vertical="center" wrapText="1"/>
    </xf>
    <xf numFmtId="0" fontId="0" fillId="17" borderId="158" xfId="0" applyFill="1" applyBorder="1" applyAlignment="1">
      <alignment horizontal="right" vertical="center" wrapText="1"/>
    </xf>
    <xf numFmtId="0" fontId="99" fillId="17" borderId="158" xfId="0" applyFont="1" applyFill="1" applyBorder="1" applyAlignment="1">
      <alignment horizontal="right" vertical="center" wrapText="1"/>
    </xf>
    <xf numFmtId="0" fontId="257" fillId="13" borderId="0" xfId="0" applyFont="1" applyFill="1" applyAlignment="1">
      <alignment horizontal="left" vertical="center" wrapText="1"/>
    </xf>
    <xf numFmtId="0" fontId="257" fillId="13" borderId="158" xfId="0" applyFont="1" applyFill="1" applyBorder="1" applyAlignment="1">
      <alignment horizontal="right" vertical="center" wrapText="1"/>
    </xf>
    <xf numFmtId="0" fontId="137" fillId="0" borderId="51" xfId="0" applyNumberFormat="1" applyFont="1" applyFill="1" applyBorder="1" applyAlignment="1" applyProtection="1">
      <alignment horizontal="center" vertical="center" wrapText="1"/>
      <protection locked="0"/>
    </xf>
    <xf numFmtId="0" fontId="54" fillId="7" borderId="44" xfId="0" applyNumberFormat="1" applyFont="1" applyFill="1" applyBorder="1" applyAlignment="1" applyProtection="1">
      <alignment horizontal="center" vertical="center" wrapText="1"/>
      <protection locked="0"/>
    </xf>
    <xf numFmtId="0" fontId="47" fillId="7" borderId="4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93" fillId="0" borderId="1" xfId="0" applyFont="1" applyFill="1" applyBorder="1" applyAlignment="1" applyProtection="1">
      <alignment horizontal="center" vertical="center"/>
      <protection locked="0"/>
    </xf>
    <xf numFmtId="0" fontId="80" fillId="7" borderId="0" xfId="0" applyFont="1" applyFill="1" applyAlignment="1" applyProtection="1">
      <alignment horizontal="center" vertical="center" wrapText="1"/>
      <protection locked="0"/>
    </xf>
    <xf numFmtId="0" fontId="193" fillId="7" borderId="0" xfId="0" applyFont="1" applyFill="1" applyProtection="1">
      <alignment vertical="center"/>
      <protection locked="0"/>
    </xf>
    <xf numFmtId="0" fontId="99" fillId="0" borderId="0" xfId="0" applyFont="1">
      <alignment vertical="center"/>
    </xf>
    <xf numFmtId="14" fontId="0" fillId="0" borderId="0" xfId="0" applyNumberFormat="1">
      <alignment vertical="center"/>
    </xf>
    <xf numFmtId="0" fontId="80" fillId="0" borderId="1" xfId="0" applyFont="1" applyBorder="1" applyAlignment="1" applyProtection="1">
      <alignment vertical="center" wrapText="1"/>
      <protection locked="0"/>
    </xf>
    <xf numFmtId="0" fontId="99" fillId="0" borderId="1" xfId="0" applyFont="1" applyBorder="1">
      <alignment vertical="center"/>
    </xf>
    <xf numFmtId="0" fontId="0" fillId="0" borderId="1" xfId="0" applyBorder="1">
      <alignment vertical="center"/>
    </xf>
    <xf numFmtId="0" fontId="99" fillId="0" borderId="1" xfId="0" applyFont="1" applyFill="1" applyBorder="1">
      <alignment vertical="center"/>
    </xf>
    <xf numFmtId="0" fontId="50" fillId="6" borderId="32"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54"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6" xfId="0" applyFont="1" applyFill="1" applyBorder="1" applyAlignment="1" applyProtection="1">
      <alignment horizontal="left" vertical="center"/>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191" fillId="7" borderId="5" xfId="0" applyFont="1" applyFill="1" applyBorder="1" applyAlignment="1" applyProtection="1">
      <alignment vertical="center"/>
      <protection locked="0"/>
    </xf>
    <xf numFmtId="49" fontId="50" fillId="6" borderId="6" xfId="0" applyNumberFormat="1" applyFont="1" applyFill="1" applyBorder="1" applyAlignment="1" applyProtection="1">
      <alignment horizontal="center"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right" vertical="center" wrapText="1"/>
    </xf>
    <xf numFmtId="0" fontId="50" fillId="6" borderId="21" xfId="0" applyFont="1" applyFill="1" applyBorder="1" applyAlignment="1" applyProtection="1">
      <alignment horizontal="center" vertical="center" wrapText="1"/>
    </xf>
    <xf numFmtId="49" fontId="55" fillId="6" borderId="11" xfId="0" applyNumberFormat="1" applyFont="1" applyFill="1" applyBorder="1" applyAlignment="1" applyProtection="1">
      <alignment vertical="center" wrapText="1"/>
    </xf>
    <xf numFmtId="0" fontId="50" fillId="6" borderId="4" xfId="0" applyFont="1" applyFill="1" applyBorder="1" applyAlignment="1" applyProtection="1">
      <alignment horizontal="right" vertical="center" wrapText="1"/>
    </xf>
    <xf numFmtId="49" fontId="50" fillId="6" borderId="11" xfId="0" applyNumberFormat="1" applyFont="1" applyFill="1" applyBorder="1" applyAlignment="1" applyProtection="1">
      <alignment horizontal="left" vertical="center" wrapText="1"/>
    </xf>
    <xf numFmtId="0" fontId="55" fillId="6" borderId="22" xfId="0" applyFont="1" applyFill="1" applyBorder="1" applyAlignment="1" applyProtection="1">
      <alignment horizontal="center" vertical="center" wrapText="1"/>
    </xf>
    <xf numFmtId="0" fontId="50" fillId="6" borderId="13" xfId="0" applyFont="1" applyFill="1" applyBorder="1" applyAlignment="1" applyProtection="1">
      <alignment vertical="center" wrapText="1"/>
    </xf>
    <xf numFmtId="0" fontId="55" fillId="6" borderId="24" xfId="0" applyFont="1" applyFill="1" applyBorder="1" applyAlignment="1" applyProtection="1">
      <alignment horizontal="center" vertical="center" wrapText="1"/>
    </xf>
    <xf numFmtId="49" fontId="50" fillId="6" borderId="35"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center" vertical="center" wrapText="1"/>
    </xf>
    <xf numFmtId="0" fontId="50" fillId="6" borderId="15" xfId="0" applyFont="1" applyFill="1" applyBorder="1" applyAlignment="1" applyProtection="1">
      <alignment vertical="center" wrapText="1"/>
    </xf>
    <xf numFmtId="49" fontId="55" fillId="6" borderId="14" xfId="0" applyNumberFormat="1" applyFont="1" applyFill="1" applyBorder="1" applyAlignment="1" applyProtection="1">
      <alignment vertical="center" wrapText="1"/>
    </xf>
    <xf numFmtId="0" fontId="55" fillId="6" borderId="15" xfId="0" applyFont="1" applyFill="1" applyBorder="1" applyAlignment="1" applyProtection="1">
      <alignment horizontal="center" vertical="center" wrapText="1"/>
    </xf>
    <xf numFmtId="181" fontId="55" fillId="6" borderId="24" xfId="0" applyNumberFormat="1"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181" fontId="55" fillId="5" borderId="61" xfId="0" applyNumberFormat="1" applyFont="1" applyFill="1" applyBorder="1" applyAlignment="1" applyProtection="1">
      <alignment horizontal="center" vertical="center" wrapText="1"/>
      <protection locked="0"/>
    </xf>
    <xf numFmtId="49" fontId="55" fillId="6" borderId="41" xfId="0" applyNumberFormat="1" applyFont="1" applyFill="1" applyBorder="1" applyAlignment="1" applyProtection="1">
      <alignment vertical="center" wrapText="1"/>
    </xf>
    <xf numFmtId="0" fontId="55" fillId="6" borderId="1" xfId="0" applyFont="1" applyFill="1" applyBorder="1" applyAlignment="1" applyProtection="1">
      <alignment horizontal="center" vertical="center" wrapText="1"/>
      <protection locked="0"/>
    </xf>
    <xf numFmtId="0" fontId="120" fillId="6" borderId="15" xfId="0" applyFont="1" applyFill="1" applyBorder="1" applyAlignment="1" applyProtection="1">
      <alignment vertical="center" wrapText="1"/>
    </xf>
    <xf numFmtId="181" fontId="55" fillId="6" borderId="61" xfId="0" applyNumberFormat="1" applyFont="1" applyFill="1" applyBorder="1" applyAlignment="1" applyProtection="1">
      <alignment horizontal="center" vertical="center" wrapText="1"/>
    </xf>
    <xf numFmtId="49" fontId="50" fillId="6" borderId="91" xfId="0" applyNumberFormat="1" applyFont="1" applyFill="1" applyBorder="1" applyAlignment="1" applyProtection="1">
      <alignment vertical="center" wrapText="1"/>
    </xf>
    <xf numFmtId="0" fontId="55" fillId="0" borderId="78" xfId="0" applyFont="1" applyFill="1" applyBorder="1" applyAlignment="1" applyProtection="1">
      <alignment horizontal="center" vertical="center" wrapText="1"/>
      <protection locked="0"/>
    </xf>
    <xf numFmtId="0" fontId="50" fillId="6" borderId="78" xfId="0" applyFont="1" applyFill="1" applyBorder="1" applyAlignment="1" applyProtection="1">
      <alignment vertical="center" wrapText="1"/>
    </xf>
    <xf numFmtId="181" fontId="55" fillId="6" borderId="79" xfId="0" applyNumberFormat="1" applyFont="1" applyFill="1" applyBorder="1" applyAlignment="1" applyProtection="1">
      <alignment horizontal="center" vertical="center" wrapText="1"/>
    </xf>
    <xf numFmtId="49" fontId="55" fillId="6" borderId="4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181" fontId="50" fillId="6" borderId="53" xfId="0" applyNumberFormat="1" applyFont="1" applyFill="1" applyBorder="1" applyAlignment="1" applyProtection="1">
      <alignment horizontal="center" vertical="center" wrapText="1"/>
    </xf>
    <xf numFmtId="179" fontId="55" fillId="6" borderId="48" xfId="0" applyNumberFormat="1" applyFont="1" applyFill="1" applyBorder="1" applyAlignment="1" applyProtection="1">
      <alignment horizontal="center" vertical="center" wrapText="1"/>
    </xf>
    <xf numFmtId="181" fontId="50" fillId="6" borderId="8" xfId="0" applyNumberFormat="1" applyFont="1" applyFill="1" applyBorder="1" applyAlignment="1" applyProtection="1">
      <alignment horizontal="center" vertical="center" wrapText="1"/>
    </xf>
    <xf numFmtId="181" fontId="50" fillId="6" borderId="24" xfId="0" applyNumberFormat="1" applyFont="1" applyFill="1" applyBorder="1" applyAlignment="1" applyProtection="1">
      <alignment horizontal="center" vertical="center" wrapText="1"/>
    </xf>
    <xf numFmtId="0" fontId="50" fillId="6" borderId="48" xfId="0" applyFont="1" applyFill="1" applyBorder="1" applyAlignment="1" applyProtection="1">
      <alignment horizontal="center" vertical="center" wrapText="1"/>
    </xf>
    <xf numFmtId="0" fontId="50" fillId="6" borderId="5" xfId="0" applyFont="1" applyFill="1" applyBorder="1" applyAlignment="1" applyProtection="1">
      <alignment vertical="center" wrapText="1"/>
    </xf>
    <xf numFmtId="0" fontId="50" fillId="6" borderId="24" xfId="0" applyFont="1" applyFill="1" applyBorder="1" applyAlignment="1" applyProtection="1">
      <alignment horizontal="center" vertical="center" wrapText="1"/>
    </xf>
    <xf numFmtId="10" fontId="50" fillId="6" borderId="24" xfId="0" applyNumberFormat="1" applyFont="1" applyFill="1" applyBorder="1" applyAlignment="1" applyProtection="1">
      <alignment horizontal="center" vertical="center" wrapText="1"/>
    </xf>
    <xf numFmtId="49" fontId="50" fillId="6" borderId="91" xfId="0" applyNumberFormat="1" applyFont="1" applyFill="1" applyBorder="1" applyAlignment="1" applyProtection="1">
      <alignment horizontal="left" vertical="center" wrapText="1"/>
    </xf>
    <xf numFmtId="0" fontId="50" fillId="6" borderId="78" xfId="0" applyFont="1" applyFill="1" applyBorder="1" applyAlignment="1" applyProtection="1">
      <alignment horizontal="center" vertical="center" wrapText="1"/>
    </xf>
    <xf numFmtId="181" fontId="50" fillId="6" borderId="79" xfId="0" applyNumberFormat="1" applyFont="1" applyFill="1" applyBorder="1" applyAlignment="1" applyProtection="1">
      <alignment horizontal="center" vertical="center" wrapText="1"/>
    </xf>
    <xf numFmtId="49" fontId="50" fillId="6" borderId="7" xfId="0" applyNumberFormat="1" applyFont="1" applyFill="1" applyBorder="1" applyAlignment="1" applyProtection="1">
      <alignment vertical="center" wrapText="1"/>
    </xf>
    <xf numFmtId="0" fontId="50" fillId="6" borderId="7" xfId="0" applyFont="1" applyFill="1" applyBorder="1" applyAlignment="1" applyProtection="1">
      <alignment vertical="center" wrapText="1"/>
    </xf>
    <xf numFmtId="49" fontId="50" fillId="6" borderId="41" xfId="0" applyNumberFormat="1"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wrapText="1"/>
    </xf>
    <xf numFmtId="183" fontId="55" fillId="6" borderId="24"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79" fontId="55" fillId="6" borderId="24"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left" vertical="center" wrapText="1"/>
    </xf>
    <xf numFmtId="0" fontId="50" fillId="6" borderId="32" xfId="0" applyFont="1" applyFill="1" applyBorder="1" applyAlignment="1" applyProtection="1">
      <alignment vertical="center" wrapText="1"/>
    </xf>
    <xf numFmtId="179" fontId="55" fillId="6" borderId="49" xfId="0" applyNumberFormat="1" applyFont="1" applyFill="1" applyBorder="1" applyAlignment="1" applyProtection="1">
      <alignment horizontal="center" vertical="center" wrapText="1"/>
    </xf>
    <xf numFmtId="49" fontId="55" fillId="6" borderId="69" xfId="0" applyNumberFormat="1" applyFont="1" applyFill="1" applyBorder="1" applyAlignment="1" applyProtection="1">
      <alignment vertical="center" wrapText="1"/>
    </xf>
    <xf numFmtId="0" fontId="50" fillId="6" borderId="0" xfId="0" applyFont="1" applyFill="1" applyBorder="1" applyAlignment="1" applyProtection="1">
      <alignment vertical="center" wrapText="1"/>
    </xf>
    <xf numFmtId="181" fontId="55" fillId="6" borderId="59" xfId="0" applyNumberFormat="1" applyFont="1" applyFill="1" applyBorder="1" applyAlignment="1" applyProtection="1">
      <alignment horizontal="center" vertical="center" wrapText="1"/>
    </xf>
    <xf numFmtId="0" fontId="50" fillId="6" borderId="85" xfId="0" applyFont="1" applyFill="1" applyBorder="1" applyAlignment="1" applyProtection="1">
      <alignment vertical="center" wrapText="1"/>
    </xf>
    <xf numFmtId="181" fontId="55" fillId="6" borderId="78" xfId="0" applyNumberFormat="1"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0" fillId="6" borderId="60" xfId="0" applyFont="1" applyFill="1" applyBorder="1" applyAlignment="1" applyProtection="1">
      <alignment vertical="center" wrapText="1"/>
    </xf>
    <xf numFmtId="0" fontId="50" fillId="6" borderId="71" xfId="0" applyFont="1" applyFill="1" applyBorder="1" applyAlignment="1" applyProtection="1">
      <alignment vertical="center" wrapText="1"/>
    </xf>
    <xf numFmtId="0" fontId="50" fillId="6" borderId="48" xfId="0" applyFont="1" applyFill="1" applyBorder="1" applyAlignment="1" applyProtection="1">
      <alignment vertical="center" wrapText="1"/>
    </xf>
    <xf numFmtId="0" fontId="50" fillId="6" borderId="85" xfId="0" applyFont="1" applyFill="1" applyBorder="1" applyAlignment="1" applyProtection="1">
      <alignment horizontal="left" vertical="center" wrapText="1"/>
    </xf>
    <xf numFmtId="0" fontId="50" fillId="6" borderId="88" xfId="0" applyFont="1" applyFill="1" applyBorder="1" applyAlignment="1" applyProtection="1">
      <alignment vertical="center" wrapText="1"/>
    </xf>
    <xf numFmtId="0" fontId="50" fillId="6" borderId="90" xfId="0" applyFont="1" applyFill="1" applyBorder="1" applyAlignment="1" applyProtection="1">
      <alignment vertical="center" wrapText="1"/>
    </xf>
    <xf numFmtId="49" fontId="50" fillId="6" borderId="41" xfId="0" applyNumberFormat="1" applyFont="1" applyFill="1" applyBorder="1" applyAlignment="1" applyProtection="1">
      <alignment vertical="center" wrapText="1"/>
    </xf>
    <xf numFmtId="0" fontId="50" fillId="6" borderId="2" xfId="0" applyFont="1" applyFill="1" applyBorder="1" applyAlignment="1" applyProtection="1">
      <alignment vertical="center" wrapText="1"/>
    </xf>
    <xf numFmtId="0" fontId="50" fillId="7" borderId="0" xfId="0" applyFont="1" applyFill="1" applyBorder="1" applyAlignment="1" applyProtection="1">
      <alignment horizontal="left" vertical="center"/>
      <protection locked="0"/>
    </xf>
    <xf numFmtId="0" fontId="50" fillId="7" borderId="60" xfId="0" applyFont="1" applyFill="1" applyBorder="1" applyAlignment="1" applyProtection="1">
      <alignment vertical="center"/>
      <protection locked="0"/>
    </xf>
    <xf numFmtId="181" fontId="47" fillId="9" borderId="24" xfId="0" applyNumberFormat="1" applyFont="1" applyFill="1" applyBorder="1" applyAlignment="1" applyProtection="1">
      <alignment vertical="center"/>
      <protection locked="0"/>
    </xf>
    <xf numFmtId="181" fontId="47" fillId="9" borderId="1" xfId="0" applyNumberFormat="1" applyFont="1" applyFill="1" applyBorder="1" applyAlignment="1" applyProtection="1">
      <alignment horizontal="center" vertical="center"/>
      <protection locked="0"/>
    </xf>
    <xf numFmtId="0" fontId="47" fillId="9" borderId="23" xfId="0" applyFont="1" applyFill="1" applyBorder="1" applyAlignment="1" applyProtection="1">
      <alignment vertical="center"/>
      <protection locked="0"/>
    </xf>
    <xf numFmtId="181" fontId="47" fillId="9" borderId="1" xfId="0" applyNumberFormat="1" applyFont="1" applyFill="1" applyBorder="1" applyAlignment="1" applyProtection="1">
      <alignment vertical="center"/>
      <protection locked="0"/>
    </xf>
    <xf numFmtId="0" fontId="47" fillId="9" borderId="3" xfId="0" applyFont="1" applyFill="1" applyBorder="1" applyAlignment="1" applyProtection="1">
      <alignment vertical="center"/>
      <protection locked="0"/>
    </xf>
    <xf numFmtId="181" fontId="47" fillId="9" borderId="5" xfId="0" applyNumberFormat="1" applyFont="1" applyFill="1" applyBorder="1" applyAlignment="1" applyProtection="1">
      <alignment vertical="center"/>
      <protection locked="0"/>
    </xf>
    <xf numFmtId="10" fontId="47" fillId="9" borderId="1" xfId="0" applyNumberFormat="1" applyFont="1" applyFill="1" applyBorder="1" applyAlignment="1" applyProtection="1">
      <alignment horizontal="center" vertical="center"/>
      <protection locked="0"/>
    </xf>
    <xf numFmtId="183" fontId="47" fillId="9" borderId="1" xfId="0" applyNumberFormat="1" applyFont="1" applyFill="1" applyBorder="1" applyAlignment="1" applyProtection="1">
      <alignment horizontal="center" vertical="center"/>
      <protection locked="0"/>
    </xf>
    <xf numFmtId="181" fontId="47" fillId="9" borderId="24" xfId="0" applyNumberFormat="1" applyFont="1" applyFill="1" applyBorder="1" applyAlignment="1" applyProtection="1">
      <alignment horizontal="center" vertical="center"/>
      <protection locked="0"/>
    </xf>
    <xf numFmtId="10" fontId="56" fillId="9" borderId="49" xfId="0" applyNumberFormat="1" applyFont="1" applyFill="1" applyBorder="1" applyAlignment="1" applyProtection="1">
      <alignment horizontal="center" vertical="center"/>
      <protection locked="0"/>
    </xf>
    <xf numFmtId="0" fontId="56" fillId="9" borderId="0" xfId="0" applyFont="1" applyFill="1" applyBorder="1" applyAlignment="1" applyProtection="1">
      <alignment horizontal="center" vertical="center"/>
      <protection locked="0"/>
    </xf>
    <xf numFmtId="0" fontId="47" fillId="8" borderId="5" xfId="0" applyFont="1" applyFill="1" applyBorder="1" applyAlignment="1" applyProtection="1">
      <alignment horizontal="center" vertical="center" wrapText="1"/>
    </xf>
    <xf numFmtId="176" fontId="54" fillId="8" borderId="37" xfId="0" applyNumberFormat="1" applyFont="1" applyFill="1" applyBorder="1" applyAlignment="1" applyProtection="1">
      <alignment horizontal="center" vertical="center" wrapText="1"/>
      <protection locked="0"/>
    </xf>
    <xf numFmtId="49" fontId="54" fillId="9" borderId="23" xfId="0" applyNumberFormat="1" applyFont="1" applyFill="1" applyBorder="1" applyAlignment="1" applyProtection="1">
      <alignment horizontal="center" vertical="center" wrapText="1"/>
      <protection locked="0"/>
    </xf>
    <xf numFmtId="0" fontId="63" fillId="9" borderId="1" xfId="0" applyFont="1" applyFill="1" applyBorder="1" applyAlignment="1" applyProtection="1">
      <alignment horizontal="center" vertical="center"/>
      <protection locked="0"/>
    </xf>
    <xf numFmtId="176" fontId="104" fillId="0" borderId="44"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54"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32"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2" fontId="50" fillId="6" borderId="0" xfId="0" applyNumberFormat="1" applyFont="1" applyFill="1" applyBorder="1" applyAlignment="1" applyProtection="1">
      <alignment horizontal="left" vertical="center"/>
    </xf>
    <xf numFmtId="2" fontId="55" fillId="6" borderId="24" xfId="0" applyNumberFormat="1" applyFont="1" applyFill="1" applyBorder="1" applyAlignment="1" applyProtection="1">
      <alignment horizontal="center" vertical="center" wrapText="1"/>
    </xf>
    <xf numFmtId="2" fontId="63" fillId="6" borderId="0" xfId="0" applyNumberFormat="1" applyFont="1" applyFill="1" applyBorder="1" applyAlignment="1" applyProtection="1">
      <alignment horizontal="left" vertical="center"/>
      <protection locked="0"/>
    </xf>
    <xf numFmtId="0" fontId="50" fillId="6" borderId="0" xfId="0" applyFont="1" applyFill="1" applyBorder="1" applyAlignment="1" applyProtection="1">
      <alignment horizontal="right" vertical="center"/>
    </xf>
    <xf numFmtId="2" fontId="57" fillId="7"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horizontal="right" vertical="center"/>
      <protection locked="0"/>
    </xf>
    <xf numFmtId="0" fontId="50" fillId="7" borderId="0" xfId="0" applyFont="1" applyFill="1" applyAlignment="1" applyProtection="1">
      <alignment horizontal="right" vertical="center" wrapText="1"/>
      <protection locked="0"/>
    </xf>
    <xf numFmtId="0" fontId="63" fillId="7" borderId="0" xfId="0" applyFont="1" applyFill="1" applyAlignment="1" applyProtection="1">
      <alignment horizontal="right" vertical="center"/>
      <protection locked="0"/>
    </xf>
    <xf numFmtId="0" fontId="172" fillId="6" borderId="13" xfId="12" applyFont="1" applyFill="1" applyBorder="1" applyAlignment="1" applyProtection="1">
      <alignment horizontal="center" vertical="center" wrapText="1"/>
      <protection locked="0"/>
    </xf>
    <xf numFmtId="0" fontId="56" fillId="18" borderId="32" xfId="0" applyNumberFormat="1" applyFont="1" applyFill="1" applyBorder="1" applyAlignment="1" applyProtection="1">
      <alignment horizontal="center" vertical="center" wrapText="1"/>
      <protection locked="0"/>
    </xf>
    <xf numFmtId="177" fontId="80" fillId="18" borderId="1" xfId="1" applyNumberFormat="1" applyFont="1" applyFill="1" applyBorder="1" applyAlignment="1" applyProtection="1">
      <alignment vertical="center"/>
      <protection locked="0" hidden="1"/>
    </xf>
    <xf numFmtId="0" fontId="50" fillId="18" borderId="3" xfId="0" applyFont="1" applyFill="1" applyBorder="1" applyProtection="1">
      <alignment vertical="center"/>
      <protection locked="0"/>
    </xf>
    <xf numFmtId="0" fontId="104" fillId="18" borderId="13" xfId="0"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25"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25"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26"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49" fontId="179" fillId="0" borderId="23" xfId="0" applyNumberFormat="1" applyFont="1" applyFill="1" applyBorder="1" applyAlignment="1" applyProtection="1">
      <alignment horizontal="center" vertical="center" wrapText="1"/>
      <protection locked="0"/>
    </xf>
    <xf numFmtId="49" fontId="179" fillId="0" borderId="11" xfId="0" applyNumberFormat="1"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6" borderId="0" xfId="0" applyFont="1" applyFill="1" applyAlignment="1" applyProtection="1">
      <alignment horizontal="center" vertical="center"/>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9" fillId="0" borderId="1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1" xfId="0" applyBorder="1" applyAlignment="1">
      <alignment horizontal="center" vertic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1220</v>
      </c>
      <c r="B1" s="1588" t="s">
        <v>1299</v>
      </c>
    </row>
    <row r="2" spans="1:2" s="1593" customFormat="1" ht="15" thickTop="1">
      <c r="A2" s="1591" t="s">
        <v>1221</v>
      </c>
      <c r="B2" s="1592" t="str">
        <f>'预评函-封皮'!B37:I37</f>
        <v>河北省保定市涞水县涞水镇府前街2号桥北侧6A#房地产抵押价值预评估</v>
      </c>
    </row>
    <row r="3" spans="1:2" s="1596" customFormat="1">
      <c r="A3" s="1594" t="s">
        <v>1222</v>
      </c>
      <c r="B3" s="1595" t="str">
        <f>'预评函-封皮'!B40</f>
        <v>河北旭嘉房地产开发有限公司</v>
      </c>
    </row>
    <row r="4" spans="1:2" s="1596" customFormat="1">
      <c r="A4" s="1594" t="s">
        <v>1223</v>
      </c>
      <c r="B4" s="1595" t="str">
        <f ca="1">'预评函-封皮'!B46</f>
        <v>郑燚（注册号：1120070131)、王萌（注册号：1120130048)</v>
      </c>
    </row>
    <row r="5" spans="1:2" s="1590" customFormat="1" ht="15" thickBot="1">
      <c r="A5" s="1597" t="s">
        <v>1224</v>
      </c>
      <c r="B5" s="1598" t="str">
        <f>'预评函-封皮'!B49</f>
        <v>康正预评字号</v>
      </c>
    </row>
    <row r="6" spans="1:2" s="1593" customFormat="1" ht="15" thickTop="1">
      <c r="A6" s="1591" t="s">
        <v>1225</v>
      </c>
      <c r="B6" s="1592" t="str">
        <f>'预评函-1'!A4</f>
        <v>受贵公司委托，我公司对河北省保定市涞水县涞水镇府前街2号桥北侧6A#房地产抵押价值进行了预评估。</v>
      </c>
    </row>
    <row r="7" spans="1:2" s="1596" customFormat="1">
      <c r="A7" s="1594" t="s">
        <v>1265</v>
      </c>
      <c r="B7" s="1595" t="str">
        <f>'预评函-1'!A7</f>
        <v>估价对象为河北省保定市涞水县涞水镇府前街2号桥北侧6A#房地产，为河北旭嘉房地产开发有限公司所有。根据《不动产权证书》[冀（2017）涞水县不动产权第0001069号]，估价对象（分摊）出让国有建设用地使用权面积为2218.67平方米，建筑面积为7765.35平方米。</v>
      </c>
    </row>
    <row r="8" spans="1:2" s="1596" customFormat="1">
      <c r="A8" s="1594" t="s">
        <v>1266</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1267</v>
      </c>
      <c r="B9" s="1595" t="str">
        <f>'预评函-1'!A10</f>
        <v>估价对象为河北省保定市涞水县涞水镇府前街2号桥北侧6A#房地产,为河北旭嘉房地产开发有限公司开发建设的居住项目，该项目尚在开发建设中。根据《不动产权证书》[冀（2017）涞水县不动产权第0001069号]，估价对象（分摊）出让国有建设用地使用权面积为2218.67平方米，规划建筑面积为7765.35平方米。</v>
      </c>
    </row>
    <row r="10" spans="1:2" s="1596" customFormat="1">
      <c r="A10" s="1594" t="s">
        <v>1268</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1226</v>
      </c>
      <c r="B11" s="1595" t="str">
        <f>'预评函-1'!A13</f>
        <v>为估价委托人在向华鑫国际信托有限公司办理贷款手续过程中，确定房地产抵押贷款额度提供参考依据而评估房地产抵押价值。</v>
      </c>
    </row>
    <row r="12" spans="1:2" s="1596" customFormat="1">
      <c r="A12" s="1594" t="s">
        <v>1227</v>
      </c>
      <c r="B12" s="1595" t="str">
        <f>'预评函-1'!A15</f>
        <v>2017年11月10日（评估专业人员实地查勘之日）</v>
      </c>
    </row>
    <row r="13" spans="1:2" s="1596" customFormat="1">
      <c r="A13" s="1594" t="s">
        <v>1228</v>
      </c>
      <c r="B13" s="1595" t="str">
        <f>'预评函-1'!A18</f>
        <v>本次估价的“房地产价值”是指在正常市场情况下，在价值时点2017年11月10日，估价对象规划用途为住宅，土地取得方式为出让，出让国有建设用地使用权剩余土地使用年限为商业34.44年，假定未设立法定优先受偿款下的房地产市场价值。</v>
      </c>
    </row>
    <row r="14" spans="1:2" s="1596" customFormat="1">
      <c r="A14" s="1594" t="s">
        <v>1229</v>
      </c>
      <c r="B14" s="1595" t="str">
        <f>'预评函-1'!A19</f>
        <v>其中，“出让国有建设用地使用权价值”是指估价对象用途为住宅，实际开发程度为宗地红线外“七通”（即通路、通电、通讯、通上水、通下水、通热、燃气）、红线内场地平整条件下，剩余土地使用年限为商业34.44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1230</v>
      </c>
      <c r="B15" s="1595" t="str">
        <f>'预评函-1'!A20</f>
        <v>本次估价的“房地产抵押价值”是指估价对象在价值时点的“房地产价值”扣减估价师于价值时点所知悉的法定优先受偿款后的余额。</v>
      </c>
    </row>
    <row r="16" spans="1:2" s="1596" customFormat="1">
      <c r="A16" s="1594" t="s">
        <v>1231</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1232</v>
      </c>
      <c r="B17" s="1595" t="str">
        <f>'预评函-1'!A22</f>
        <v/>
      </c>
    </row>
    <row r="18" spans="1:2" s="1590" customFormat="1" ht="15" thickBot="1">
      <c r="A18" s="1597" t="s">
        <v>1233</v>
      </c>
      <c r="B18" s="1598" t="str">
        <f>'预评函-1'!A24</f>
        <v>本次评估采用的主估价方法为收益法和比较法。</v>
      </c>
    </row>
    <row r="19" spans="1:2" s="1593" customFormat="1" ht="15" thickTop="1">
      <c r="A19" s="1591" t="s">
        <v>1234</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1235</v>
      </c>
      <c r="B20" s="1595">
        <f ca="1">'预评函-2'!D5</f>
        <v>2161</v>
      </c>
    </row>
    <row r="21" spans="1:2" s="1596" customFormat="1">
      <c r="A21" s="1594" t="s">
        <v>1236</v>
      </c>
      <c r="B21" s="1595">
        <f ca="1">'预评函-2'!D7</f>
        <v>2783</v>
      </c>
    </row>
    <row r="22" spans="1:2" s="1596" customFormat="1">
      <c r="A22" s="1594" t="s">
        <v>1237</v>
      </c>
      <c r="B22" s="1595" t="str">
        <f ca="1">'预评函-2'!D6</f>
        <v>贰仟壹佰陆拾壹万元整</v>
      </c>
    </row>
    <row r="23" spans="1:2" s="1596" customFormat="1">
      <c r="A23" s="1594" t="s">
        <v>1288</v>
      </c>
      <c r="B23" s="1595" t="str">
        <f>'预评函-2'!B8</f>
        <v>2.估价师知悉的法定优先受偿款</v>
      </c>
    </row>
    <row r="24" spans="1:2" s="1596" customFormat="1">
      <c r="A24" s="1594" t="s">
        <v>1294</v>
      </c>
      <c r="B24" s="1595">
        <f>'预评函-2'!D8</f>
        <v>0</v>
      </c>
    </row>
    <row r="25" spans="1:2" s="1596" customFormat="1">
      <c r="A25" s="1594" t="s">
        <v>1238</v>
      </c>
      <c r="B25" s="1595" t="str">
        <f>'预评函-2'!D9</f>
        <v>零元整</v>
      </c>
    </row>
    <row r="26" spans="1:2" s="1596" customFormat="1">
      <c r="A26" s="1594" t="s">
        <v>1239</v>
      </c>
      <c r="B26" s="1595">
        <f>'预评函-2'!D10</f>
        <v>0</v>
      </c>
    </row>
    <row r="27" spans="1:2" s="1596" customFormat="1">
      <c r="A27" s="1594" t="s">
        <v>1240</v>
      </c>
      <c r="B27" s="1595">
        <f>'预评函-2'!D11</f>
        <v>0</v>
      </c>
    </row>
    <row r="28" spans="1:2" s="1596" customFormat="1">
      <c r="A28" s="1594" t="s">
        <v>1241</v>
      </c>
      <c r="B28" s="1595">
        <f>'预评函-2'!D12</f>
        <v>0</v>
      </c>
    </row>
    <row r="29" spans="1:2" s="1596" customFormat="1">
      <c r="A29" s="1594" t="s">
        <v>1292</v>
      </c>
      <c r="B29" s="1595" t="str">
        <f>'预评函-2'!B13</f>
        <v>3.房地产抵押价值</v>
      </c>
    </row>
    <row r="30" spans="1:2" s="1596" customFormat="1">
      <c r="A30" s="1594" t="s">
        <v>1293</v>
      </c>
      <c r="B30" s="1595">
        <f ca="1">'预评函-2'!D13</f>
        <v>2161</v>
      </c>
    </row>
    <row r="31" spans="1:2" s="1596" customFormat="1">
      <c r="A31" s="1594" t="s">
        <v>1275</v>
      </c>
      <c r="B31" s="1595">
        <f ca="1">'预评函-2'!D15</f>
        <v>2783</v>
      </c>
    </row>
    <row r="32" spans="1:2" s="1596" customFormat="1">
      <c r="A32" s="1594" t="s">
        <v>1242</v>
      </c>
      <c r="B32" s="1595" t="str">
        <f ca="1">'预评函-2'!D14</f>
        <v>贰仟壹佰陆拾壹万元整</v>
      </c>
    </row>
    <row r="33" spans="1:2" s="1596" customFormat="1">
      <c r="A33" s="1594" t="s">
        <v>1277</v>
      </c>
      <c r="B33" s="1595" t="str">
        <f>'预评函-2'!B16</f>
        <v>——</v>
      </c>
    </row>
    <row r="34" spans="1:2" s="1596" customFormat="1">
      <c r="A34" s="1594" t="s">
        <v>1295</v>
      </c>
      <c r="B34" s="1595" t="str">
        <f>'预评函-2'!D16</f>
        <v>——</v>
      </c>
    </row>
    <row r="35" spans="1:2" s="1596" customFormat="1">
      <c r="A35" s="1594" t="s">
        <v>1276</v>
      </c>
      <c r="B35" s="1595" t="str">
        <f>'预评函-2'!D18</f>
        <v>——</v>
      </c>
    </row>
    <row r="36" spans="1:2" s="1596" customFormat="1">
      <c r="A36" s="1594" t="s">
        <v>1243</v>
      </c>
      <c r="B36" s="1595" t="e">
        <f>'预评函-2'!D17</f>
        <v>#VALUE!</v>
      </c>
    </row>
    <row r="37" spans="1:2" s="1596" customFormat="1">
      <c r="A37" s="1594" t="s">
        <v>1278</v>
      </c>
      <c r="B37" s="1595" t="str">
        <f>'预评函-2'!B19</f>
        <v>——</v>
      </c>
    </row>
    <row r="38" spans="1:2" s="1596" customFormat="1">
      <c r="A38" s="1594" t="s">
        <v>1296</v>
      </c>
      <c r="B38" s="1595" t="str">
        <f>'预评函-2'!D19</f>
        <v>——</v>
      </c>
    </row>
    <row r="39" spans="1:2" s="1596" customFormat="1">
      <c r="A39" s="1594" t="s">
        <v>1244</v>
      </c>
      <c r="B39" s="1595" t="str">
        <f>'预评函-2'!D21</f>
        <v>——</v>
      </c>
    </row>
    <row r="40" spans="1:2" s="1596" customFormat="1">
      <c r="A40" s="1594" t="s">
        <v>1245</v>
      </c>
      <c r="B40" s="1595" t="e">
        <f>'预评函-2'!D20</f>
        <v>#VALUE!</v>
      </c>
    </row>
    <row r="41" spans="1:2" s="1596" customFormat="1">
      <c r="A41" s="1594" t="s">
        <v>1291</v>
      </c>
      <c r="B41" s="1595" t="str">
        <f>'预评函-3'!A4</f>
        <v>河北省保定市涞水县涞水镇府前街2号桥北侧6A#房地产</v>
      </c>
    </row>
    <row r="42" spans="1:2" s="1596" customFormat="1">
      <c r="A42" s="1594" t="s">
        <v>1289</v>
      </c>
      <c r="B42" s="1595" t="str">
        <f>'预评函-3'!B2</f>
        <v>建筑面积</v>
      </c>
    </row>
    <row r="43" spans="1:2" s="1596" customFormat="1">
      <c r="A43" s="1594" t="s">
        <v>1290</v>
      </c>
      <c r="B43" s="1595">
        <f>'预评函-3'!B4</f>
        <v>7765.3499999999995</v>
      </c>
    </row>
    <row r="44" spans="1:2" s="1596" customFormat="1">
      <c r="A44" s="1594" t="s">
        <v>1274</v>
      </c>
      <c r="B44" s="1595" t="str">
        <f>'预评函-3'!C2</f>
        <v>(分摊)土地面积</v>
      </c>
    </row>
    <row r="45" spans="1:2" s="1596" customFormat="1">
      <c r="A45" s="1594" t="s">
        <v>1246</v>
      </c>
      <c r="B45" s="1595">
        <f>'预评函-3'!C4</f>
        <v>2218.67</v>
      </c>
    </row>
    <row r="46" spans="1:2" s="1596" customFormat="1">
      <c r="A46" s="1594" t="s">
        <v>1272</v>
      </c>
      <c r="B46" s="1595" t="str">
        <f>'预评函-3'!D2</f>
        <v>出让国有建设用地使用权价值</v>
      </c>
    </row>
    <row r="47" spans="1:2" s="1596" customFormat="1">
      <c r="A47" s="1594" t="s">
        <v>1247</v>
      </c>
      <c r="B47" s="1595">
        <f ca="1">'预评函-3'!D4</f>
        <v>873</v>
      </c>
    </row>
    <row r="48" spans="1:2" s="1596" customFormat="1">
      <c r="A48" s="1594" t="s">
        <v>1248</v>
      </c>
      <c r="B48" s="1595">
        <f ca="1">'预评函-3'!E4</f>
        <v>1124</v>
      </c>
    </row>
    <row r="49" spans="1:2" s="1596" customFormat="1">
      <c r="A49" s="1594" t="s">
        <v>1249</v>
      </c>
      <c r="B49" s="1595" t="str">
        <f ca="1">'预评函-3'!D5</f>
        <v>捌佰柒拾叁万元整</v>
      </c>
    </row>
    <row r="50" spans="1:2" s="1596" customFormat="1">
      <c r="A50" s="1594" t="s">
        <v>1273</v>
      </c>
      <c r="B50" s="1595" t="str">
        <f>'预评函-3'!F2</f>
        <v>在建建筑物价值</v>
      </c>
    </row>
    <row r="51" spans="1:2" s="1596" customFormat="1">
      <c r="A51" s="1594" t="s">
        <v>1250</v>
      </c>
      <c r="B51" s="1595">
        <f ca="1">'预评函-3'!F4</f>
        <v>1288</v>
      </c>
    </row>
    <row r="52" spans="1:2" s="1596" customFormat="1">
      <c r="A52" s="1594" t="s">
        <v>1251</v>
      </c>
      <c r="B52" s="1595">
        <f ca="1">'预评函-3'!G4</f>
        <v>1659</v>
      </c>
    </row>
    <row r="53" spans="1:2" s="1596" customFormat="1">
      <c r="A53" s="1594" t="s">
        <v>1279</v>
      </c>
      <c r="B53" s="1595" t="str">
        <f ca="1">'预评函-3'!F5</f>
        <v>壹仟贰佰捌拾捌万元整</v>
      </c>
    </row>
    <row r="54" spans="1:2" s="1596" customFormat="1">
      <c r="A54" s="1594" t="s">
        <v>1297</v>
      </c>
      <c r="B54" s="1595" t="str">
        <f>'预评函-3'!A8</f>
        <v>房地产抵押价值</v>
      </c>
    </row>
    <row r="55" spans="1:2" s="1596" customFormat="1">
      <c r="A55" s="1594" t="s">
        <v>1280</v>
      </c>
      <c r="B55" s="1595" t="str">
        <f>'预评函-3'!A10</f>
        <v/>
      </c>
    </row>
    <row r="56" spans="1:2" s="1596" customFormat="1">
      <c r="A56" s="1594" t="s">
        <v>1281</v>
      </c>
      <c r="B56" s="1595" t="str">
        <f>'预评函-3'!A12</f>
        <v/>
      </c>
    </row>
    <row r="57" spans="1:2" s="1590" customFormat="1" ht="15" thickBot="1">
      <c r="A57" s="1597" t="s">
        <v>1298</v>
      </c>
      <c r="B57" s="1598" t="str">
        <f>'预评函-3'!A6</f>
        <v>估价师知悉的法定优先受偿款</v>
      </c>
    </row>
    <row r="58" spans="1:2" s="1593" customFormat="1" ht="15" thickTop="1">
      <c r="A58" s="1591" t="s">
        <v>1252</v>
      </c>
      <c r="B58" s="1592" t="str">
        <f>'预评函-4'!A12</f>
        <v>2.本《评估意见函》仅供金融机构进行内部审核使用，不做其他目的之用。</v>
      </c>
    </row>
    <row r="59" spans="1:2" s="1596" customFormat="1">
      <c r="A59" s="1594" t="s">
        <v>1253</v>
      </c>
      <c r="B59" s="1595" t="str">
        <f>'预评函-4'!A13</f>
        <v>3.抵押双方在办理抵押登记手续时，应使用本公司出具的正式《房地产评估报告》，特提醒报告使用者注意。</v>
      </c>
    </row>
    <row r="60" spans="1:2" s="1596" customFormat="1">
      <c r="A60" s="1594" t="s">
        <v>1254</v>
      </c>
      <c r="B60" s="1595" t="str">
        <f>'预评函-4'!A14</f>
        <v>4.本次评估估价师所知悉的法定优先受偿款情况说明如下：</v>
      </c>
    </row>
    <row r="61" spans="1:2" s="1596" customFormat="1">
      <c r="A61" s="1594" t="s">
        <v>1255</v>
      </c>
      <c r="B61" s="1595" t="str">
        <f>'预评函-4'!A15</f>
        <v>（1）根据估价对象《国有土地使用权》原件，截至价值时点，估价对象抵押权未见登记。</v>
      </c>
    </row>
    <row r="62" spans="1:2" s="1596" customFormat="1">
      <c r="A62" s="1594" t="s">
        <v>1256</v>
      </c>
      <c r="B62" s="1595" t="str">
        <f>'预评函-4'!A16</f>
        <v>（2）根据《工程款支付情况说明》，截至价值时点，估价对象不存在应付未付工程款项。（只要没有施工方盖章的，均“设定”进行表述）</v>
      </c>
    </row>
    <row r="63" spans="1:2" s="1596" customFormat="1">
      <c r="A63" s="1594" t="s">
        <v>1257</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1269</v>
      </c>
      <c r="B64" s="1595" t="str">
        <f>'预评函-4'!A18</f>
        <v>故，本次评估不存在估价师知悉的法定优先受偿款</v>
      </c>
    </row>
    <row r="65" spans="1:2" s="1596" customFormat="1">
      <c r="A65" s="1594" t="s">
        <v>1258</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1259</v>
      </c>
      <c r="B66" s="1595" t="str">
        <f>'预评函-4'!A20</f>
        <v>——</v>
      </c>
    </row>
    <row r="67" spans="1:2" s="1596" customFormat="1">
      <c r="A67" s="1594" t="s">
        <v>1270</v>
      </c>
      <c r="B67" s="1595" t="str">
        <f>'预评函-4'!A21</f>
        <v>——</v>
      </c>
    </row>
    <row r="68" spans="1:2" s="1596" customFormat="1">
      <c r="A68" s="1594" t="s">
        <v>1271</v>
      </c>
      <c r="B68" s="1595" t="str">
        <f>'预评函-4'!A22</f>
        <v>8.其他需特殊说明事项：无（注意调整序号）</v>
      </c>
    </row>
    <row r="69" spans="1:2" s="1590" customFormat="1" ht="15" thickBot="1">
      <c r="A69" s="1597" t="s">
        <v>1260</v>
      </c>
      <c r="B69" s="1599">
        <f>'预评函-4'!C31</f>
        <v>42551</v>
      </c>
    </row>
    <row r="70" spans="1:2" ht="15" thickTop="1">
      <c r="A70" s="1600" t="s">
        <v>1261</v>
      </c>
      <c r="B70" s="1601" t="str">
        <f>'预评函-4'!A4</f>
        <v>郑燚</v>
      </c>
    </row>
    <row r="71" spans="1:2">
      <c r="A71" s="1594" t="s">
        <v>1262</v>
      </c>
      <c r="B71" s="1595">
        <f ca="1">'预评函-4'!B4</f>
        <v>1120070131</v>
      </c>
    </row>
    <row r="72" spans="1:2">
      <c r="A72" s="1594" t="s">
        <v>1263</v>
      </c>
      <c r="B72" s="1603" t="str">
        <f>'预评函-4'!A5</f>
        <v>王萌</v>
      </c>
    </row>
    <row r="73" spans="1:2" s="1590" customFormat="1" ht="15" thickBot="1">
      <c r="A73" s="1597" t="s">
        <v>1264</v>
      </c>
      <c r="B73" s="1598">
        <f ca="1">'预评函-4'!B5</f>
        <v>1120130048</v>
      </c>
    </row>
    <row r="74" spans="1:2" ht="15" thickTop="1">
      <c r="A74" s="1587" t="s">
        <v>1300</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6" sqref="Z1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1691</v>
      </c>
      <c r="C1" s="2011" t="s">
        <v>759</v>
      </c>
      <c r="D1" s="2012" t="s">
        <v>1692</v>
      </c>
      <c r="E1" s="2012" t="s">
        <v>1693</v>
      </c>
      <c r="F1" s="2012" t="s">
        <v>1694</v>
      </c>
      <c r="G1" s="2012" t="s">
        <v>1695</v>
      </c>
      <c r="H1" s="2012" t="s">
        <v>1696</v>
      </c>
      <c r="I1" s="2012" t="s">
        <v>1697</v>
      </c>
      <c r="J1" s="2012" t="s">
        <v>1698</v>
      </c>
      <c r="K1" s="2012" t="s">
        <v>1699</v>
      </c>
      <c r="L1" s="2012" t="s">
        <v>1700</v>
      </c>
      <c r="M1" s="2012" t="s">
        <v>1701</v>
      </c>
      <c r="N1" s="2012" t="s">
        <v>1702</v>
      </c>
      <c r="O1" s="2012" t="s">
        <v>1703</v>
      </c>
      <c r="P1" s="2013" t="s">
        <v>753</v>
      </c>
      <c r="Q1" s="2013" t="s">
        <v>1144</v>
      </c>
      <c r="R1" s="2012" t="s">
        <v>1138</v>
      </c>
      <c r="S1" s="2012" t="s">
        <v>1704</v>
      </c>
      <c r="T1" s="2014" t="s">
        <v>1705</v>
      </c>
      <c r="U1" s="2012" t="s">
        <v>1706</v>
      </c>
      <c r="V1" s="2012" t="s">
        <v>1707</v>
      </c>
      <c r="W1" s="2012" t="s">
        <v>755</v>
      </c>
    </row>
    <row r="2" spans="1:23">
      <c r="A2" s="2016" t="s">
        <v>22</v>
      </c>
      <c r="B2" s="2016" t="s">
        <v>1708</v>
      </c>
      <c r="C2" s="2017" t="s">
        <v>760</v>
      </c>
      <c r="D2" s="2018" t="s">
        <v>1709</v>
      </c>
      <c r="E2" s="2018" t="s">
        <v>1710</v>
      </c>
      <c r="F2" s="2018" t="s">
        <v>1711</v>
      </c>
      <c r="G2" s="2018">
        <v>40</v>
      </c>
      <c r="H2" s="2018" t="s">
        <v>1711</v>
      </c>
      <c r="I2" s="2018" t="s">
        <v>1712</v>
      </c>
      <c r="J2" s="2018" t="s">
        <v>1713</v>
      </c>
      <c r="K2" s="2018" t="s">
        <v>1714</v>
      </c>
      <c r="L2" s="2018" t="s">
        <v>1714</v>
      </c>
      <c r="M2" s="2018" t="s">
        <v>1714</v>
      </c>
      <c r="N2" s="2018" t="s">
        <v>1714</v>
      </c>
      <c r="O2" s="2018" t="s">
        <v>1714</v>
      </c>
      <c r="P2" s="2018" t="s">
        <v>1714</v>
      </c>
      <c r="Q2" s="2018" t="s">
        <v>1714</v>
      </c>
      <c r="R2" s="2018" t="s">
        <v>1140</v>
      </c>
      <c r="S2" s="2018" t="s">
        <v>1714</v>
      </c>
      <c r="T2" s="2018" t="s">
        <v>1715</v>
      </c>
      <c r="U2" s="2018" t="s">
        <v>1714</v>
      </c>
      <c r="V2" s="2018" t="s">
        <v>1716</v>
      </c>
      <c r="W2" s="2018" t="s">
        <v>1714</v>
      </c>
    </row>
    <row r="3" spans="1:23">
      <c r="A3" s="2016" t="s">
        <v>1717</v>
      </c>
      <c r="B3" s="2019" t="s">
        <v>1145</v>
      </c>
      <c r="C3" s="2020" t="s">
        <v>761</v>
      </c>
      <c r="D3" s="2018" t="s">
        <v>1718</v>
      </c>
      <c r="E3" s="2018" t="s">
        <v>16</v>
      </c>
      <c r="F3" s="2018" t="s">
        <v>1719</v>
      </c>
      <c r="G3" s="2018">
        <v>50</v>
      </c>
      <c r="H3" s="2018" t="s">
        <v>1719</v>
      </c>
      <c r="I3" s="2018" t="s">
        <v>1720</v>
      </c>
      <c r="J3" s="2018" t="s">
        <v>1721</v>
      </c>
      <c r="K3" s="2018" t="s">
        <v>1722</v>
      </c>
      <c r="L3" s="2018" t="s">
        <v>1722</v>
      </c>
      <c r="M3" s="2018" t="s">
        <v>1722</v>
      </c>
      <c r="N3" s="2018" t="s">
        <v>1722</v>
      </c>
      <c r="O3" s="2018" t="s">
        <v>1722</v>
      </c>
      <c r="P3" s="2018" t="s">
        <v>1722</v>
      </c>
      <c r="Q3" s="2018" t="s">
        <v>1722</v>
      </c>
      <c r="R3" s="2018" t="s">
        <v>1139</v>
      </c>
      <c r="S3" s="2018" t="s">
        <v>1722</v>
      </c>
      <c r="T3" s="2018" t="s">
        <v>1723</v>
      </c>
      <c r="U3" s="2018" t="s">
        <v>1722</v>
      </c>
      <c r="V3" s="2018" t="s">
        <v>1724</v>
      </c>
      <c r="W3" s="2018" t="s">
        <v>1722</v>
      </c>
    </row>
    <row r="4" spans="1:23">
      <c r="A4" s="2016" t="s">
        <v>1725</v>
      </c>
      <c r="B4" s="2016" t="s">
        <v>1726</v>
      </c>
      <c r="C4" s="2017" t="s">
        <v>762</v>
      </c>
      <c r="D4" s="2018" t="s">
        <v>868</v>
      </c>
      <c r="E4" s="2018" t="s">
        <v>1727</v>
      </c>
      <c r="F4" s="2018" t="s">
        <v>1728</v>
      </c>
      <c r="G4" s="2018">
        <v>70</v>
      </c>
      <c r="H4" s="2018" t="s">
        <v>1728</v>
      </c>
      <c r="I4" s="2018" t="s">
        <v>1729</v>
      </c>
      <c r="K4" s="2018" t="s">
        <v>1730</v>
      </c>
      <c r="L4" s="2018" t="s">
        <v>1730</v>
      </c>
      <c r="M4" s="2018" t="s">
        <v>1730</v>
      </c>
      <c r="N4" s="2018" t="s">
        <v>1730</v>
      </c>
      <c r="O4" s="2018" t="s">
        <v>1730</v>
      </c>
      <c r="P4" s="2018" t="s">
        <v>1730</v>
      </c>
      <c r="Q4" s="2018" t="s">
        <v>1730</v>
      </c>
      <c r="R4" s="2018" t="s">
        <v>1141</v>
      </c>
      <c r="S4" s="2018" t="s">
        <v>1730</v>
      </c>
      <c r="T4" s="2018" t="s">
        <v>1731</v>
      </c>
      <c r="U4" s="2018" t="s">
        <v>1730</v>
      </c>
      <c r="W4" s="2018" t="s">
        <v>1730</v>
      </c>
    </row>
    <row r="5" spans="1:23">
      <c r="A5" s="2016" t="s">
        <v>1732</v>
      </c>
      <c r="B5" s="2016" t="s">
        <v>1733</v>
      </c>
      <c r="C5" s="2017" t="s">
        <v>763</v>
      </c>
      <c r="F5" s="2018" t="s">
        <v>1734</v>
      </c>
      <c r="H5" s="2018" t="s">
        <v>1735</v>
      </c>
      <c r="I5" s="2018" t="s">
        <v>1736</v>
      </c>
      <c r="K5" s="2018" t="s">
        <v>1737</v>
      </c>
      <c r="L5" s="2018" t="s">
        <v>1737</v>
      </c>
      <c r="M5" s="2018" t="s">
        <v>1737</v>
      </c>
      <c r="N5" s="2018" t="s">
        <v>1737</v>
      </c>
      <c r="O5" s="2018" t="s">
        <v>1737</v>
      </c>
      <c r="P5" s="2018" t="s">
        <v>1737</v>
      </c>
      <c r="Q5" s="2018" t="s">
        <v>1737</v>
      </c>
      <c r="R5" s="2018" t="s">
        <v>1142</v>
      </c>
      <c r="S5" s="2018" t="s">
        <v>1737</v>
      </c>
      <c r="T5" s="2018" t="s">
        <v>1738</v>
      </c>
      <c r="U5" s="2018" t="s">
        <v>1737</v>
      </c>
      <c r="W5" s="2018" t="s">
        <v>1737</v>
      </c>
    </row>
    <row r="6" spans="1:23">
      <c r="A6" s="2016" t="s">
        <v>1739</v>
      </c>
      <c r="B6" s="2019" t="s">
        <v>1146</v>
      </c>
      <c r="C6" s="2022" t="s">
        <v>30</v>
      </c>
      <c r="F6" s="2018" t="s">
        <v>1735</v>
      </c>
      <c r="H6" s="2018" t="s">
        <v>1740</v>
      </c>
      <c r="I6" s="2018" t="s">
        <v>1741</v>
      </c>
      <c r="K6" s="2018" t="s">
        <v>1742</v>
      </c>
      <c r="L6" s="2018" t="s">
        <v>1742</v>
      </c>
      <c r="M6" s="2018" t="s">
        <v>1742</v>
      </c>
      <c r="N6" s="2018" t="s">
        <v>1742</v>
      </c>
      <c r="O6" s="2018" t="s">
        <v>1742</v>
      </c>
      <c r="P6" s="2018" t="s">
        <v>1742</v>
      </c>
      <c r="Q6" s="2018" t="s">
        <v>1742</v>
      </c>
      <c r="R6" s="2018" t="s">
        <v>1143</v>
      </c>
      <c r="S6" s="2018" t="s">
        <v>1742</v>
      </c>
      <c r="T6" s="2018"/>
      <c r="U6" s="2018" t="s">
        <v>1742</v>
      </c>
      <c r="W6" s="2018" t="s">
        <v>1742</v>
      </c>
    </row>
    <row r="7" spans="1:23">
      <c r="A7" s="2016" t="s">
        <v>1743</v>
      </c>
      <c r="B7" s="2019" t="s">
        <v>1147</v>
      </c>
      <c r="C7" s="2017" t="s">
        <v>31</v>
      </c>
      <c r="F7" s="2018" t="s">
        <v>1744</v>
      </c>
      <c r="H7" s="2018" t="s">
        <v>1745</v>
      </c>
      <c r="I7" s="2018" t="s">
        <v>1746</v>
      </c>
    </row>
    <row r="8" spans="1:23">
      <c r="A8" s="2016" t="s">
        <v>1747</v>
      </c>
      <c r="B8" s="2016" t="s">
        <v>1748</v>
      </c>
      <c r="C8" s="2017" t="s">
        <v>764</v>
      </c>
      <c r="F8" s="2018" t="s">
        <v>1749</v>
      </c>
      <c r="H8" s="2018"/>
      <c r="I8" s="2018" t="s">
        <v>1750</v>
      </c>
    </row>
    <row r="9" spans="1:23">
      <c r="A9" s="2016" t="s">
        <v>1751</v>
      </c>
      <c r="B9" s="2016" t="s">
        <v>1752</v>
      </c>
      <c r="C9" s="2017" t="s">
        <v>765</v>
      </c>
      <c r="F9" s="2018" t="s">
        <v>1753</v>
      </c>
      <c r="H9" s="2018"/>
    </row>
    <row r="10" spans="1:23">
      <c r="A10" s="2016" t="s">
        <v>1754</v>
      </c>
      <c r="B10" s="2016" t="s">
        <v>1755</v>
      </c>
      <c r="C10" s="2017" t="s">
        <v>766</v>
      </c>
      <c r="F10" s="2018" t="s">
        <v>16</v>
      </c>
    </row>
    <row r="11" spans="1:23">
      <c r="A11" s="2016" t="s">
        <v>1756</v>
      </c>
      <c r="B11" s="2016" t="s">
        <v>1757</v>
      </c>
      <c r="C11" s="2017" t="s">
        <v>767</v>
      </c>
    </row>
    <row r="12" spans="1:23">
      <c r="A12" s="2016" t="s">
        <v>1758</v>
      </c>
      <c r="B12" s="2016" t="s">
        <v>1759</v>
      </c>
      <c r="C12" s="2017" t="s">
        <v>768</v>
      </c>
    </row>
    <row r="13" spans="1:23">
      <c r="A13" s="2016" t="s">
        <v>1760</v>
      </c>
      <c r="B13" s="2016" t="s">
        <v>1761</v>
      </c>
      <c r="C13" s="2017" t="s">
        <v>769</v>
      </c>
    </row>
    <row r="14" spans="1:23">
      <c r="A14" s="2016" t="s">
        <v>1762</v>
      </c>
      <c r="B14" s="2016" t="s">
        <v>1763</v>
      </c>
      <c r="C14" s="2018" t="s">
        <v>16</v>
      </c>
    </row>
    <row r="15" spans="1:23">
      <c r="A15" s="2016" t="s">
        <v>1764</v>
      </c>
      <c r="B15" s="2016" t="s">
        <v>1765</v>
      </c>
      <c r="C15" s="2017"/>
    </row>
    <row r="16" spans="1:23">
      <c r="A16" s="2016" t="s">
        <v>1766</v>
      </c>
      <c r="B16" s="2016" t="s">
        <v>756</v>
      </c>
      <c r="C16" s="2017"/>
    </row>
    <row r="17" spans="1:3">
      <c r="A17" s="2016" t="s">
        <v>1767</v>
      </c>
      <c r="B17" s="2016" t="s">
        <v>3228</v>
      </c>
      <c r="C17" s="2017"/>
    </row>
    <row r="18" spans="1:3">
      <c r="A18" s="2016" t="s">
        <v>1768</v>
      </c>
      <c r="B18" s="2016" t="s">
        <v>3233</v>
      </c>
      <c r="C18" s="2017"/>
    </row>
    <row r="19" spans="1:3">
      <c r="A19" s="2016" t="s">
        <v>1769</v>
      </c>
      <c r="B19" s="2016" t="s">
        <v>3236</v>
      </c>
      <c r="C19" s="2017"/>
    </row>
    <row r="20" spans="1:3">
      <c r="A20" s="2016" t="s">
        <v>1770</v>
      </c>
      <c r="B20" s="2016" t="s">
        <v>757</v>
      </c>
      <c r="C20" s="2017"/>
    </row>
    <row r="21" spans="1:3">
      <c r="A21" s="2016" t="s">
        <v>1771</v>
      </c>
      <c r="B21" s="2016" t="s">
        <v>757</v>
      </c>
      <c r="C21" s="2017"/>
    </row>
    <row r="22" spans="1:3">
      <c r="A22" s="2016" t="s">
        <v>1772</v>
      </c>
      <c r="B22" s="2016" t="s">
        <v>757</v>
      </c>
      <c r="C22" s="2017"/>
    </row>
    <row r="23" spans="1:3">
      <c r="A23" s="2016" t="s">
        <v>1773</v>
      </c>
      <c r="B23" s="2016" t="s">
        <v>757</v>
      </c>
      <c r="C23" s="2017"/>
    </row>
    <row r="24" spans="1:3">
      <c r="A24" s="2016" t="s">
        <v>1774</v>
      </c>
      <c r="B24" s="2016" t="s">
        <v>757</v>
      </c>
      <c r="C24" s="2017"/>
    </row>
    <row r="25" spans="1:3">
      <c r="A25" s="2016" t="s">
        <v>1775</v>
      </c>
      <c r="B25" s="2016" t="s">
        <v>757</v>
      </c>
      <c r="C25" s="2017"/>
    </row>
    <row r="26" spans="1:3">
      <c r="A26" s="2016" t="s">
        <v>1776</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为估价委托人在向华鑫国际信托有限公司办理贷款手续过程中，确定房地产抵押贷款额度提供参考依据而评估房地产抵押价值。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河北旭嘉房地产开发有限公司拟使用河北省保定市涞水县涞水镇府前街2号桥北侧6A#房地产作为抵押担保物，向华鑫国际信托有限公司办理贷款手续。华鑫国际信托有限公司特委托北京康正宏基房地产评估有限公司对上述抵押物进行评估。本次评估为确定房地产抵押贷款额度提供参考依据而评估房地产抵押价值。</v>
      </c>
      <c r="D51" s="2024" t="s">
        <v>1285</v>
      </c>
    </row>
    <row r="52" spans="1:4">
      <c r="A52" s="2023" t="s">
        <v>858</v>
      </c>
      <c r="B52" s="2023" t="s">
        <v>859</v>
      </c>
      <c r="C52" s="2021" t="s">
        <v>860</v>
      </c>
      <c r="D52" s="2021" t="s">
        <v>861</v>
      </c>
    </row>
    <row r="53" spans="1:4">
      <c r="A53" s="3120"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10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120"/>
      <c r="B54" s="2024" t="s">
        <v>864</v>
      </c>
      <c r="C54" s="2021" t="s">
        <v>1282</v>
      </c>
    </row>
    <row r="55" spans="1:4">
      <c r="A55" s="3120"/>
      <c r="B55" s="2024" t="s">
        <v>865</v>
      </c>
      <c r="C55" s="2021" t="s">
        <v>1283</v>
      </c>
    </row>
    <row r="56" spans="1:4">
      <c r="A56" s="3120"/>
      <c r="B56" s="2024" t="s">
        <v>866</v>
      </c>
      <c r="C56" s="2021" t="s">
        <v>1287</v>
      </c>
    </row>
    <row r="57" spans="1:4">
      <c r="A57" s="3120"/>
      <c r="B57" s="2024" t="s">
        <v>867</v>
      </c>
      <c r="C57" s="2021" t="s">
        <v>1284</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J8" sqref="J8"/>
    </sheetView>
  </sheetViews>
  <sheetFormatPr defaultColWidth="10" defaultRowHeight="18" customHeight="1"/>
  <cols>
    <col min="1" max="1" width="14.875" style="2034" customWidth="1"/>
    <col min="2" max="3" width="11.5" style="2034" customWidth="1"/>
    <col min="4" max="4" width="11.75" style="2034" customWidth="1"/>
    <col min="5" max="6" width="10" style="2034" customWidth="1"/>
    <col min="7" max="7" width="10.75" style="2034" customWidth="1"/>
    <col min="8" max="8" width="10" style="2034" customWidth="1"/>
    <col min="9" max="9" width="11.125" style="2156" customWidth="1"/>
    <col min="10" max="10" width="10" style="2034" customWidth="1"/>
    <col min="11" max="11" width="10" style="2157" customWidth="1"/>
    <col min="12" max="13" width="10" style="2158" customWidth="1"/>
    <col min="14" max="14" width="10" style="2034" customWidth="1"/>
    <col min="15" max="15" width="10" style="2156" customWidth="1"/>
    <col min="16" max="17" width="10" style="2034"/>
    <col min="18" max="18" width="10" style="2034" customWidth="1"/>
    <col min="19" max="16384" width="10" style="2034"/>
  </cols>
  <sheetData>
    <row r="1" spans="1:19" ht="38.25" customHeight="1" thickBot="1">
      <c r="A1" s="2027" t="s">
        <v>1777</v>
      </c>
      <c r="B1" s="3129" t="str">
        <f>IF(B10="北京市","北京市",C10)&amp;F10&amp;IF(结果表!G1="在建","出让国有建设用地使用权及在建建筑物",IF(结果表!G1="土地","出让国有建设用地使用权",))&amp;B9&amp;"预评估"</f>
        <v>河北省保定市涞水县涞水镇府前街2号桥北侧6A#房地产抵押价值预评估</v>
      </c>
      <c r="C1" s="3130"/>
      <c r="D1" s="3130"/>
      <c r="E1" s="3130"/>
      <c r="F1" s="3130"/>
      <c r="G1" s="3130"/>
      <c r="H1" s="3130"/>
      <c r="I1" s="3131"/>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河北省保定市涞水县涞水镇府前街2号桥北侧6A#房地产抵押价值</v>
      </c>
    </row>
    <row r="2" spans="1:19" ht="18" customHeight="1">
      <c r="A2" s="2028" t="s">
        <v>1778</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河北省保定市涞水县涞水镇府前街2号桥北侧6A#房地产</v>
      </c>
    </row>
    <row r="3" spans="1:19" ht="18" customHeight="1">
      <c r="A3" s="2037" t="s">
        <v>1779</v>
      </c>
      <c r="B3" s="2038">
        <v>43049</v>
      </c>
      <c r="C3" s="2039" t="s">
        <v>1780</v>
      </c>
      <c r="D3" s="2038">
        <f>B3</f>
        <v>43049</v>
      </c>
      <c r="E3" s="2028"/>
      <c r="F3" s="2028"/>
      <c r="G3" s="2028"/>
      <c r="H3" s="2028"/>
      <c r="I3" s="2028"/>
      <c r="J3" s="2028"/>
      <c r="K3" s="2029"/>
      <c r="L3" s="2030"/>
      <c r="M3" s="2030"/>
      <c r="N3" s="2031"/>
      <c r="O3" s="2032"/>
      <c r="P3" s="2031"/>
      <c r="Q3" s="2031"/>
      <c r="R3" s="2031"/>
      <c r="S3" s="2033"/>
    </row>
    <row r="4" spans="1:19" ht="18" customHeight="1" thickBot="1">
      <c r="A4" s="2040" t="s">
        <v>1781</v>
      </c>
      <c r="B4" s="2041" t="s">
        <v>3036</v>
      </c>
      <c r="C4" s="1039">
        <f ca="1">SUMIF(注册房地产估价师,B4,估价师及机构信息!B3:B24)</f>
        <v>1120070131</v>
      </c>
      <c r="D4" s="2041" t="s">
        <v>3037</v>
      </c>
      <c r="E4" s="1040">
        <f ca="1">SUMIF(注册房地产估价师,D4,估价师及机构信息!B3:B24)</f>
        <v>1120130048</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郑燚（注册号：1120070131)、王萌（注册号：1120130048)</v>
      </c>
      <c r="L4" s="2030"/>
      <c r="M4" s="2030"/>
      <c r="N4" s="2031"/>
      <c r="O4" s="2032"/>
      <c r="P4" s="2031"/>
      <c r="Q4" s="2031"/>
      <c r="R4" s="2031"/>
      <c r="S4" s="2033"/>
    </row>
    <row r="5" spans="1:19" ht="18" customHeight="1" thickTop="1">
      <c r="A5" s="2046" t="s">
        <v>1782</v>
      </c>
      <c r="B5" s="2924" t="s">
        <v>3038</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1783</v>
      </c>
      <c r="B6" s="2973" t="s">
        <v>3223</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1784</v>
      </c>
      <c r="B7" s="2925" t="s">
        <v>3038</v>
      </c>
      <c r="C7" s="2050"/>
      <c r="D7" s="2051"/>
      <c r="E7" s="2036"/>
      <c r="F7" s="2044"/>
      <c r="G7" s="2044"/>
      <c r="H7" s="2044"/>
      <c r="I7" s="2044"/>
      <c r="J7" s="2044"/>
      <c r="K7" s="2053"/>
      <c r="L7" s="2030"/>
      <c r="M7" s="2030"/>
      <c r="N7" s="2031"/>
      <c r="O7" s="2032"/>
      <c r="P7" s="2031"/>
      <c r="Q7" s="2031"/>
      <c r="R7" s="2031"/>
    </row>
    <row r="8" spans="1:19" ht="18" customHeight="1">
      <c r="A8" s="2049" t="s">
        <v>1785</v>
      </c>
      <c r="B8" s="2054" t="s">
        <v>3039</v>
      </c>
      <c r="C8" s="2055"/>
      <c r="D8" s="3132" t="s">
        <v>1786</v>
      </c>
      <c r="E8" s="2056" t="s">
        <v>3040</v>
      </c>
      <c r="F8" s="2057"/>
      <c r="G8" s="2028"/>
      <c r="H8" s="2028"/>
      <c r="I8" s="2028"/>
      <c r="J8" s="2044"/>
      <c r="K8" s="2045"/>
      <c r="L8" s="2030"/>
      <c r="M8" s="2030"/>
      <c r="N8" s="2031"/>
      <c r="O8" s="2032"/>
      <c r="P8" s="2031"/>
      <c r="Q8" s="2031"/>
      <c r="R8" s="2031"/>
    </row>
    <row r="9" spans="1:19" ht="18" customHeight="1" thickBot="1">
      <c r="A9" s="2042" t="s">
        <v>1787</v>
      </c>
      <c r="B9" s="2058" t="s">
        <v>3040</v>
      </c>
      <c r="C9" s="2059"/>
      <c r="D9" s="3133"/>
      <c r="E9" s="2058" t="s">
        <v>70</v>
      </c>
      <c r="F9" s="2060"/>
      <c r="G9" s="2061"/>
      <c r="H9" s="2061"/>
      <c r="I9" s="2061"/>
      <c r="J9" s="2044"/>
      <c r="K9" s="2053"/>
      <c r="L9" s="2030"/>
      <c r="M9" s="2030"/>
      <c r="N9" s="2031"/>
      <c r="O9" s="2032"/>
      <c r="P9" s="2031"/>
      <c r="Q9" s="2031"/>
      <c r="R9" s="2031"/>
    </row>
    <row r="10" spans="1:19" ht="18" customHeight="1" thickTop="1">
      <c r="A10" s="2062" t="s">
        <v>1788</v>
      </c>
      <c r="B10" s="2063" t="s">
        <v>3041</v>
      </c>
      <c r="C10" s="2926" t="s">
        <v>3042</v>
      </c>
      <c r="D10" s="2048"/>
      <c r="E10" s="2064" t="s">
        <v>1789</v>
      </c>
      <c r="F10" s="2923" t="s">
        <v>3153</v>
      </c>
      <c r="G10" s="2065"/>
      <c r="H10" s="2066"/>
      <c r="I10" s="2048"/>
      <c r="J10" s="2044"/>
      <c r="K10" s="2053"/>
      <c r="L10" s="2030"/>
      <c r="M10" s="2030"/>
      <c r="N10" s="2031"/>
      <c r="O10" s="2032"/>
      <c r="P10" s="2031"/>
      <c r="Q10" s="2031"/>
      <c r="R10" s="2031"/>
    </row>
    <row r="11" spans="1:19" ht="18" customHeight="1">
      <c r="A11" s="2067" t="s">
        <v>1790</v>
      </c>
      <c r="B11" s="2068" t="s">
        <v>3043</v>
      </c>
      <c r="C11" s="2925" t="s">
        <v>3038</v>
      </c>
      <c r="D11" s="2069"/>
      <c r="E11" s="2044"/>
      <c r="F11" s="2044"/>
      <c r="G11" s="2044"/>
      <c r="H11" s="2044"/>
      <c r="I11" s="2044"/>
      <c r="J11" s="2044"/>
      <c r="K11" s="2053"/>
      <c r="L11" s="2030"/>
      <c r="M11" s="2030"/>
      <c r="N11" s="2031"/>
      <c r="O11" s="2032"/>
      <c r="P11" s="2031"/>
      <c r="Q11" s="2031"/>
      <c r="R11" s="2031"/>
    </row>
    <row r="12" spans="1:19" ht="18" customHeight="1">
      <c r="A12" s="2070" t="s">
        <v>1791</v>
      </c>
      <c r="B12" s="2068" t="s">
        <v>3044</v>
      </c>
      <c r="C12" s="2071" t="s">
        <v>1792</v>
      </c>
      <c r="D12" s="2072" t="s">
        <v>1793</v>
      </c>
      <c r="E12" s="2072" t="s">
        <v>1794</v>
      </c>
      <c r="F12" s="2072" t="s">
        <v>1795</v>
      </c>
      <c r="G12" s="2072" t="s">
        <v>1796</v>
      </c>
      <c r="H12" s="2072" t="s">
        <v>1797</v>
      </c>
      <c r="I12" s="2072" t="s">
        <v>1798</v>
      </c>
      <c r="J12" s="2044"/>
      <c r="K12" s="2053"/>
      <c r="L12" s="2030"/>
      <c r="M12" s="2030"/>
      <c r="N12" s="2031"/>
      <c r="O12" s="2032"/>
      <c r="P12" s="2031"/>
      <c r="Q12" s="2031"/>
      <c r="R12" s="2031"/>
    </row>
    <row r="13" spans="1:19" ht="18" customHeight="1">
      <c r="A13" s="2073"/>
      <c r="B13" s="2074"/>
      <c r="C13" s="2075" t="s">
        <v>1799</v>
      </c>
      <c r="D13" s="2076"/>
      <c r="E13" s="2076">
        <v>55620</v>
      </c>
      <c r="F13" s="2076"/>
      <c r="G13" s="2076"/>
      <c r="H13" s="2076"/>
      <c r="I13" s="1049"/>
      <c r="J13" s="2044"/>
      <c r="K13" s="2053"/>
      <c r="L13" s="2030"/>
      <c r="M13" s="2030"/>
      <c r="N13" s="2031"/>
      <c r="O13" s="2032"/>
      <c r="P13" s="2031"/>
      <c r="Q13" s="2031"/>
      <c r="R13" s="2031"/>
    </row>
    <row r="14" spans="1:19" ht="18" customHeight="1">
      <c r="A14" s="2073"/>
      <c r="B14" s="2074"/>
      <c r="C14" s="2075" t="s">
        <v>1800</v>
      </c>
      <c r="D14" s="1052">
        <v>70</v>
      </c>
      <c r="E14" s="1052">
        <v>40</v>
      </c>
      <c r="F14" s="1052"/>
      <c r="G14" s="1052"/>
      <c r="H14" s="1052"/>
      <c r="I14" s="1052"/>
      <c r="J14" s="2044"/>
      <c r="K14" s="2077"/>
      <c r="L14" s="2030"/>
      <c r="M14" s="2030"/>
      <c r="N14" s="2031"/>
      <c r="O14" s="2032"/>
      <c r="P14" s="2031"/>
      <c r="Q14" s="2031"/>
      <c r="R14" s="2031"/>
    </row>
    <row r="15" spans="1:19" ht="18" customHeight="1">
      <c r="A15" s="2062"/>
      <c r="B15" s="2078"/>
      <c r="C15" s="2075" t="s">
        <v>1801</v>
      </c>
      <c r="D15" s="1051" t="str">
        <f>IF(B12="出让",IF(D13="","",ROUNDDOWN(MIN((D13-$D$3)/365,D14),2)),D14)</f>
        <v/>
      </c>
      <c r="E15" s="1051">
        <f>IF(B12="出让",IF(E13="","",ROUNDDOWN(MIN((E13-$D$3)/365,E14),2)),E14)</f>
        <v>34.44</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4"/>
      <c r="K15" s="2079"/>
      <c r="L15" s="2080"/>
      <c r="M15" s="2080"/>
      <c r="N15" s="2081"/>
      <c r="O15" s="2080"/>
      <c r="P15" s="2081"/>
      <c r="Q15" s="2031"/>
      <c r="R15" s="2031"/>
    </row>
    <row r="16" spans="1:19" ht="30.75" customHeight="1">
      <c r="A16" s="2064" t="s">
        <v>1802</v>
      </c>
      <c r="B16" s="3139" t="s">
        <v>3046</v>
      </c>
      <c r="C16" s="3140"/>
      <c r="D16" s="3141"/>
      <c r="E16" s="2082" t="s">
        <v>1803</v>
      </c>
      <c r="F16" s="3142" t="s">
        <v>3154</v>
      </c>
      <c r="G16" s="3143"/>
      <c r="H16" s="3143"/>
      <c r="I16" s="3144"/>
      <c r="J16" s="2031"/>
      <c r="K16" s="2079"/>
      <c r="L16" s="2080"/>
      <c r="M16" s="2080"/>
      <c r="N16" s="2081"/>
      <c r="O16" s="2080"/>
      <c r="P16" s="2081"/>
      <c r="Q16" s="2031"/>
      <c r="R16" s="2031"/>
    </row>
    <row r="17" spans="1:22" ht="18" customHeight="1">
      <c r="A17" s="2083" t="s">
        <v>1804</v>
      </c>
      <c r="B17" s="2037" t="s">
        <v>1805</v>
      </c>
      <c r="C17" s="1056">
        <f>'数据-汇总表'!E3</f>
        <v>7765.3499999999995</v>
      </c>
      <c r="D17" s="2084" t="s">
        <v>1806</v>
      </c>
      <c r="E17" s="3145" t="s">
        <v>3155</v>
      </c>
      <c r="F17" s="3146"/>
      <c r="G17" s="3146"/>
      <c r="H17" s="3146"/>
      <c r="I17" s="3147"/>
      <c r="J17" s="2031"/>
      <c r="K17" s="2085"/>
      <c r="L17" s="2080"/>
      <c r="M17" s="2080"/>
      <c r="N17" s="2081"/>
      <c r="O17" s="2080"/>
      <c r="P17" s="2081"/>
      <c r="Q17" s="2031"/>
      <c r="R17" s="2031"/>
      <c r="S17" s="2031"/>
      <c r="T17" s="2031"/>
      <c r="U17" s="2031"/>
      <c r="V17" s="2031"/>
    </row>
    <row r="18" spans="1:22" ht="36" customHeight="1" thickBot="1">
      <c r="A18" s="2086" t="s">
        <v>1807</v>
      </c>
      <c r="B18" s="2040" t="s">
        <v>1808</v>
      </c>
      <c r="C18" s="1446">
        <f>'数据-汇总表'!D3</f>
        <v>2218.67</v>
      </c>
      <c r="D18" s="2087" t="s">
        <v>1806</v>
      </c>
      <c r="E18" s="3148" t="s">
        <v>3156</v>
      </c>
      <c r="F18" s="3149"/>
      <c r="G18" s="3149"/>
      <c r="H18" s="3149"/>
      <c r="I18" s="3150"/>
      <c r="J18" s="2031"/>
      <c r="K18" s="2085"/>
      <c r="L18" s="2080"/>
      <c r="M18" s="2080"/>
      <c r="N18" s="2081"/>
      <c r="O18" s="2080"/>
      <c r="P18" s="2081"/>
      <c r="Q18" s="2031"/>
      <c r="R18" s="2031"/>
      <c r="S18" s="2031"/>
      <c r="T18" s="2031"/>
      <c r="U18" s="2031"/>
      <c r="V18" s="2031"/>
    </row>
    <row r="19" spans="1:22" ht="37.5" customHeight="1" thickTop="1" thickBot="1">
      <c r="A19" s="374" t="s">
        <v>1809</v>
      </c>
      <c r="B19" s="353" t="s">
        <v>1810</v>
      </c>
      <c r="C19" s="2088" t="s">
        <v>3047</v>
      </c>
      <c r="D19" s="2089" t="s">
        <v>1811</v>
      </c>
      <c r="E19" s="2090" t="s">
        <v>70</v>
      </c>
      <c r="F19" s="2091" t="str">
        <f>IF(AND(C19="是",E19="否"),"是否提供他项权证或相关说明","")</f>
        <v/>
      </c>
      <c r="G19" s="2092"/>
      <c r="H19" s="2044"/>
      <c r="I19" s="2044"/>
      <c r="J19" s="2044"/>
      <c r="K19" s="2053"/>
      <c r="L19" s="2030"/>
      <c r="M19" s="2030"/>
      <c r="N19" s="2081"/>
      <c r="O19" s="2080"/>
      <c r="P19" s="2081"/>
      <c r="Q19" s="2031"/>
      <c r="R19" s="2031"/>
      <c r="S19" s="2031"/>
      <c r="T19" s="2031"/>
      <c r="U19" s="2031"/>
      <c r="V19" s="2031"/>
    </row>
    <row r="20" spans="1:22" ht="18" customHeight="1">
      <c r="A20" s="2093" t="s">
        <v>1812</v>
      </c>
      <c r="B20" s="3135" t="s">
        <v>1813</v>
      </c>
      <c r="C20" s="3136"/>
      <c r="D20" s="3137" t="s">
        <v>1814</v>
      </c>
      <c r="E20" s="3138"/>
      <c r="F20" s="2094" t="s">
        <v>1815</v>
      </c>
      <c r="G20" s="2044"/>
      <c r="H20" s="2044"/>
      <c r="I20" s="2044"/>
      <c r="J20" s="2044"/>
      <c r="K20" s="3134" t="s">
        <v>1816</v>
      </c>
      <c r="L20" s="747" t="str">
        <f>"根据估价对象"&amp;IF(B22="——",B21&amp;C21,B21&amp;C21&amp;"、"&amp;B22&amp;C22)&amp;"，"&amp;IF(C19="是","截至价值时点，估价对象已设定抵押。","截至价值时点，估价对象抵押权未见登记。")</f>
        <v>根据估价对象《国有土地使用权》原件，截至价值时点，估价对象抵押权未见登记。</v>
      </c>
      <c r="M20" s="2030"/>
      <c r="N20" s="2081"/>
      <c r="O20" s="2080"/>
      <c r="P20" s="2081"/>
      <c r="Q20" s="2031"/>
      <c r="R20" s="2031"/>
      <c r="S20" s="2031"/>
      <c r="T20" s="2031"/>
      <c r="U20" s="2031"/>
      <c r="V20" s="2031"/>
    </row>
    <row r="21" spans="1:22" ht="24.75" customHeight="1">
      <c r="A21" s="2093"/>
      <c r="B21" s="2095" t="s">
        <v>3048</v>
      </c>
      <c r="C21" s="2096" t="s">
        <v>1817</v>
      </c>
      <c r="D21" s="2097"/>
      <c r="E21" s="2098" t="s">
        <v>70</v>
      </c>
      <c r="F21" s="2099"/>
      <c r="G21" s="2044"/>
      <c r="H21" s="2044"/>
      <c r="I21" s="2044"/>
      <c r="J21" s="2044"/>
      <c r="K21" s="3134"/>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1"/>
      <c r="O21" s="2080"/>
      <c r="P21" s="2081"/>
      <c r="Q21" s="2031"/>
      <c r="R21" s="2031"/>
      <c r="S21" s="2031"/>
      <c r="T21" s="2031"/>
      <c r="U21" s="2031"/>
      <c r="V21" s="2031"/>
    </row>
    <row r="22" spans="1:22" ht="24.75" customHeight="1" thickBot="1">
      <c r="A22" s="2093"/>
      <c r="B22" s="2100" t="s">
        <v>70</v>
      </c>
      <c r="C22" s="2096" t="s">
        <v>1818</v>
      </c>
      <c r="D22" s="2028"/>
      <c r="E22" s="2028"/>
      <c r="F22" s="2101"/>
      <c r="G22" s="2044"/>
      <c r="H22" s="2044"/>
      <c r="I22" s="2044"/>
      <c r="J22" s="2044"/>
      <c r="K22" s="3134"/>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1"/>
      <c r="O22" s="2080"/>
      <c r="P22" s="2081"/>
      <c r="Q22" s="2031"/>
      <c r="R22" s="2031"/>
      <c r="S22" s="2031"/>
      <c r="T22" s="2031"/>
      <c r="U22" s="2031"/>
      <c r="V22" s="2031"/>
    </row>
    <row r="23" spans="1:22" ht="18" customHeight="1">
      <c r="A23" s="2102" t="s">
        <v>1819</v>
      </c>
      <c r="B23" s="184" t="s">
        <v>1820</v>
      </c>
      <c r="C23" s="2103"/>
      <c r="D23" s="2104" t="s">
        <v>1820</v>
      </c>
      <c r="E23" s="2105"/>
      <c r="F23" s="2101"/>
      <c r="G23" s="2044"/>
      <c r="H23" s="2044"/>
      <c r="I23" s="2044"/>
      <c r="J23" s="2044"/>
      <c r="K23" s="2106"/>
      <c r="L23" s="747"/>
      <c r="M23" s="2030"/>
      <c r="N23" s="2081"/>
      <c r="O23" s="2080"/>
      <c r="P23" s="2081"/>
      <c r="Q23" s="2031"/>
      <c r="R23" s="2031"/>
      <c r="S23" s="2031"/>
      <c r="T23" s="2031"/>
      <c r="U23" s="2031"/>
      <c r="V23" s="2031"/>
    </row>
    <row r="24" spans="1:22" ht="18" customHeight="1">
      <c r="A24" s="2107"/>
      <c r="B24" s="184" t="s">
        <v>1821</v>
      </c>
      <c r="C24" s="2108"/>
      <c r="D24" s="2102" t="s">
        <v>1821</v>
      </c>
      <c r="E24" s="2109"/>
      <c r="F24" s="2101"/>
      <c r="G24" s="2044"/>
      <c r="H24" s="2044"/>
      <c r="I24" s="2044"/>
      <c r="J24" s="2044"/>
      <c r="K24" s="2106"/>
      <c r="L24" s="747"/>
      <c r="M24" s="2030"/>
      <c r="N24" s="2081"/>
      <c r="O24" s="2080"/>
      <c r="P24" s="2081"/>
      <c r="Q24" s="2031"/>
      <c r="R24" s="2031"/>
      <c r="S24" s="2031"/>
      <c r="T24" s="2031"/>
      <c r="U24" s="2031"/>
      <c r="V24" s="2031"/>
    </row>
    <row r="25" spans="1:22" ht="18" customHeight="1">
      <c r="A25" s="2107"/>
      <c r="B25" s="184" t="s">
        <v>1822</v>
      </c>
      <c r="C25" s="2108"/>
      <c r="D25" s="2102" t="s">
        <v>1822</v>
      </c>
      <c r="E25" s="2109"/>
      <c r="F25" s="2101"/>
      <c r="G25" s="2044"/>
      <c r="H25" s="2044"/>
      <c r="I25" s="2044"/>
      <c r="J25" s="2044"/>
      <c r="K25" s="2053"/>
      <c r="L25" s="2030"/>
      <c r="M25" s="2030"/>
      <c r="N25" s="2081"/>
      <c r="O25" s="2080"/>
      <c r="P25" s="2081"/>
      <c r="Q25" s="2031"/>
      <c r="R25" s="2031"/>
      <c r="S25" s="2031"/>
      <c r="T25" s="2031"/>
      <c r="U25" s="2031"/>
      <c r="V25" s="2031"/>
    </row>
    <row r="26" spans="1:22" ht="18" customHeight="1" thickBot="1">
      <c r="A26" s="2110"/>
      <c r="B26" s="2111" t="s">
        <v>1823</v>
      </c>
      <c r="C26" s="2112"/>
      <c r="D26" s="2113" t="s">
        <v>1824</v>
      </c>
      <c r="E26" s="2114"/>
      <c r="F26" s="2115"/>
      <c r="G26" s="2061"/>
      <c r="H26" s="2061"/>
      <c r="I26" s="2061"/>
      <c r="J26" s="2044"/>
      <c r="K26" s="2053"/>
      <c r="L26" s="2030"/>
      <c r="M26" s="2030"/>
      <c r="N26" s="2081"/>
      <c r="O26" s="2080"/>
      <c r="P26" s="2081"/>
      <c r="Q26" s="2031"/>
      <c r="R26" s="2031"/>
      <c r="S26" s="2031"/>
      <c r="T26" s="2031"/>
      <c r="U26" s="2031"/>
      <c r="V26" s="2031"/>
    </row>
    <row r="27" spans="1:22" ht="18" customHeight="1" thickTop="1">
      <c r="A27" s="3122" t="s">
        <v>1825</v>
      </c>
      <c r="B27" s="2062" t="s">
        <v>1826</v>
      </c>
      <c r="C27" s="2116" t="s">
        <v>3049</v>
      </c>
      <c r="D27" s="2117"/>
      <c r="E27" s="2044"/>
      <c r="F27" s="2044"/>
      <c r="G27" s="2044"/>
      <c r="H27" s="2044"/>
      <c r="I27" s="2044"/>
      <c r="J27" s="2031"/>
      <c r="K27" s="2079"/>
      <c r="L27" s="2080"/>
      <c r="M27" s="2080"/>
      <c r="N27" s="2081"/>
      <c r="O27" s="2080"/>
      <c r="P27" s="2081"/>
      <c r="Q27" s="2031"/>
      <c r="R27" s="2031"/>
      <c r="S27" s="2031"/>
      <c r="T27" s="2031"/>
      <c r="U27" s="2031"/>
      <c r="V27" s="2031"/>
    </row>
    <row r="28" spans="1:22" ht="18" customHeight="1">
      <c r="A28" s="3122"/>
      <c r="B28" s="2037" t="s">
        <v>1827</v>
      </c>
      <c r="C28" s="2118" t="s">
        <v>3050</v>
      </c>
      <c r="D28" s="2119"/>
      <c r="E28" s="2044"/>
      <c r="F28" s="2044"/>
      <c r="G28" s="2044"/>
      <c r="H28" s="2044"/>
      <c r="I28" s="2044"/>
      <c r="J28" s="2031"/>
      <c r="K28" s="2120"/>
      <c r="L28" s="2030"/>
      <c r="M28" s="2030"/>
      <c r="N28" s="2031"/>
      <c r="O28" s="2032"/>
      <c r="P28" s="2031"/>
      <c r="Q28" s="2031"/>
      <c r="R28" s="2031"/>
      <c r="S28" s="2031"/>
      <c r="T28" s="2031"/>
      <c r="U28" s="2031"/>
      <c r="V28" s="2031"/>
    </row>
    <row r="29" spans="1:22" ht="18" customHeight="1">
      <c r="A29" s="3122"/>
      <c r="B29" s="2037" t="s">
        <v>1828</v>
      </c>
      <c r="C29" s="2121" t="s">
        <v>3047</v>
      </c>
      <c r="D29" s="2122"/>
      <c r="E29" s="2044"/>
      <c r="F29" s="2044"/>
      <c r="G29" s="2044"/>
      <c r="H29" s="2044"/>
      <c r="I29" s="2044"/>
      <c r="J29" s="2031"/>
      <c r="K29" s="2120"/>
      <c r="L29" s="2030"/>
      <c r="M29" s="2030"/>
      <c r="N29" s="2031"/>
      <c r="O29" s="2032"/>
      <c r="P29" s="2031"/>
      <c r="Q29" s="2031"/>
      <c r="R29" s="2031"/>
      <c r="S29" s="2031"/>
      <c r="T29" s="2031"/>
      <c r="U29" s="2031"/>
      <c r="V29" s="2031"/>
    </row>
    <row r="30" spans="1:22" ht="18" customHeight="1">
      <c r="A30" s="3123"/>
      <c r="B30" s="2037" t="s">
        <v>1829</v>
      </c>
      <c r="C30" s="3124"/>
      <c r="D30" s="3125"/>
      <c r="E30" s="2044"/>
      <c r="F30" s="2044"/>
      <c r="G30" s="2044"/>
      <c r="H30" s="2044"/>
      <c r="I30" s="2044"/>
      <c r="J30" s="2031"/>
      <c r="K30" s="2120"/>
      <c r="L30" s="2030"/>
      <c r="M30" s="2030"/>
      <c r="N30" s="2031"/>
      <c r="O30" s="2032"/>
      <c r="P30" s="2031"/>
      <c r="Q30" s="2031"/>
      <c r="R30" s="2031"/>
      <c r="S30" s="2031"/>
      <c r="T30" s="2031"/>
      <c r="U30" s="2031"/>
      <c r="V30" s="2031"/>
    </row>
    <row r="31" spans="1:22" ht="18" customHeight="1">
      <c r="A31" s="3126" t="s">
        <v>1830</v>
      </c>
      <c r="B31" s="2123" t="s">
        <v>3051</v>
      </c>
      <c r="C31" s="2124" t="str">
        <f>IF(B31="现房","成新及维护状况正常否",IF(B31="在建","工程状态是否正常",IF(B31="土地","是否闲置","-")))</f>
        <v>工程状态是否正常</v>
      </c>
      <c r="D31" s="2125"/>
      <c r="E31" s="2126"/>
      <c r="F31" s="2044"/>
      <c r="G31" s="2044"/>
      <c r="H31" s="2044"/>
      <c r="I31" s="2044"/>
      <c r="J31" s="2044"/>
      <c r="K31" s="2052"/>
      <c r="L31" s="2030"/>
      <c r="M31" s="2030"/>
      <c r="N31" s="2031"/>
      <c r="O31" s="2032"/>
      <c r="P31" s="2031"/>
      <c r="Q31" s="2031"/>
      <c r="R31" s="2031"/>
      <c r="S31" s="2031"/>
      <c r="T31" s="2031"/>
      <c r="U31" s="2031"/>
      <c r="V31" s="2031"/>
    </row>
    <row r="32" spans="1:22" ht="18" customHeight="1">
      <c r="A32" s="3127"/>
      <c r="B32" s="2123"/>
      <c r="C32" s="2124" t="str">
        <f>IF(B32="现房","成新及维护状况是否正常",IF(B32="在建","工程状态是否正常",IF(B32="土地","是否闲置","-")))</f>
        <v>-</v>
      </c>
      <c r="D32" s="2125"/>
      <c r="E32" s="2126"/>
      <c r="F32" s="2044"/>
      <c r="G32" s="2044"/>
      <c r="H32" s="2044"/>
      <c r="I32" s="2044"/>
      <c r="J32" s="2044"/>
      <c r="K32" s="2053"/>
      <c r="L32" s="2030"/>
      <c r="M32" s="2030"/>
      <c r="N32" s="2031"/>
      <c r="O32" s="2032"/>
      <c r="P32" s="2031"/>
      <c r="Q32" s="2031"/>
      <c r="R32" s="2031"/>
      <c r="S32" s="2031"/>
      <c r="T32" s="2031"/>
      <c r="U32" s="2031"/>
      <c r="V32" s="2031"/>
    </row>
    <row r="33" spans="1:22" ht="18" customHeight="1">
      <c r="A33" s="3127"/>
      <c r="B33" s="2127"/>
      <c r="C33" s="2067" t="str">
        <f>IF(B33="现房","成新及维护状况是否正常",IF(B33="在建","工程状态是否正常",IF(B33="土地","是否闲置","-")))</f>
        <v>-</v>
      </c>
      <c r="D33" s="2128"/>
      <c r="E33" s="2129"/>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1831</v>
      </c>
      <c r="B34" s="2130" t="s">
        <v>3052</v>
      </c>
      <c r="C34" s="2130" t="s">
        <v>3053</v>
      </c>
      <c r="D34" s="2130" t="s">
        <v>3054</v>
      </c>
      <c r="E34" s="2130" t="s">
        <v>3055</v>
      </c>
      <c r="F34" s="2130" t="s">
        <v>3056</v>
      </c>
      <c r="G34" s="2130" t="s">
        <v>3057</v>
      </c>
      <c r="H34" s="2130" t="s">
        <v>3058</v>
      </c>
      <c r="I34" s="2044"/>
      <c r="J34" s="2044"/>
      <c r="K34" s="1798">
        <f>COUNTIF(B34:H34,"——")</f>
        <v>0</v>
      </c>
      <c r="L34" s="2071" t="s">
        <v>1832</v>
      </c>
      <c r="M34" s="2071" t="s">
        <v>1833</v>
      </c>
      <c r="N34" s="2071" t="s">
        <v>1834</v>
      </c>
      <c r="O34" s="2071" t="s">
        <v>1835</v>
      </c>
      <c r="P34" s="2071" t="s">
        <v>1836</v>
      </c>
      <c r="Q34" s="2071" t="s">
        <v>1837</v>
      </c>
      <c r="R34" s="2071" t="s">
        <v>1838</v>
      </c>
      <c r="S34" s="3121" t="s">
        <v>1839</v>
      </c>
      <c r="T34" s="2131" t="str">
        <f>NUMBERSTRING(7-K34,1)&amp;"通"</f>
        <v>七通</v>
      </c>
      <c r="U34" s="2031"/>
      <c r="V34" s="2031"/>
    </row>
    <row r="35" spans="1:22" ht="18" customHeight="1">
      <c r="A35" s="2132"/>
      <c r="B35" s="3128" t="s">
        <v>1840</v>
      </c>
      <c r="C35" s="3128"/>
      <c r="D35" s="3128"/>
      <c r="E35" s="3128"/>
      <c r="F35" s="2133" t="str">
        <f>C10</f>
        <v>河北省保定市涞水县涞水镇</v>
      </c>
      <c r="G35" s="2044"/>
      <c r="H35" s="2044"/>
      <c r="I35" s="2044"/>
      <c r="J35" s="2044"/>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21"/>
      <c r="T35" s="48" t="str">
        <f>IF(T34="一通",L35,IF(T34="二通",M35,IF(T34="三通",N35,IF(T34="四通",O35,IF(T34="五通",P35,IF(T34="六通",Q35,R35))))))</f>
        <v>通路、通电、通讯、通上水、通下水、通热、燃气</v>
      </c>
      <c r="U35" s="2031"/>
      <c r="V35" s="2031"/>
    </row>
    <row r="36" spans="1:22" ht="18" customHeight="1">
      <c r="A36" s="2134"/>
      <c r="B36" s="2133" t="s">
        <v>1841</v>
      </c>
      <c r="C36" s="2133" t="s">
        <v>1842</v>
      </c>
      <c r="D36" s="2133" t="s">
        <v>1843</v>
      </c>
      <c r="E36" s="2133" t="s">
        <v>1844</v>
      </c>
      <c r="F36" s="2135"/>
      <c r="G36" s="2044"/>
      <c r="H36" s="2044"/>
      <c r="I36" s="2044"/>
      <c r="J36" s="2044"/>
      <c r="K36" s="2053"/>
      <c r="L36" s="2030"/>
      <c r="M36" s="2030"/>
      <c r="N36" s="2031"/>
      <c r="O36" s="2032"/>
      <c r="P36" s="2031"/>
      <c r="Q36" s="2031"/>
      <c r="R36" s="2031"/>
      <c r="S36" s="2031"/>
      <c r="T36" s="2031"/>
      <c r="U36" s="2031"/>
      <c r="V36" s="2031"/>
    </row>
    <row r="37" spans="1:22" ht="18" customHeight="1">
      <c r="A37" s="2136" t="s">
        <v>1845</v>
      </c>
      <c r="B37" s="2137"/>
      <c r="C37" s="2137"/>
      <c r="D37" s="2137"/>
      <c r="E37" s="2137"/>
      <c r="F37" s="2135"/>
      <c r="G37" s="2044"/>
      <c r="H37" s="2044"/>
      <c r="I37" s="2044"/>
      <c r="J37" s="2044"/>
      <c r="K37" s="2053"/>
      <c r="L37" s="2030"/>
      <c r="M37" s="2030"/>
      <c r="N37" s="2031"/>
      <c r="O37" s="2032"/>
      <c r="P37" s="2031"/>
      <c r="Q37" s="2031"/>
      <c r="R37" s="2031"/>
      <c r="S37" s="2031"/>
      <c r="T37" s="2031"/>
      <c r="U37" s="2031"/>
      <c r="V37" s="2031"/>
    </row>
    <row r="38" spans="1:22" ht="18" customHeight="1" thickBot="1">
      <c r="A38" s="2138" t="s">
        <v>1846</v>
      </c>
      <c r="B38" s="2139"/>
      <c r="C38" s="2139"/>
      <c r="D38" s="2139"/>
      <c r="E38" s="2139"/>
      <c r="F38" s="2140"/>
      <c r="G38" s="2061"/>
      <c r="H38" s="2061"/>
      <c r="I38" s="2061"/>
      <c r="J38" s="2044"/>
      <c r="K38" s="2053"/>
      <c r="L38" s="2030"/>
      <c r="M38" s="2030"/>
      <c r="N38" s="2031"/>
      <c r="O38" s="2032"/>
      <c r="P38" s="2031"/>
      <c r="Q38" s="2031"/>
      <c r="R38" s="2031"/>
      <c r="S38" s="2031"/>
      <c r="T38" s="2031"/>
      <c r="U38" s="2031"/>
      <c r="V38" s="2031"/>
    </row>
    <row r="39" spans="1:22" s="2145" customFormat="1" ht="18" customHeight="1" thickTop="1" thickBot="1">
      <c r="A39" s="2141" t="s">
        <v>1847</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31"/>
      <c r="B40" s="2031"/>
      <c r="C40" s="2031"/>
      <c r="D40" s="2031"/>
      <c r="E40" s="2031"/>
      <c r="F40" s="2031"/>
      <c r="G40" s="2031"/>
      <c r="H40" s="2031"/>
      <c r="I40" s="2146"/>
      <c r="J40" s="2081"/>
      <c r="K40" s="666"/>
      <c r="L40" s="2080"/>
      <c r="M40" s="2080"/>
      <c r="N40" s="2081"/>
      <c r="O40" s="2080"/>
      <c r="P40" s="2031"/>
      <c r="Q40" s="2031"/>
      <c r="R40" s="2031"/>
      <c r="S40" s="2031"/>
      <c r="T40" s="2031"/>
      <c r="U40" s="2031"/>
      <c r="V40" s="2031"/>
    </row>
    <row r="41" spans="1:22" ht="18" customHeight="1">
      <c r="A41" s="8" t="s">
        <v>1848</v>
      </c>
      <c r="B41" s="2147"/>
      <c r="C41" s="2148"/>
      <c r="D41" s="2031"/>
      <c r="E41" s="2031"/>
      <c r="F41" s="2031"/>
      <c r="G41" s="2031"/>
      <c r="H41" s="2031"/>
      <c r="I41" s="2032"/>
      <c r="J41" s="2031"/>
      <c r="K41" s="2120"/>
      <c r="L41" s="2030"/>
      <c r="M41" s="2030"/>
      <c r="N41" s="2031"/>
      <c r="O41" s="2032"/>
      <c r="P41" s="2031"/>
      <c r="Q41" s="2031"/>
      <c r="R41" s="2031"/>
      <c r="S41" s="2031"/>
      <c r="T41" s="2031"/>
      <c r="U41" s="2031"/>
      <c r="V41" s="2031"/>
    </row>
    <row r="42" spans="1:22" ht="18" customHeight="1">
      <c r="A42" s="2071" t="s">
        <v>1849</v>
      </c>
      <c r="B42" s="1798" t="s">
        <v>1850</v>
      </c>
      <c r="C42" s="1798" t="s">
        <v>1851</v>
      </c>
      <c r="D42" s="1798" t="s">
        <v>1852</v>
      </c>
      <c r="E42" s="1798" t="s">
        <v>1853</v>
      </c>
      <c r="F42" s="1798" t="s">
        <v>1854</v>
      </c>
      <c r="G42" s="1798" t="s">
        <v>1855</v>
      </c>
      <c r="H42" s="1798" t="s">
        <v>1856</v>
      </c>
      <c r="I42" s="1798" t="s">
        <v>1857</v>
      </c>
      <c r="J42" s="2149" t="s">
        <v>1858</v>
      </c>
      <c r="K42" s="2072" t="s">
        <v>1859</v>
      </c>
      <c r="L42" s="2072" t="s">
        <v>1860</v>
      </c>
      <c r="M42" s="2072" t="s">
        <v>1861</v>
      </c>
      <c r="N42" s="1798" t="s">
        <v>1862</v>
      </c>
      <c r="O42" s="1798" t="s">
        <v>1863</v>
      </c>
      <c r="P42" s="1798" t="s">
        <v>1864</v>
      </c>
      <c r="Q42" s="2071" t="s">
        <v>1865</v>
      </c>
      <c r="R42" s="2071" t="s">
        <v>1866</v>
      </c>
      <c r="S42" s="2031"/>
      <c r="T42" s="2031"/>
      <c r="U42" s="2031"/>
      <c r="V42" s="2031"/>
    </row>
    <row r="43" spans="1:22" s="2154" customFormat="1" ht="18" customHeight="1">
      <c r="A43" s="2150"/>
      <c r="B43" s="1274"/>
      <c r="C43" s="1274"/>
      <c r="D43" s="1274"/>
      <c r="E43" s="1274"/>
      <c r="F43" s="1274"/>
      <c r="G43" s="1274"/>
      <c r="H43" s="9"/>
      <c r="I43" s="9"/>
      <c r="J43" s="2151"/>
      <c r="K43" s="2152"/>
      <c r="L43" s="2152"/>
      <c r="M43" s="9"/>
      <c r="N43" s="1274"/>
      <c r="O43" s="9"/>
      <c r="P43" s="1274"/>
      <c r="Q43" s="1274"/>
      <c r="R43" s="1274"/>
      <c r="S43" s="2153"/>
      <c r="T43" s="2153"/>
      <c r="U43" s="2153"/>
      <c r="V43" s="2153"/>
    </row>
    <row r="44" spans="1:22" s="2154" customFormat="1" ht="18" customHeight="1">
      <c r="A44" s="2150"/>
      <c r="B44" s="2150"/>
      <c r="C44" s="1274"/>
      <c r="D44" s="1274"/>
      <c r="E44" s="1274"/>
      <c r="F44" s="1274"/>
      <c r="G44" s="1274"/>
      <c r="H44" s="9"/>
      <c r="I44" s="9"/>
      <c r="J44" s="2151"/>
      <c r="K44" s="2152"/>
      <c r="L44" s="2152"/>
      <c r="M44" s="9"/>
      <c r="N44" s="1274"/>
      <c r="O44" s="9"/>
      <c r="P44" s="1274"/>
      <c r="Q44" s="1274"/>
      <c r="R44" s="1274"/>
      <c r="S44" s="2153"/>
      <c r="T44" s="2153"/>
      <c r="U44" s="2153"/>
      <c r="V44" s="2153"/>
    </row>
    <row r="45" spans="1:22" s="2154" customFormat="1" ht="18" customHeight="1">
      <c r="A45" s="2150"/>
      <c r="B45" s="2150"/>
      <c r="C45" s="1274"/>
      <c r="D45" s="1274"/>
      <c r="E45" s="1274"/>
      <c r="F45" s="1274"/>
      <c r="G45" s="1274"/>
      <c r="H45" s="9"/>
      <c r="I45" s="9"/>
      <c r="J45" s="2151"/>
      <c r="K45" s="2152"/>
      <c r="L45" s="2152"/>
      <c r="M45" s="9"/>
      <c r="N45" s="1274"/>
      <c r="O45" s="9"/>
      <c r="P45" s="1274"/>
      <c r="Q45" s="1274"/>
      <c r="R45" s="1274"/>
      <c r="S45" s="2153"/>
      <c r="T45" s="2153"/>
      <c r="U45" s="2153"/>
      <c r="V45" s="2153"/>
    </row>
    <row r="46" spans="1:22" s="2154" customFormat="1" ht="18" customHeight="1">
      <c r="A46" s="2150"/>
      <c r="B46" s="2150"/>
      <c r="C46" s="1274"/>
      <c r="D46" s="1274"/>
      <c r="E46" s="1274"/>
      <c r="F46" s="1274"/>
      <c r="G46" s="1274"/>
      <c r="H46" s="9"/>
      <c r="I46" s="9"/>
      <c r="J46" s="2151"/>
      <c r="K46" s="2152"/>
      <c r="L46" s="2152"/>
      <c r="M46" s="9"/>
      <c r="N46" s="1274"/>
      <c r="O46" s="9"/>
      <c r="P46" s="1274"/>
      <c r="Q46" s="1274"/>
      <c r="R46" s="1274"/>
      <c r="S46" s="2153"/>
      <c r="T46" s="2153"/>
      <c r="U46" s="2153"/>
      <c r="V46" s="2153"/>
    </row>
    <row r="47" spans="1:22" s="2154" customFormat="1" ht="18" customHeight="1">
      <c r="A47" s="2150"/>
      <c r="B47" s="2150"/>
      <c r="C47" s="1274"/>
      <c r="D47" s="1274"/>
      <c r="E47" s="1274"/>
      <c r="F47" s="1274"/>
      <c r="G47" s="1274"/>
      <c r="H47" s="9"/>
      <c r="I47" s="9"/>
      <c r="J47" s="2151"/>
      <c r="K47" s="2152"/>
      <c r="L47" s="2152"/>
      <c r="M47" s="9"/>
      <c r="N47" s="1274"/>
      <c r="O47" s="9"/>
      <c r="P47" s="1274"/>
      <c r="Q47" s="1274"/>
      <c r="R47" s="1274"/>
      <c r="S47" s="2153"/>
      <c r="T47" s="2153"/>
      <c r="U47" s="2153"/>
      <c r="V47" s="2153"/>
    </row>
    <row r="48" spans="1:22" s="2154" customFormat="1" ht="18" customHeight="1">
      <c r="A48" s="2150"/>
      <c r="B48" s="2150"/>
      <c r="C48" s="1274"/>
      <c r="D48" s="1274"/>
      <c r="E48" s="1274"/>
      <c r="F48" s="1274"/>
      <c r="G48" s="1274"/>
      <c r="H48" s="9"/>
      <c r="I48" s="9"/>
      <c r="J48" s="2151"/>
      <c r="K48" s="2152"/>
      <c r="L48" s="2152"/>
      <c r="M48" s="9"/>
      <c r="N48" s="1274"/>
      <c r="O48" s="9"/>
      <c r="P48" s="1274"/>
      <c r="Q48" s="1274"/>
      <c r="R48" s="1274"/>
      <c r="S48" s="2153"/>
      <c r="T48" s="2153"/>
      <c r="U48" s="2153"/>
      <c r="V48" s="2153"/>
    </row>
    <row r="49" spans="1:22" s="2154" customFormat="1" ht="18" customHeight="1">
      <c r="A49" s="2150"/>
      <c r="B49" s="2150"/>
      <c r="C49" s="1274"/>
      <c r="D49" s="1274"/>
      <c r="E49" s="1274"/>
      <c r="F49" s="1274"/>
      <c r="G49" s="1274"/>
      <c r="H49" s="9"/>
      <c r="I49" s="9"/>
      <c r="J49" s="2151"/>
      <c r="K49" s="2152"/>
      <c r="L49" s="2152"/>
      <c r="M49" s="9"/>
      <c r="N49" s="1274"/>
      <c r="O49" s="9"/>
      <c r="P49" s="1274"/>
      <c r="Q49" s="1274"/>
      <c r="R49" s="1274"/>
      <c r="S49" s="2153"/>
      <c r="T49" s="2153"/>
      <c r="U49" s="2153"/>
      <c r="V49" s="2153"/>
    </row>
    <row r="50" spans="1:22" s="2154" customFormat="1" ht="18" customHeight="1">
      <c r="A50" s="2150"/>
      <c r="B50" s="2150"/>
      <c r="C50" s="1274"/>
      <c r="D50" s="1274"/>
      <c r="E50" s="1274"/>
      <c r="F50" s="1274"/>
      <c r="G50" s="1274"/>
      <c r="H50" s="9"/>
      <c r="I50" s="9"/>
      <c r="J50" s="2151"/>
      <c r="K50" s="2152"/>
      <c r="L50" s="2152"/>
      <c r="M50" s="9"/>
      <c r="N50" s="1274"/>
      <c r="O50" s="9"/>
      <c r="P50" s="1274"/>
      <c r="Q50" s="1274"/>
      <c r="R50" s="1274"/>
      <c r="S50" s="2153"/>
      <c r="T50" s="2153"/>
      <c r="U50" s="2153"/>
      <c r="V50" s="2153"/>
    </row>
    <row r="51" spans="1:22" s="2154" customFormat="1" ht="18" customHeight="1">
      <c r="A51" s="2150"/>
      <c r="B51" s="2150"/>
      <c r="C51" s="1274"/>
      <c r="D51" s="1274"/>
      <c r="E51" s="1274"/>
      <c r="F51" s="1274"/>
      <c r="G51" s="1274"/>
      <c r="H51" s="9"/>
      <c r="I51" s="9"/>
      <c r="J51" s="2151"/>
      <c r="K51" s="2152"/>
      <c r="L51" s="2152"/>
      <c r="M51" s="9"/>
      <c r="N51" s="1274"/>
      <c r="O51" s="9"/>
      <c r="P51" s="1274"/>
      <c r="Q51" s="1274"/>
      <c r="R51" s="1274"/>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5" sqref="B25"/>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2" width="9.5" style="2156" customWidth="1"/>
    <col min="13" max="14" width="9.5" style="2156" hidden="1" customWidth="1"/>
    <col min="15" max="15" width="9.875" style="2156" hidden="1" customWidth="1"/>
    <col min="16" max="16" width="9.75" style="2156" hidden="1" customWidth="1"/>
    <col min="17" max="17" width="9.375" style="2156" hidden="1" customWidth="1"/>
    <col min="18" max="18" width="9.25" style="2156" hidden="1" customWidth="1"/>
    <col min="19" max="19" width="10.875" style="2156" hidden="1" customWidth="1"/>
    <col min="20" max="21" width="10.75" style="2156" hidden="1" customWidth="1"/>
    <col min="22" max="22" width="10.875" style="2156" hidden="1" customWidth="1"/>
    <col min="23" max="27" width="10.75" style="2156" hidden="1" customWidth="1"/>
    <col min="28" max="28" width="10.875" style="2156" hidden="1" customWidth="1"/>
    <col min="29" max="29" width="11" style="2156" bestFit="1" customWidth="1"/>
    <col min="30" max="30" width="10" style="2156" hidden="1" customWidth="1"/>
    <col min="31" max="31" width="9.75" style="2156" hidden="1" customWidth="1"/>
    <col min="32" max="37" width="9.5" style="2156" hidden="1" customWidth="1"/>
    <col min="38"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1867</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0" t="s">
        <v>1868</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4" customFormat="1" ht="24">
      <c r="A2" s="11" t="s">
        <v>1869</v>
      </c>
      <c r="B2" s="11" t="s">
        <v>1870</v>
      </c>
      <c r="C2" s="11" t="s">
        <v>1871</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1" t="s">
        <v>1872</v>
      </c>
      <c r="AZ2" s="1272" t="s">
        <v>1873</v>
      </c>
      <c r="BA2" s="11" t="s">
        <v>1874</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2218.67</v>
      </c>
      <c r="B3" s="14">
        <f>IF(C3="否",G5-AT5,G5)</f>
        <v>7765.3499999999995</v>
      </c>
      <c r="C3" s="2165" t="s">
        <v>1875</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3"/>
      <c r="AZ3" s="1274"/>
      <c r="BA3" s="1275"/>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1876</v>
      </c>
      <c r="B5" s="1806"/>
      <c r="C5" s="1806"/>
      <c r="D5" s="1809"/>
      <c r="E5" s="16" t="s">
        <v>1</v>
      </c>
      <c r="F5" s="16">
        <f>SUM(F13:F587)</f>
        <v>0</v>
      </c>
      <c r="G5" s="16">
        <f>SUM(G13:G587)</f>
        <v>7765.3499999999995</v>
      </c>
      <c r="H5" s="16">
        <f t="shared" ref="H5:AT5" si="0">SUM(H13:H656)</f>
        <v>7765.3499999999995</v>
      </c>
      <c r="I5" s="16">
        <f t="shared" si="0"/>
        <v>0</v>
      </c>
      <c r="J5" s="16">
        <f t="shared" si="0"/>
        <v>0</v>
      </c>
      <c r="K5" s="16">
        <f t="shared" si="0"/>
        <v>7765.3499999999995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7765.3499999999995</v>
      </c>
      <c r="BA5" s="18">
        <f t="shared" si="1"/>
        <v>7765.3499999999995</v>
      </c>
      <c r="BB5" s="18">
        <f t="shared" si="1"/>
        <v>0</v>
      </c>
      <c r="BC5" s="18">
        <f t="shared" si="1"/>
        <v>7765.3499999999995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1877</v>
      </c>
      <c r="B6" s="2171"/>
      <c r="C6" s="2171"/>
      <c r="D6" s="2172"/>
      <c r="E6" s="16">
        <f>H6+AC6+AT6</f>
        <v>2218.67</v>
      </c>
      <c r="F6" s="16" t="s">
        <v>1</v>
      </c>
      <c r="G6" s="16" t="s">
        <v>2</v>
      </c>
      <c r="H6" s="20">
        <f>SUMIF(I$12:AB$12,"总值",I6:AB6)</f>
        <v>2218.67</v>
      </c>
      <c r="I6" s="16">
        <f t="shared" ref="I6:AB6" si="2">ROUND($A$3*I5/$B$3,2)</f>
        <v>0</v>
      </c>
      <c r="J6" s="16">
        <f t="shared" si="2"/>
        <v>0</v>
      </c>
      <c r="K6" s="16">
        <f t="shared" si="2"/>
        <v>2218.67</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1877</v>
      </c>
      <c r="AW6" s="2171"/>
      <c r="AX6" s="2171"/>
      <c r="AY6" s="21">
        <f>IF(AY3&gt;0,AY3,ROUND($A$3*AZ5/$B$3,2))</f>
        <v>2218.67</v>
      </c>
      <c r="AZ6" s="16" t="s">
        <v>3</v>
      </c>
      <c r="BA6" s="16">
        <f>ROUND($AY$6*BA5/$AZ$5,2)</f>
        <v>2218.67</v>
      </c>
      <c r="BB6" s="16">
        <f>ROUND($AY$6*BB5/$AZ$5,2)</f>
        <v>0</v>
      </c>
      <c r="BC6" s="16">
        <f t="shared" ref="BC6:BH6" si="4">ROUND($AY$6*BC5/$AZ$5,2)</f>
        <v>2218.67</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1878</v>
      </c>
      <c r="B7" s="2106" t="s">
        <v>1879</v>
      </c>
      <c r="C7" s="2106" t="s">
        <v>1880</v>
      </c>
      <c r="D7" s="2106" t="s">
        <v>1881</v>
      </c>
      <c r="E7" s="2106" t="s">
        <v>1882</v>
      </c>
      <c r="F7" s="2106" t="s">
        <v>1883</v>
      </c>
      <c r="G7" s="2175" t="s">
        <v>1884</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9"/>
      <c r="AU7" s="2176" t="s">
        <v>1885</v>
      </c>
      <c r="AV7" s="23" t="s">
        <v>1886</v>
      </c>
      <c r="AW7" s="2163" t="s">
        <v>1887</v>
      </c>
      <c r="AX7" s="23" t="s">
        <v>1880</v>
      </c>
      <c r="AY7" s="1806" t="s">
        <v>1888</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1889</v>
      </c>
      <c r="H8" s="2181" t="s">
        <v>1890</v>
      </c>
      <c r="I8" s="2182"/>
      <c r="J8" s="1821"/>
      <c r="K8" s="1821"/>
      <c r="L8" s="1821"/>
      <c r="M8" s="1821"/>
      <c r="N8" s="1821"/>
      <c r="O8" s="1821"/>
      <c r="P8" s="1821"/>
      <c r="Q8" s="1821"/>
      <c r="R8" s="1821"/>
      <c r="S8" s="1821"/>
      <c r="T8" s="1821"/>
      <c r="U8" s="1821"/>
      <c r="V8" s="2183"/>
      <c r="W8" s="1821"/>
      <c r="X8" s="1821"/>
      <c r="Y8" s="1821"/>
      <c r="Z8" s="1821"/>
      <c r="AA8" s="2183"/>
      <c r="AB8" s="2184"/>
      <c r="AC8" s="983" t="s">
        <v>1891</v>
      </c>
      <c r="AD8" s="2185"/>
      <c r="AE8" s="2177"/>
      <c r="AF8" s="1821"/>
      <c r="AG8" s="1821"/>
      <c r="AH8" s="1821"/>
      <c r="AI8" s="1821"/>
      <c r="AJ8" s="1821"/>
      <c r="AK8" s="1821"/>
      <c r="AL8" s="1821"/>
      <c r="AM8" s="1821"/>
      <c r="AN8" s="1821"/>
      <c r="AO8" s="1821"/>
      <c r="AP8" s="1821"/>
      <c r="AQ8" s="1821"/>
      <c r="AR8" s="1821"/>
      <c r="AS8" s="1821"/>
      <c r="AT8" s="1294" t="s">
        <v>1892</v>
      </c>
      <c r="AU8" s="2179" t="s">
        <v>1893</v>
      </c>
      <c r="AV8" s="1294"/>
      <c r="AW8" s="2162"/>
      <c r="AX8" s="1294"/>
      <c r="AY8" s="2163"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6" customFormat="1" ht="12.75">
      <c r="A9" s="2179"/>
      <c r="B9" s="2179"/>
      <c r="C9" s="2179"/>
      <c r="D9" s="2179"/>
      <c r="E9" s="2179"/>
      <c r="F9" s="2179"/>
      <c r="G9" s="1294"/>
      <c r="H9" s="2187" t="s">
        <v>1896</v>
      </c>
      <c r="I9" s="2188" t="s">
        <v>3059</v>
      </c>
      <c r="J9" s="983"/>
      <c r="K9" s="2188" t="s">
        <v>3059</v>
      </c>
      <c r="L9" s="983"/>
      <c r="M9" s="2188"/>
      <c r="N9" s="983"/>
      <c r="O9" s="2188"/>
      <c r="P9" s="983"/>
      <c r="Q9" s="2188"/>
      <c r="R9" s="983"/>
      <c r="S9" s="2188"/>
      <c r="T9" s="983"/>
      <c r="U9" s="2188"/>
      <c r="V9" s="983"/>
      <c r="W9" s="2188"/>
      <c r="X9" s="2189"/>
      <c r="Y9" s="2188"/>
      <c r="Z9" s="983"/>
      <c r="AA9" s="2188"/>
      <c r="AB9" s="983"/>
      <c r="AC9" s="2180" t="s">
        <v>1896</v>
      </c>
      <c r="AD9" s="15" t="s">
        <v>1897</v>
      </c>
      <c r="AE9" s="1300"/>
      <c r="AF9" s="15" t="s">
        <v>1898</v>
      </c>
      <c r="AG9" s="1300"/>
      <c r="AH9" s="15" t="s">
        <v>1897</v>
      </c>
      <c r="AI9" s="1300"/>
      <c r="AJ9" s="15" t="s">
        <v>1898</v>
      </c>
      <c r="AK9" s="1300"/>
      <c r="AL9" s="15" t="s">
        <v>1897</v>
      </c>
      <c r="AM9" s="1300"/>
      <c r="AN9" s="15" t="s">
        <v>1898</v>
      </c>
      <c r="AO9" s="1300"/>
      <c r="AP9" s="15" t="s">
        <v>1897</v>
      </c>
      <c r="AQ9" s="1300"/>
      <c r="AR9" s="15" t="s">
        <v>1898</v>
      </c>
      <c r="AS9" s="2190"/>
      <c r="AT9" s="2179"/>
      <c r="AU9" s="2179" t="s">
        <v>1899</v>
      </c>
      <c r="AV9" s="1294"/>
      <c r="AW9" s="2162"/>
      <c r="AX9" s="1294"/>
      <c r="AY9" s="28"/>
      <c r="AZ9" s="28" t="s">
        <v>1889</v>
      </c>
      <c r="BA9" s="2191" t="s">
        <v>1900</v>
      </c>
      <c r="BB9" s="2192"/>
      <c r="BC9" s="1340"/>
      <c r="BD9" s="1340"/>
      <c r="BE9" s="1340"/>
      <c r="BF9" s="1340"/>
      <c r="BG9" s="1340"/>
      <c r="BH9" s="1340"/>
      <c r="BI9" s="1340"/>
      <c r="BJ9" s="1340"/>
      <c r="BK9" s="2193"/>
      <c r="BL9" s="15" t="s">
        <v>1901</v>
      </c>
      <c r="BM9" s="1821"/>
      <c r="BN9" s="2182"/>
      <c r="BO9" s="1821"/>
      <c r="BP9" s="1821"/>
      <c r="BQ9" s="1821"/>
      <c r="BR9" s="1821"/>
      <c r="BS9" s="1821"/>
      <c r="BT9" s="26"/>
    </row>
    <row r="10" spans="1:72" s="2186" customFormat="1" ht="12.75">
      <c r="A10" s="2179"/>
      <c r="B10" s="2179"/>
      <c r="C10" s="2179"/>
      <c r="D10" s="2179"/>
      <c r="E10" s="2179"/>
      <c r="F10" s="2179"/>
      <c r="G10" s="1294"/>
      <c r="H10" s="28"/>
      <c r="I10" s="2188" t="s">
        <v>3045</v>
      </c>
      <c r="J10" s="983"/>
      <c r="K10" s="2194" t="s">
        <v>1378</v>
      </c>
      <c r="L10" s="983"/>
      <c r="M10" s="2194"/>
      <c r="N10" s="983"/>
      <c r="O10" s="2194"/>
      <c r="P10" s="983"/>
      <c r="Q10" s="2194"/>
      <c r="R10" s="983"/>
      <c r="S10" s="2194"/>
      <c r="T10" s="983"/>
      <c r="U10" s="2194"/>
      <c r="V10" s="983"/>
      <c r="W10" s="2194"/>
      <c r="X10" s="983"/>
      <c r="Y10" s="2194"/>
      <c r="Z10" s="983"/>
      <c r="AA10" s="2194"/>
      <c r="AB10" s="983"/>
      <c r="AC10" s="1294"/>
      <c r="AD10" s="15" t="s">
        <v>1902</v>
      </c>
      <c r="AE10" s="2195"/>
      <c r="AF10" s="15" t="s">
        <v>1902</v>
      </c>
      <c r="AG10" s="2195"/>
      <c r="AH10" s="15" t="s">
        <v>1903</v>
      </c>
      <c r="AI10" s="2195"/>
      <c r="AJ10" s="15" t="s">
        <v>1903</v>
      </c>
      <c r="AK10" s="2195"/>
      <c r="AL10" s="15" t="s">
        <v>1904</v>
      </c>
      <c r="AM10" s="1300"/>
      <c r="AN10" s="15" t="s">
        <v>1904</v>
      </c>
      <c r="AO10" s="1300"/>
      <c r="AP10" s="15" t="s">
        <v>1905</v>
      </c>
      <c r="AQ10" s="1300"/>
      <c r="AR10" s="15" t="s">
        <v>1905</v>
      </c>
      <c r="AS10" s="1300"/>
      <c r="AT10" s="2179"/>
      <c r="AU10" s="2179"/>
      <c r="AV10" s="1294"/>
      <c r="AW10" s="2162"/>
      <c r="AX10" s="1294"/>
      <c r="AY10" s="28"/>
      <c r="AZ10" s="28"/>
      <c r="BA10" s="2196" t="s">
        <v>1896</v>
      </c>
      <c r="BB10" s="2197" t="str">
        <f>I9</f>
        <v>地上</v>
      </c>
      <c r="BC10" s="29" t="str">
        <f>K9</f>
        <v>地上</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198" t="str">
        <f>AR9</f>
        <v>地下</v>
      </c>
    </row>
    <row r="11" spans="1:72" s="2186" customFormat="1" ht="12.75">
      <c r="A11" s="2179"/>
      <c r="B11" s="2179"/>
      <c r="C11" s="2179"/>
      <c r="D11" s="2179"/>
      <c r="E11" s="2179"/>
      <c r="F11" s="2179"/>
      <c r="G11" s="1294"/>
      <c r="H11" s="2196"/>
      <c r="I11" s="2199" t="s">
        <v>3060</v>
      </c>
      <c r="J11" s="2200"/>
      <c r="K11" s="2199" t="s">
        <v>3062</v>
      </c>
      <c r="L11" s="2200"/>
      <c r="M11" s="2199"/>
      <c r="N11" s="2200"/>
      <c r="O11" s="2199"/>
      <c r="P11" s="2200"/>
      <c r="Q11" s="2199"/>
      <c r="R11" s="2200"/>
      <c r="S11" s="2199"/>
      <c r="T11" s="2200"/>
      <c r="U11" s="2199"/>
      <c r="V11" s="2200"/>
      <c r="W11" s="2199"/>
      <c r="X11" s="2200"/>
      <c r="Y11" s="2199"/>
      <c r="Z11" s="2200"/>
      <c r="AA11" s="2199"/>
      <c r="AB11" s="2200"/>
      <c r="AC11" s="1294"/>
      <c r="AD11" s="2201" t="s">
        <v>1906</v>
      </c>
      <c r="AE11" s="1822"/>
      <c r="AF11" s="2201" t="s">
        <v>1906</v>
      </c>
      <c r="AG11" s="1822"/>
      <c r="AH11" s="2201" t="s">
        <v>1907</v>
      </c>
      <c r="AI11" s="2202"/>
      <c r="AJ11" s="2201" t="s">
        <v>1907</v>
      </c>
      <c r="AK11" s="1822"/>
      <c r="AL11" s="1820"/>
      <c r="AM11" s="1822"/>
      <c r="AN11" s="1820"/>
      <c r="AO11" s="1822"/>
      <c r="AP11" s="1820"/>
      <c r="AQ11" s="1822"/>
      <c r="AR11" s="1820"/>
      <c r="AS11" s="1822"/>
      <c r="AT11" s="2162"/>
      <c r="AU11" s="2179"/>
      <c r="AV11" s="1294"/>
      <c r="AW11" s="2162"/>
      <c r="AX11" s="1294"/>
      <c r="AY11" s="28"/>
      <c r="AZ11" s="28"/>
      <c r="BA11" s="28"/>
      <c r="BB11" s="2184" t="str">
        <f>I10</f>
        <v>住宅</v>
      </c>
      <c r="BC11" s="2184" t="str">
        <f>K10</f>
        <v>商业</v>
      </c>
      <c r="BD11" s="2184">
        <f>M10</f>
        <v>0</v>
      </c>
      <c r="BE11" s="2184">
        <f>O10</f>
        <v>0</v>
      </c>
      <c r="BF11" s="2184">
        <f>Q10</f>
        <v>0</v>
      </c>
      <c r="BG11" s="2184">
        <f>S10</f>
        <v>0</v>
      </c>
      <c r="BH11" s="2184">
        <f>U10</f>
        <v>0</v>
      </c>
      <c r="BI11" s="2184">
        <f>W10</f>
        <v>0</v>
      </c>
      <c r="BJ11" s="2184">
        <f>Y10</f>
        <v>0</v>
      </c>
      <c r="BK11" s="2184">
        <f>AA10</f>
        <v>0</v>
      </c>
      <c r="BL11" s="1294"/>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06"/>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4" t="s">
        <v>1909</v>
      </c>
      <c r="AT12" s="2207"/>
      <c r="AU12" s="2204"/>
      <c r="AV12" s="31"/>
      <c r="AW12" s="2163"/>
      <c r="AX12" s="31"/>
      <c r="AY12" s="2208"/>
      <c r="AZ12" s="28"/>
      <c r="BA12" s="2196"/>
      <c r="BB12" s="24" t="str">
        <f>I11</f>
        <v>平层住宅</v>
      </c>
      <c r="BC12" s="2209" t="str">
        <f>K11</f>
        <v>底商</v>
      </c>
      <c r="BD12" s="2209">
        <f>M11</f>
        <v>0</v>
      </c>
      <c r="BE12" s="2184">
        <f>O11</f>
        <v>0</v>
      </c>
      <c r="BF12" s="2184">
        <f>Q11</f>
        <v>0</v>
      </c>
      <c r="BG12" s="2184">
        <f>S11</f>
        <v>0</v>
      </c>
      <c r="BH12" s="2184">
        <f>U11</f>
        <v>0</v>
      </c>
      <c r="BI12" s="2184">
        <f>W11</f>
        <v>0</v>
      </c>
      <c r="BJ12" s="2184">
        <f>Y11</f>
        <v>0</v>
      </c>
      <c r="BK12" s="2184">
        <f>AA11</f>
        <v>0</v>
      </c>
      <c r="BL12" s="1294"/>
      <c r="BM12" s="1820" t="str">
        <f>AD11</f>
        <v>（住宅）</v>
      </c>
      <c r="BN12" s="1820" t="str">
        <f>AF11</f>
        <v>（住宅）</v>
      </c>
      <c r="BO12" s="24" t="str">
        <f>AH11</f>
        <v>（住宅、计出让金）</v>
      </c>
      <c r="BP12" s="24" t="str">
        <f>AJ11</f>
        <v>（住宅、计出让金）</v>
      </c>
      <c r="BQ12" s="24">
        <f>AL11</f>
        <v>0</v>
      </c>
      <c r="BR12" s="24">
        <f>AN11</f>
        <v>0</v>
      </c>
      <c r="BS12" s="25">
        <f>AP11</f>
        <v>0</v>
      </c>
      <c r="BT12" s="2203">
        <f>AR11</f>
        <v>0</v>
      </c>
    </row>
    <row r="13" spans="1:72" s="2164" customFormat="1" ht="12.75">
      <c r="A13" s="1274"/>
      <c r="B13" s="1274"/>
      <c r="C13" s="3055" t="s">
        <v>3239</v>
      </c>
      <c r="D13" s="2210" t="s">
        <v>3061</v>
      </c>
      <c r="E13" s="16">
        <f>IF($C$3="是",ROUND($A$3*G13/$B$3,2),ROUND($A$3*(G13-AT13)/$B$3,2))</f>
        <v>443.73</v>
      </c>
      <c r="F13" s="32"/>
      <c r="G13" s="33">
        <f>H13+AC13+AT13</f>
        <v>1553.07</v>
      </c>
      <c r="H13" s="20">
        <f>SUMIF(I$12:AB$12,"总值",I13:AB13)</f>
        <v>1553.07</v>
      </c>
      <c r="I13" s="2211"/>
      <c r="J13" s="2211"/>
      <c r="K13" s="2211">
        <f>Sheet1!E20</f>
        <v>1553.07</v>
      </c>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1层</v>
      </c>
      <c r="AY13" s="1809">
        <f>ROUND($AY$6*AZ13/$AZ$5,2)</f>
        <v>443.73</v>
      </c>
      <c r="AZ13" s="16">
        <f>BA13+BL13</f>
        <v>1553.07</v>
      </c>
      <c r="BA13" s="16">
        <f>SUM(BB13:BK13)</f>
        <v>1553.07</v>
      </c>
      <c r="BB13" s="16">
        <f>IF($D13="是",I13-J13,0)</f>
        <v>0</v>
      </c>
      <c r="BC13" s="16">
        <f>IF($D13="是",K13-L13,0)</f>
        <v>1553.07</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4"/>
      <c r="B14" s="1274"/>
      <c r="C14" s="2954" t="s">
        <v>3240</v>
      </c>
      <c r="D14" s="2210" t="s">
        <v>3061</v>
      </c>
      <c r="E14" s="16">
        <f>IF($C$3="是",ROUND($A$3*G14/$B$3,2),ROUND($A$3*(G14-AT14)/$B$3,2))</f>
        <v>1774.94</v>
      </c>
      <c r="F14" s="32"/>
      <c r="G14" s="33">
        <f>H14+AC14+AT14</f>
        <v>6212.28</v>
      </c>
      <c r="H14" s="20">
        <f>SUMIF(I$12:AB$12,"总值",I14:AB14)</f>
        <v>6212.28</v>
      </c>
      <c r="I14" s="2211"/>
      <c r="J14" s="2211"/>
      <c r="K14" s="2211">
        <f>Sheet1!B26-'数据-基础表'!K13</f>
        <v>6212.28</v>
      </c>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其余</v>
      </c>
      <c r="AY14" s="1809">
        <f>ROUND($AY$6*AZ14/$AZ$5,2)</f>
        <v>1774.94</v>
      </c>
      <c r="AZ14" s="16">
        <f>BA14+BL14</f>
        <v>6212.28</v>
      </c>
      <c r="BA14" s="16">
        <f>SUM(BB14:BK14)</f>
        <v>6212.28</v>
      </c>
      <c r="BB14" s="16">
        <f>IF($D14="是",I14-J14,0)</f>
        <v>0</v>
      </c>
      <c r="BC14" s="16">
        <f>IF($D14="是",K14-L14,0)</f>
        <v>6212.28</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4"/>
      <c r="B15" s="1274"/>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4"/>
      <c r="B16" s="1274"/>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4"/>
      <c r="B17" s="1274"/>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1" t="s">
        <v>0</v>
      </c>
      <c r="B1" s="3151" t="s">
        <v>4</v>
      </c>
      <c r="C1" s="3151" t="s">
        <v>5</v>
      </c>
      <c r="D1" s="3152" t="s">
        <v>53</v>
      </c>
      <c r="E1" s="3152" t="s">
        <v>54</v>
      </c>
      <c r="F1" s="3152"/>
      <c r="G1" s="3152"/>
      <c r="H1" s="3152"/>
      <c r="I1" s="3152"/>
      <c r="J1" s="3152"/>
      <c r="K1" s="3152"/>
      <c r="L1" s="3152"/>
      <c r="M1" s="3152"/>
    </row>
    <row r="2" spans="1:13" ht="27" customHeight="1">
      <c r="A2" s="3151"/>
      <c r="B2" s="3151"/>
      <c r="C2" s="3151"/>
      <c r="D2" s="3152"/>
      <c r="E2" s="3152" t="s">
        <v>37</v>
      </c>
      <c r="F2" s="3152" t="s">
        <v>38</v>
      </c>
      <c r="G2" s="3152"/>
      <c r="H2" s="3152"/>
      <c r="I2" s="3152"/>
      <c r="J2" s="3152" t="s">
        <v>39</v>
      </c>
      <c r="K2" s="3152"/>
      <c r="L2" s="3152"/>
      <c r="M2" s="3152"/>
    </row>
    <row r="3" spans="1:13" ht="28.5">
      <c r="A3" s="3151"/>
      <c r="B3" s="3151"/>
      <c r="C3" s="3151"/>
      <c r="D3" s="3152"/>
      <c r="E3" s="315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2" t="s">
        <v>55</v>
      </c>
      <c r="B9" s="3152"/>
      <c r="C9" s="315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00B0F0"/>
    <pageSetUpPr fitToPage="1"/>
  </sheetPr>
  <dimension ref="A1:S33"/>
  <sheetViews>
    <sheetView view="pageBreakPreview" zoomScale="90" zoomScaleSheetLayoutView="90" workbookViewId="0">
      <selection activeCell="G54" sqref="G54"/>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1935</v>
      </c>
      <c r="B1" s="1394"/>
      <c r="C1" s="1394"/>
      <c r="D1" s="1394"/>
      <c r="E1" s="1394"/>
      <c r="F1" s="1394"/>
      <c r="G1" s="1394"/>
      <c r="H1" s="1394"/>
      <c r="I1" s="1394"/>
      <c r="J1" s="1394"/>
      <c r="K1" s="1394"/>
      <c r="L1" s="1394"/>
      <c r="M1" s="1394"/>
      <c r="N1" s="1394"/>
      <c r="O1" s="1394"/>
      <c r="P1" s="1394"/>
    </row>
    <row r="2" spans="1:16" ht="15">
      <c r="A2" s="3162" t="s">
        <v>1936</v>
      </c>
      <c r="B2" s="3162"/>
      <c r="C2" s="3162"/>
      <c r="D2" s="969" t="s">
        <v>1912</v>
      </c>
      <c r="E2" s="2224" t="s">
        <v>1913</v>
      </c>
      <c r="F2" s="1394"/>
      <c r="G2" s="2225"/>
      <c r="H2" s="2226"/>
      <c r="I2" s="2227" t="s">
        <v>1937</v>
      </c>
      <c r="J2" s="1394"/>
      <c r="K2" s="1394"/>
      <c r="L2" s="1394"/>
      <c r="M2" s="1394"/>
      <c r="N2" s="1429"/>
      <c r="O2" s="1394"/>
      <c r="P2" s="1394"/>
    </row>
    <row r="3" spans="1:16" ht="15.75" thickBot="1">
      <c r="A3" s="3163" t="s">
        <v>1910</v>
      </c>
      <c r="B3" s="3163"/>
      <c r="C3" s="3163"/>
      <c r="D3" s="46">
        <f>'数据-基础表'!AY6</f>
        <v>2218.67</v>
      </c>
      <c r="E3" s="46">
        <f>'数据-基础表'!AZ5</f>
        <v>7765.3499999999995</v>
      </c>
      <c r="F3" s="1394"/>
      <c r="G3" s="1401"/>
      <c r="H3" s="1249" t="s">
        <v>1911</v>
      </c>
      <c r="I3" s="55">
        <f>ROUND('数据-基础表'!B3/'数据-基础表'!A3,2)</f>
        <v>3.5</v>
      </c>
      <c r="J3" s="1394"/>
      <c r="K3" s="1394"/>
      <c r="L3" s="1394"/>
      <c r="M3" s="1394"/>
      <c r="N3" s="1429"/>
      <c r="O3" s="1394"/>
      <c r="P3" s="1394"/>
    </row>
    <row r="4" spans="1:16" ht="15">
      <c r="A4" s="3164"/>
      <c r="B4" s="3165"/>
      <c r="C4" s="3166"/>
      <c r="D4" s="2228" t="s">
        <v>1912</v>
      </c>
      <c r="E4" s="2229" t="s">
        <v>1913</v>
      </c>
      <c r="F4" s="1394"/>
      <c r="G4" s="2230" t="s">
        <v>1938</v>
      </c>
      <c r="H4" s="1249" t="s">
        <v>1918</v>
      </c>
      <c r="I4" s="55">
        <f>ROUND(SUMIF('数据-基础表'!I9:AS9,"地上",'数据-基础表'!I5:AS5)/'数据-基础表'!A3,2)</f>
        <v>3.5</v>
      </c>
      <c r="J4" s="1394"/>
      <c r="K4" s="1394"/>
      <c r="L4" s="1394"/>
      <c r="M4" s="1394"/>
      <c r="N4" s="1429"/>
      <c r="O4" s="1394"/>
      <c r="P4" s="1394"/>
    </row>
    <row r="5" spans="1:16">
      <c r="A5" s="47" t="s">
        <v>1914</v>
      </c>
      <c r="B5" s="3167" t="s">
        <v>1915</v>
      </c>
      <c r="C5" s="3167"/>
      <c r="D5" s="48">
        <f>ROUND($D$3*E5/$E$3,2)</f>
        <v>0</v>
      </c>
      <c r="E5" s="49">
        <f>SUMIF('数据-基础表'!$11:$11,"住宅",'数据-基础表'!$5:$5)</f>
        <v>0</v>
      </c>
      <c r="F5" s="1394"/>
      <c r="G5" s="1401"/>
      <c r="H5" s="1249" t="s">
        <v>1911</v>
      </c>
      <c r="I5" s="55">
        <f>ROUND(E31/D31,2)</f>
        <v>3.5</v>
      </c>
      <c r="J5" s="1394"/>
      <c r="K5" s="1394"/>
      <c r="L5" s="1394"/>
      <c r="M5" s="1394"/>
      <c r="N5" s="1394"/>
      <c r="O5" s="1394"/>
      <c r="P5" s="1394"/>
    </row>
    <row r="6" spans="1:16" ht="15" thickBot="1">
      <c r="A6" s="2231"/>
      <c r="B6" s="3167" t="s">
        <v>1916</v>
      </c>
      <c r="C6" s="3167"/>
      <c r="D6" s="48">
        <f>ROUND($D$3*E6/$E$3,2)</f>
        <v>2218.67</v>
      </c>
      <c r="E6" s="49">
        <f>E3-E5</f>
        <v>7765.3499999999995</v>
      </c>
      <c r="F6" s="1394"/>
      <c r="G6" s="2232" t="s">
        <v>1917</v>
      </c>
      <c r="H6" s="1401" t="s">
        <v>1918</v>
      </c>
      <c r="I6" s="941">
        <f>ROUND(F31/D31,2)</f>
        <v>3.5</v>
      </c>
      <c r="J6" s="1394"/>
      <c r="K6" s="1394"/>
      <c r="L6" s="1394"/>
      <c r="M6" s="1394"/>
      <c r="N6" s="1394"/>
      <c r="O6" s="1394"/>
      <c r="P6" s="1394"/>
    </row>
    <row r="7" spans="1:16" ht="15">
      <c r="A7" s="3159"/>
      <c r="B7" s="3160"/>
      <c r="C7" s="3161"/>
      <c r="D7" s="2228" t="s">
        <v>1912</v>
      </c>
      <c r="E7" s="2233" t="s">
        <v>1919</v>
      </c>
      <c r="F7" s="1394"/>
      <c r="G7" s="2225" t="s">
        <v>1920</v>
      </c>
      <c r="H7" s="64"/>
      <c r="I7" s="421"/>
      <c r="J7" s="1394"/>
      <c r="K7" s="1394"/>
      <c r="L7" s="1394"/>
      <c r="M7" s="1394"/>
      <c r="N7" s="1394"/>
      <c r="O7" s="1394"/>
      <c r="P7" s="1394"/>
    </row>
    <row r="8" spans="1:16" ht="15" thickBot="1">
      <c r="A8" s="47" t="s">
        <v>1921</v>
      </c>
      <c r="B8" s="50" t="s">
        <v>1922</v>
      </c>
      <c r="C8" s="48" t="s">
        <v>1923</v>
      </c>
      <c r="D8" s="48">
        <f t="shared" ref="D8:D15" si="0">ROUND($D$3*E8/$E$3,2)</f>
        <v>2218.67</v>
      </c>
      <c r="E8" s="51">
        <f>SUMIF('数据-基础表'!BB10:BK10,"地上",'数据-基础表'!BB5:BK5)</f>
        <v>7765.3499999999995</v>
      </c>
      <c r="F8" s="1394"/>
      <c r="G8" s="2234"/>
      <c r="H8" s="2234"/>
      <c r="I8" s="1394"/>
      <c r="J8" s="1394"/>
      <c r="K8" s="1394"/>
      <c r="L8" s="1394"/>
      <c r="M8" s="1394"/>
      <c r="N8" s="1394"/>
      <c r="O8" s="1394"/>
      <c r="P8" s="1394"/>
    </row>
    <row r="9" spans="1:16" hidden="1">
      <c r="A9" s="2235"/>
      <c r="B9" s="2236"/>
      <c r="C9" s="48" t="s">
        <v>1924</v>
      </c>
      <c r="D9" s="48">
        <f t="shared" si="0"/>
        <v>0</v>
      </c>
      <c r="E9" s="52">
        <v>0</v>
      </c>
      <c r="F9" s="1394"/>
      <c r="G9" s="2234"/>
      <c r="H9" s="2234"/>
      <c r="I9" s="1394"/>
      <c r="J9" s="1394"/>
      <c r="K9" s="1394"/>
      <c r="L9" s="1394"/>
      <c r="M9" s="1394"/>
      <c r="N9" s="1394"/>
      <c r="O9" s="1394"/>
      <c r="P9" s="1394"/>
    </row>
    <row r="10" spans="1:16" hidden="1">
      <c r="A10" s="2235"/>
      <c r="B10" s="2236"/>
      <c r="C10" s="48" t="s">
        <v>1933</v>
      </c>
      <c r="D10" s="48">
        <f t="shared" si="0"/>
        <v>0</v>
      </c>
      <c r="E10" s="51">
        <f>SUMPRODUCT(('数据-基础表'!BB10:BK10="地下")*('数据-基础表'!BB11:BK11="商业")*('数据-基础表'!BB5:BK5))</f>
        <v>0</v>
      </c>
      <c r="F10" s="1394"/>
      <c r="G10" s="2234"/>
      <c r="H10" s="2234"/>
      <c r="I10" s="1394"/>
      <c r="J10" s="1394"/>
      <c r="K10" s="1394"/>
      <c r="L10" s="1394"/>
      <c r="M10" s="1394"/>
      <c r="N10" s="1394"/>
      <c r="O10" s="1394"/>
      <c r="P10" s="1394"/>
    </row>
    <row r="11" spans="1:16" hidden="1">
      <c r="A11" s="2235"/>
      <c r="B11" s="2236"/>
      <c r="C11" s="48" t="s">
        <v>1925</v>
      </c>
      <c r="D11" s="48">
        <f t="shared" si="0"/>
        <v>0</v>
      </c>
      <c r="E11" s="51">
        <f>SUMPRODUCT(('数据-基础表'!BB10:BK10="地下")*('数据-基础表'!BB11:BK11="办公")*('数据-基础表'!BB5:BK5))+'数据-基础表'!BP5</f>
        <v>0</v>
      </c>
      <c r="F11" s="1394"/>
      <c r="G11" s="2234"/>
      <c r="H11" s="2234"/>
      <c r="I11" s="1394"/>
      <c r="J11" s="1394"/>
      <c r="K11" s="1394"/>
      <c r="L11" s="1394"/>
      <c r="M11" s="1394"/>
      <c r="N11" s="1394"/>
      <c r="O11" s="1394"/>
      <c r="P11" s="1394"/>
    </row>
    <row r="12" spans="1:16" hidden="1">
      <c r="A12" s="2235"/>
      <c r="B12" s="2236"/>
      <c r="C12" s="48" t="s">
        <v>1926</v>
      </c>
      <c r="D12" s="48">
        <f t="shared" si="0"/>
        <v>0</v>
      </c>
      <c r="E12" s="51">
        <f>SUMPRODUCT(('数据-基础表'!BB10:BK10="地下")*('数据-基础表'!BB11:BK11="仓储")*('数据-基础表'!BB5:BK5))</f>
        <v>0</v>
      </c>
      <c r="F12" s="1394"/>
      <c r="G12" s="2234"/>
      <c r="H12" s="2234"/>
      <c r="I12" s="1394"/>
      <c r="J12" s="1394"/>
      <c r="K12" s="1394"/>
      <c r="L12" s="1394"/>
      <c r="M12" s="1394"/>
      <c r="N12" s="1394"/>
      <c r="O12" s="1394"/>
      <c r="P12" s="1394"/>
    </row>
    <row r="13" spans="1:16" hidden="1">
      <c r="A13" s="2235"/>
      <c r="B13" s="2236"/>
      <c r="C13" s="48" t="s">
        <v>1927</v>
      </c>
      <c r="D13" s="48">
        <f t="shared" si="0"/>
        <v>0</v>
      </c>
      <c r="E13" s="51">
        <f>SUMPRODUCT(('数据-基础表'!BB10:BK10="地下")*('数据-基础表'!BB11:BK11="车库")*('数据-基础表'!BB5:BK5))</f>
        <v>0</v>
      </c>
      <c r="F13" s="1394"/>
      <c r="G13" s="2234"/>
      <c r="H13" s="2234"/>
      <c r="I13" s="1394"/>
      <c r="J13" s="1394"/>
      <c r="K13" s="1394"/>
      <c r="L13" s="1394"/>
      <c r="M13" s="1394"/>
      <c r="N13" s="1394"/>
      <c r="O13" s="1394"/>
      <c r="P13" s="1394"/>
    </row>
    <row r="14" spans="1:16" hidden="1">
      <c r="A14" s="2235"/>
      <c r="B14" s="2236"/>
      <c r="C14" s="48" t="s">
        <v>1939</v>
      </c>
      <c r="D14" s="48">
        <f t="shared" si="0"/>
        <v>0</v>
      </c>
      <c r="E14" s="51">
        <f>SUMPRODUCT(('数据-基础表'!BB10:BK10="地下")*('数据-基础表'!BB11:BK11="车库—商业")*('数据-基础表'!BB5:BK5))</f>
        <v>0</v>
      </c>
      <c r="F14" s="1394"/>
      <c r="G14" s="2234"/>
      <c r="H14" s="2234"/>
      <c r="I14" s="1394"/>
      <c r="J14" s="1394"/>
      <c r="K14" s="1394"/>
      <c r="L14" s="1394"/>
      <c r="M14" s="1394"/>
      <c r="N14" s="1394"/>
      <c r="O14" s="1394"/>
      <c r="P14" s="1394"/>
    </row>
    <row r="15" spans="1:16" ht="15" hidden="1" thickBot="1">
      <c r="A15" s="2235"/>
      <c r="B15" s="2236"/>
      <c r="C15" s="48" t="s">
        <v>1934</v>
      </c>
      <c r="D15" s="48">
        <f t="shared" si="0"/>
        <v>0</v>
      </c>
      <c r="E15" s="51">
        <f>SUMPRODUCT(('数据-基础表'!BB10:BK10="地下")*('数据-基础表'!BB11:BK11="车库—办公")*('数据-基础表'!BB5:BK5))</f>
        <v>0</v>
      </c>
      <c r="F15" s="1394"/>
      <c r="G15" s="2234"/>
      <c r="H15" s="2234"/>
      <c r="I15" s="1394"/>
      <c r="J15" s="1394"/>
      <c r="K15" s="1394"/>
      <c r="L15" s="1394"/>
      <c r="M15" s="1394"/>
      <c r="N15" s="1394"/>
      <c r="O15" s="1394"/>
      <c r="P15" s="1394"/>
    </row>
    <row r="16" spans="1:16" ht="15.75" thickBot="1">
      <c r="A16" s="2231"/>
      <c r="B16" s="2236"/>
      <c r="C16" s="50" t="s">
        <v>1928</v>
      </c>
      <c r="D16" s="50">
        <f>SUM(D8:D15)</f>
        <v>2218.67</v>
      </c>
      <c r="E16" s="53">
        <f>SUM(E8:E15)</f>
        <v>7765.3499999999995</v>
      </c>
      <c r="F16" s="1394"/>
      <c r="G16" s="2234"/>
      <c r="H16" s="2237" t="s">
        <v>1940</v>
      </c>
      <c r="I16" s="2238"/>
      <c r="J16" s="1394"/>
      <c r="K16" s="3156" t="s">
        <v>1940</v>
      </c>
      <c r="L16" s="3157"/>
      <c r="M16" s="3157"/>
      <c r="N16" s="3157"/>
      <c r="O16" s="3157"/>
      <c r="P16" s="3158"/>
    </row>
    <row r="17" spans="1:19" ht="15">
      <c r="A17" s="2239" t="s">
        <v>1941</v>
      </c>
      <c r="B17" s="2240" t="s">
        <v>1942</v>
      </c>
      <c r="C17" s="2241" t="s">
        <v>1943</v>
      </c>
      <c r="D17" s="2242" t="s">
        <v>1931</v>
      </c>
      <c r="E17" s="2243" t="s">
        <v>1932</v>
      </c>
      <c r="F17" s="2244"/>
      <c r="G17" s="2245"/>
      <c r="H17" s="2246" t="s">
        <v>1944</v>
      </c>
      <c r="I17" s="2247" t="s">
        <v>1929</v>
      </c>
      <c r="J17" s="1394"/>
      <c r="K17" s="3153" t="s">
        <v>1945</v>
      </c>
      <c r="L17" s="3154"/>
      <c r="M17" s="3155"/>
      <c r="N17" s="3153" t="s">
        <v>1946</v>
      </c>
      <c r="O17" s="3154"/>
      <c r="P17" s="3155"/>
      <c r="R17" s="2225" t="s">
        <v>1947</v>
      </c>
      <c r="S17" s="64"/>
    </row>
    <row r="18" spans="1:19" ht="15">
      <c r="A18" s="2235"/>
      <c r="B18" s="2248"/>
      <c r="C18" s="2249"/>
      <c r="D18" s="2250"/>
      <c r="E18" s="2251" t="s">
        <v>1948</v>
      </c>
      <c r="F18" s="2252" t="s">
        <v>1949</v>
      </c>
      <c r="G18" s="2253" t="s">
        <v>1950</v>
      </c>
      <c r="H18" s="1264" t="s">
        <v>1951</v>
      </c>
      <c r="I18" s="2254" t="s">
        <v>1952</v>
      </c>
      <c r="J18" s="1394"/>
      <c r="K18" s="1264" t="s">
        <v>1953</v>
      </c>
      <c r="L18" s="2255" t="s">
        <v>1954</v>
      </c>
      <c r="M18" s="1048" t="s">
        <v>1955</v>
      </c>
      <c r="N18" s="1264" t="s">
        <v>1953</v>
      </c>
      <c r="O18" s="2255" t="s">
        <v>1954</v>
      </c>
      <c r="P18" s="1048" t="s">
        <v>1955</v>
      </c>
      <c r="R18" s="1249" t="s">
        <v>1956</v>
      </c>
      <c r="S18" s="1249" t="s">
        <v>1957</v>
      </c>
    </row>
    <row r="19" spans="1:19">
      <c r="A19" s="2256"/>
      <c r="B19" s="50" t="s">
        <v>1930</v>
      </c>
      <c r="C19" s="3074" t="s">
        <v>3241</v>
      </c>
      <c r="D19" s="48">
        <f>ROUND($D$3*E19/$E$3,2)</f>
        <v>443.73</v>
      </c>
      <c r="E19" s="56">
        <f t="shared" ref="E19:E26" si="1">SUM(F19:G19)</f>
        <v>1553.07</v>
      </c>
      <c r="F19" s="3075">
        <f>'数据-基础表'!K13</f>
        <v>1553.07</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57"/>
      <c r="O19" s="2258"/>
      <c r="P19" s="1405">
        <f>N19+O19</f>
        <v>0</v>
      </c>
      <c r="R19" s="1249">
        <f t="shared" ref="R19:S26" si="5">D19+H19</f>
        <v>443.73</v>
      </c>
      <c r="S19" s="1250">
        <f t="shared" si="5"/>
        <v>1553.07</v>
      </c>
    </row>
    <row r="20" spans="1:19">
      <c r="A20" s="2259"/>
      <c r="B20" s="50" t="s">
        <v>1958</v>
      </c>
      <c r="C20" s="3074" t="s">
        <v>3242</v>
      </c>
      <c r="D20" s="48">
        <f t="shared" ref="D20:D26" si="6">ROUND($D$3*E20/$E$3,2)</f>
        <v>1774.94</v>
      </c>
      <c r="E20" s="56">
        <f t="shared" si="1"/>
        <v>6212.28</v>
      </c>
      <c r="F20" s="3075">
        <f>'数据-基础表'!K14</f>
        <v>6212.28</v>
      </c>
      <c r="G20" s="58"/>
      <c r="H20" s="722">
        <f t="shared" ref="H20:H26" si="7">ROUND($D$3*I20/$E$3,2)</f>
        <v>0</v>
      </c>
      <c r="I20" s="51">
        <f t="shared" si="2"/>
        <v>0</v>
      </c>
      <c r="J20" s="1394"/>
      <c r="K20" s="1393">
        <f t="shared" si="3"/>
        <v>0</v>
      </c>
      <c r="L20" s="1249">
        <f t="shared" si="4"/>
        <v>0</v>
      </c>
      <c r="M20" s="1405">
        <f t="shared" ref="M20:M26" si="8">K20+L20</f>
        <v>0</v>
      </c>
      <c r="N20" s="2257"/>
      <c r="O20" s="2258"/>
      <c r="P20" s="1405">
        <f t="shared" ref="P20:P26" si="9">N20+O20</f>
        <v>0</v>
      </c>
      <c r="R20" s="1249">
        <f t="shared" si="5"/>
        <v>1774.94</v>
      </c>
      <c r="S20" s="1250">
        <f t="shared" si="5"/>
        <v>6212.28</v>
      </c>
    </row>
    <row r="21" spans="1:19" hidden="1">
      <c r="A21" s="2259"/>
      <c r="B21" s="50" t="s">
        <v>1958</v>
      </c>
      <c r="C21" s="2928"/>
      <c r="D21" s="48">
        <f t="shared" si="6"/>
        <v>0</v>
      </c>
      <c r="E21" s="56">
        <f t="shared" si="1"/>
        <v>0</v>
      </c>
      <c r="F21" s="57"/>
      <c r="G21" s="58"/>
      <c r="H21" s="722">
        <f t="shared" si="7"/>
        <v>0</v>
      </c>
      <c r="I21" s="51">
        <f t="shared" si="2"/>
        <v>0</v>
      </c>
      <c r="J21" s="1394"/>
      <c r="K21" s="1393">
        <f t="shared" si="3"/>
        <v>0</v>
      </c>
      <c r="L21" s="1249">
        <f t="shared" si="4"/>
        <v>0</v>
      </c>
      <c r="M21" s="1405">
        <f t="shared" si="8"/>
        <v>0</v>
      </c>
      <c r="N21" s="2257"/>
      <c r="O21" s="2258"/>
      <c r="P21" s="1405">
        <f t="shared" si="9"/>
        <v>0</v>
      </c>
      <c r="R21" s="1249">
        <f t="shared" si="5"/>
        <v>0</v>
      </c>
      <c r="S21" s="1250">
        <f t="shared" si="5"/>
        <v>0</v>
      </c>
    </row>
    <row r="22" spans="1:19" hidden="1">
      <c r="A22" s="2259"/>
      <c r="B22" s="50" t="s">
        <v>1958</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57"/>
      <c r="O22" s="2258"/>
      <c r="P22" s="1405">
        <f t="shared" si="9"/>
        <v>0</v>
      </c>
      <c r="R22" s="1249">
        <f t="shared" si="5"/>
        <v>0</v>
      </c>
      <c r="S22" s="1250">
        <f t="shared" si="5"/>
        <v>0</v>
      </c>
    </row>
    <row r="23" spans="1:19" hidden="1">
      <c r="A23" s="2259"/>
      <c r="B23" s="50" t="s">
        <v>1958</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57"/>
      <c r="O23" s="2258"/>
      <c r="P23" s="1405">
        <f t="shared" si="9"/>
        <v>0</v>
      </c>
      <c r="R23" s="1249">
        <f t="shared" si="5"/>
        <v>0</v>
      </c>
      <c r="S23" s="1250">
        <f t="shared" si="5"/>
        <v>0</v>
      </c>
    </row>
    <row r="24" spans="1:19" hidden="1">
      <c r="A24" s="2259"/>
      <c r="B24" s="50" t="s">
        <v>1958</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57"/>
      <c r="O24" s="2258"/>
      <c r="P24" s="1405">
        <f t="shared" si="9"/>
        <v>0</v>
      </c>
      <c r="R24" s="1249">
        <f t="shared" si="5"/>
        <v>0</v>
      </c>
      <c r="S24" s="1250">
        <f t="shared" si="5"/>
        <v>0</v>
      </c>
    </row>
    <row r="25" spans="1:19" hidden="1">
      <c r="A25" s="2259"/>
      <c r="B25" s="50" t="s">
        <v>1958</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57"/>
      <c r="O25" s="2258"/>
      <c r="P25" s="1405">
        <f t="shared" si="9"/>
        <v>0</v>
      </c>
      <c r="R25" s="1249">
        <f t="shared" si="5"/>
        <v>0</v>
      </c>
      <c r="S25" s="1250">
        <f t="shared" si="5"/>
        <v>0</v>
      </c>
    </row>
    <row r="26" spans="1:19" hidden="1">
      <c r="A26" s="2259"/>
      <c r="B26" s="50" t="s">
        <v>1958</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0"/>
      <c r="O26" s="2261"/>
      <c r="P26" s="67">
        <f t="shared" si="9"/>
        <v>0</v>
      </c>
      <c r="R26" s="1249">
        <f t="shared" si="5"/>
        <v>0</v>
      </c>
      <c r="S26" s="1250">
        <f t="shared" si="5"/>
        <v>0</v>
      </c>
    </row>
    <row r="27" spans="1:19" ht="15.75" thickBot="1">
      <c r="A27" s="2259"/>
      <c r="B27" s="48"/>
      <c r="C27" s="2262" t="s">
        <v>1959</v>
      </c>
      <c r="D27" s="1395">
        <f>SUM(D19:D26)</f>
        <v>2218.67</v>
      </c>
      <c r="E27" s="1396">
        <f>IF(SUM(E19:E26)='数据-基础表'!BA5,SUM(E19:E26),IF(F27="地上面积有误","面积有误","地下面积有误"))</f>
        <v>7765.3499999999995</v>
      </c>
      <c r="F27" s="1395">
        <f>IF(SUM(F19:F26)=E8,SUM(F19:F26),"地上面积有误")</f>
        <v>7765.3499999999995</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2218.67</v>
      </c>
      <c r="S27" s="1249">
        <f>IF(SUM(S19:S26)=$E$3,SUM(S19:S26),SUM(S19:S26)&amp;"误差"&amp;ROUND(SUM(S19:S26)-E3,2))</f>
        <v>7765.3499999999995</v>
      </c>
    </row>
    <row r="28" spans="1:19">
      <c r="A28" s="2259"/>
      <c r="B28" s="50" t="s">
        <v>1960</v>
      </c>
      <c r="C28" s="1261" t="s">
        <v>1961</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59"/>
      <c r="B29" s="50" t="s">
        <v>1960</v>
      </c>
      <c r="C29" s="2263" t="s">
        <v>1962</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59"/>
      <c r="B30" s="50"/>
      <c r="C30" s="2264" t="s">
        <v>1959</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5"/>
      <c r="B31" s="2266"/>
      <c r="C31" s="1009" t="s">
        <v>1963</v>
      </c>
      <c r="D31" s="728">
        <f>D27+D30</f>
        <v>2218.67</v>
      </c>
      <c r="E31" s="728">
        <f>E27+E30</f>
        <v>7765.3499999999995</v>
      </c>
      <c r="F31" s="729">
        <f>F27+F30</f>
        <v>7765.3499999999995</v>
      </c>
      <c r="G31" s="730">
        <f>G27+G30</f>
        <v>0</v>
      </c>
      <c r="H31" s="1394"/>
      <c r="I31" s="1394"/>
      <c r="J31" s="1394"/>
      <c r="K31" s="1394"/>
      <c r="L31" s="1394"/>
      <c r="M31" s="1394"/>
      <c r="N31" s="1394"/>
      <c r="O31" s="1394"/>
      <c r="P31" s="1394"/>
    </row>
    <row r="32" spans="1:19">
      <c r="A32" s="2230"/>
      <c r="B32" s="2230" t="s">
        <v>1964</v>
      </c>
      <c r="C32" s="2230"/>
      <c r="D32" s="2230"/>
      <c r="E32" s="1276">
        <f>SUMIF(C19:C26,"*住宅*",E19:E26)</f>
        <v>0</v>
      </c>
      <c r="F32" s="2230"/>
      <c r="G32" s="2230"/>
      <c r="H32" s="1394"/>
      <c r="I32" s="1394"/>
      <c r="J32" s="1394"/>
      <c r="K32" s="1394"/>
      <c r="L32" s="1394"/>
      <c r="M32" s="1394"/>
      <c r="N32" s="1394"/>
      <c r="O32" s="1394"/>
      <c r="P32" s="1394"/>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29" sqref="E29"/>
    </sheetView>
  </sheetViews>
  <sheetFormatPr defaultColWidth="13.75" defaultRowHeight="12.75"/>
  <cols>
    <col min="1" max="1" width="20.875" style="2340" customWidth="1"/>
    <col min="2" max="2" width="12" style="2271" customWidth="1"/>
    <col min="3" max="3" width="10.75" style="2271" customWidth="1"/>
    <col min="4" max="4" width="9.125" style="2341" customWidth="1"/>
    <col min="5" max="5" width="15" style="2271" bestFit="1" customWidth="1"/>
    <col min="6" max="10" width="8.875" style="2271" customWidth="1"/>
    <col min="11" max="12" width="12.375" style="2186"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25" width="6.75" style="2271" customWidth="1"/>
    <col min="26" max="30" width="6.75" style="2271" hidden="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1965</v>
      </c>
      <c r="B1" s="731"/>
      <c r="C1" s="1584"/>
      <c r="D1" s="2269"/>
      <c r="E1" s="1584"/>
      <c r="F1" s="1584"/>
      <c r="G1" s="1584"/>
      <c r="H1" s="1584"/>
      <c r="I1" s="1584"/>
      <c r="J1" s="1584"/>
      <c r="K1" s="169"/>
      <c r="L1" s="169"/>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3" customFormat="1" ht="15.75" thickBot="1">
      <c r="A2" s="2272" t="s">
        <v>1966</v>
      </c>
      <c r="B2" s="1268">
        <f>项目基本情况!D3</f>
        <v>43049</v>
      </c>
      <c r="C2" s="2273"/>
      <c r="D2" s="2274"/>
      <c r="E2" s="2273"/>
      <c r="F2" s="2273"/>
      <c r="G2" s="2273"/>
      <c r="H2" s="2273"/>
      <c r="I2" s="2273"/>
      <c r="J2" s="2273"/>
      <c r="K2" s="1429"/>
      <c r="L2" s="1429"/>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3" customFormat="1" ht="15" thickBot="1">
      <c r="A3" s="2031"/>
      <c r="B3" s="2276"/>
      <c r="C3" s="2273"/>
      <c r="D3" s="2274"/>
      <c r="E3" s="2273"/>
      <c r="F3" s="2273"/>
      <c r="G3" s="2273"/>
      <c r="H3" s="2273"/>
      <c r="I3" s="2273"/>
      <c r="J3" s="2273"/>
      <c r="K3" s="1429"/>
      <c r="L3" s="1429"/>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3" customFormat="1" ht="15" thickBot="1">
      <c r="A4" s="68" t="s">
        <v>1967</v>
      </c>
      <c r="B4" s="2277"/>
      <c r="C4" s="2278"/>
      <c r="D4" s="2279"/>
      <c r="E4" s="2278" t="s">
        <v>1968</v>
      </c>
      <c r="F4" s="2278"/>
      <c r="G4" s="2278"/>
      <c r="H4" s="2278"/>
      <c r="I4" s="2278"/>
      <c r="J4" s="2280"/>
      <c r="K4" s="2281"/>
      <c r="L4" s="2282"/>
      <c r="M4" s="2278"/>
      <c r="N4" s="2278" t="s">
        <v>1969</v>
      </c>
      <c r="O4" s="2278"/>
      <c r="P4" s="2278"/>
      <c r="Q4" s="2278"/>
      <c r="R4" s="2278"/>
      <c r="S4" s="2280"/>
      <c r="T4" s="2283" t="str">
        <f>'数据-汇总表'!I17</f>
        <v>按面积比例</v>
      </c>
      <c r="U4" s="2277" t="s">
        <v>1970</v>
      </c>
      <c r="V4" s="2278"/>
      <c r="W4" s="2278"/>
      <c r="X4" s="2278"/>
      <c r="Y4" s="2280"/>
      <c r="Z4" s="2241" t="s">
        <v>1971</v>
      </c>
      <c r="AA4" s="2241"/>
      <c r="AB4" s="2241"/>
      <c r="AC4" s="2241"/>
      <c r="AD4" s="2241"/>
      <c r="AE4" s="2239" t="s">
        <v>1972</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4" customFormat="1" ht="42">
      <c r="A5" s="2285" t="s">
        <v>1973</v>
      </c>
      <c r="B5" s="2286" t="s">
        <v>1974</v>
      </c>
      <c r="C5" s="2287" t="s">
        <v>1975</v>
      </c>
      <c r="D5" s="2288" t="s">
        <v>1976</v>
      </c>
      <c r="E5" s="1270" t="s">
        <v>1977</v>
      </c>
      <c r="F5" s="2289" t="s">
        <v>1978</v>
      </c>
      <c r="G5" s="1270" t="s">
        <v>1979</v>
      </c>
      <c r="H5" s="1270" t="s">
        <v>1980</v>
      </c>
      <c r="I5" s="1270" t="s">
        <v>1981</v>
      </c>
      <c r="J5" s="2290" t="s">
        <v>1982</v>
      </c>
      <c r="K5" s="2291" t="s">
        <v>1983</v>
      </c>
      <c r="L5" s="2292" t="s">
        <v>1984</v>
      </c>
      <c r="M5" s="2293" t="s">
        <v>1985</v>
      </c>
      <c r="N5" s="2294" t="s">
        <v>3157</v>
      </c>
      <c r="O5" s="2292" t="s">
        <v>1986</v>
      </c>
      <c r="P5" s="2295" t="s">
        <v>1987</v>
      </c>
      <c r="Q5" s="69" t="s">
        <v>1988</v>
      </c>
      <c r="R5" s="2296" t="s">
        <v>1989</v>
      </c>
      <c r="S5" s="2297" t="s">
        <v>1990</v>
      </c>
      <c r="T5" s="2298" t="s">
        <v>1991</v>
      </c>
      <c r="U5" s="1269" t="s">
        <v>1992</v>
      </c>
      <c r="V5" s="1270" t="s">
        <v>1993</v>
      </c>
      <c r="W5" s="1270" t="s">
        <v>1994</v>
      </c>
      <c r="X5" s="71"/>
      <c r="Y5" s="70" t="s">
        <v>1995</v>
      </c>
      <c r="Z5" s="2299" t="s">
        <v>1992</v>
      </c>
      <c r="AA5" s="1270" t="s">
        <v>1993</v>
      </c>
      <c r="AB5" s="1270" t="s">
        <v>1994</v>
      </c>
      <c r="AC5" s="71"/>
      <c r="AD5" s="71" t="s">
        <v>1995</v>
      </c>
      <c r="AE5" s="1269" t="s">
        <v>1996</v>
      </c>
      <c r="AF5" s="1270" t="s">
        <v>1997</v>
      </c>
      <c r="AG5" s="70" t="s">
        <v>1998</v>
      </c>
      <c r="AH5" s="1269" t="s">
        <v>1999</v>
      </c>
      <c r="AI5" s="2299" t="s">
        <v>2000</v>
      </c>
      <c r="AJ5" s="2299" t="s">
        <v>2001</v>
      </c>
      <c r="AK5" s="1270" t="s">
        <v>2002</v>
      </c>
      <c r="AL5" s="1270" t="s">
        <v>2003</v>
      </c>
      <c r="AM5" s="70" t="s">
        <v>2004</v>
      </c>
      <c r="AN5" s="2300" t="s">
        <v>2005</v>
      </c>
      <c r="AO5" s="2071" t="s">
        <v>2006</v>
      </c>
      <c r="AP5" s="1251" t="s">
        <v>2007</v>
      </c>
      <c r="AQ5" s="2301" t="s">
        <v>2008</v>
      </c>
      <c r="AR5" s="2301" t="s">
        <v>2009</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3" customFormat="1" ht="14.25">
      <c r="A6" s="2302" t="str">
        <f>'数据-汇总表'!C19</f>
        <v>1层</v>
      </c>
      <c r="B6" s="2303" t="str">
        <f>IF(A6=0,"","经营性")</f>
        <v>经营性</v>
      </c>
      <c r="C6" s="2304" t="s">
        <v>1378</v>
      </c>
      <c r="D6" s="1053">
        <f>SUMIF(项目基本情况!D$12:I$12,C6,项目基本情况!D$14:I$14)</f>
        <v>40</v>
      </c>
      <c r="E6" s="1050">
        <f>IF(B6="","",SUMIF(项目基本情况!D$12:I$12,C6,项目基本情况!D$13:I$13))</f>
        <v>55620</v>
      </c>
      <c r="F6" s="72">
        <f>SUMIF(项目基本情况!D$12:I$12,C6,项目基本情况!D$15:I$15)</f>
        <v>34.44</v>
      </c>
      <c r="G6" s="73">
        <f>IF(ISERROR(ROUND(POWER(1+H6,D6-F6)*(POWER(1+H6,F6)-1)/(POWER(1+H6,D6)-1),3)),0,ROUND(POWER(1+H6,D6-F6)*(POWER(1+H6,F6)-1)/(POWER(1+H6,D6)-1),3))</f>
        <v>0.94199999999999995</v>
      </c>
      <c r="H6" s="801">
        <v>4.4999999999999998E-2</v>
      </c>
      <c r="I6" s="801">
        <v>0.05</v>
      </c>
      <c r="J6" s="3040">
        <v>7.0000000000000007E-2</v>
      </c>
      <c r="K6" s="1253">
        <f>SUMIF('数据-汇总表'!C$19:C$33,A6,'数据-汇总表'!E$19:E$33)</f>
        <v>1553.07</v>
      </c>
      <c r="L6" s="802">
        <v>1600</v>
      </c>
      <c r="M6" s="75">
        <f t="shared" ref="M6:M14" si="0">ROUND(K6*L6/10000,0)</f>
        <v>248</v>
      </c>
      <c r="N6" s="800">
        <v>0.95</v>
      </c>
      <c r="O6" s="75" t="str">
        <f>IF($N$5="成新度","——",ROUND(M6*N6,0))</f>
        <v>——</v>
      </c>
      <c r="P6" s="76" t="str">
        <f>IF($N$5="成新度","——",M6-O6)</f>
        <v>——</v>
      </c>
      <c r="Q6" s="803">
        <v>0.1</v>
      </c>
      <c r="R6" s="77">
        <f ca="1">SUMIF('数据-汇总表'!C$19:C$33,A6,'数据-汇总表'!R$19:R$27)</f>
        <v>443.73</v>
      </c>
      <c r="S6" s="54">
        <f>IF('数据-汇总表'!$I$17="按面积比例",SUMIF('数据-汇总表'!C$19:C$33,A6,'数据-汇总表'!K$19:K$33),SUMIF('数据-汇总表'!C$19:C$33,A6,'数据-汇总表'!N$19:N$33))</f>
        <v>0</v>
      </c>
      <c r="T6" s="1445">
        <f>ROUND($L$14*S6/10000,0)</f>
        <v>0</v>
      </c>
      <c r="U6" s="3041">
        <v>0.6</v>
      </c>
      <c r="V6" s="3042">
        <v>0.04</v>
      </c>
      <c r="W6" s="3042">
        <v>0.1</v>
      </c>
      <c r="X6" s="1263"/>
      <c r="Y6" s="3039">
        <f>N6</f>
        <v>0.95</v>
      </c>
      <c r="Z6" s="3043"/>
      <c r="AA6" s="3040"/>
      <c r="AB6" s="3040"/>
      <c r="AC6" s="1263"/>
      <c r="AD6" s="3044"/>
      <c r="AE6" s="1264">
        <f ca="1">IF(AN6="",0,SUMIF(INDIRECT("'"&amp;AN6&amp;"'"&amp;"!E:E"),$AE$5,INDIRECT("'"&amp;AN6&amp;"'"&amp;"!F:F")))</f>
        <v>34.44</v>
      </c>
      <c r="AF6" s="2969"/>
      <c r="AG6" s="147">
        <f>IF(AF6="",0,AE6-AF6)</f>
        <v>0</v>
      </c>
      <c r="AH6" s="83"/>
      <c r="AI6" s="85">
        <v>365</v>
      </c>
      <c r="AJ6" s="86"/>
      <c r="AK6" s="3045">
        <v>1.4999999999999999E-2</v>
      </c>
      <c r="AL6" s="3046">
        <v>1.5E-3</v>
      </c>
      <c r="AM6" s="3047">
        <v>0.01</v>
      </c>
      <c r="AN6" s="2305" t="s">
        <v>3192</v>
      </c>
      <c r="AO6" s="55">
        <f ca="1">SUMIF(INDIRECT("'"&amp;AN6&amp;"'"&amp;"!A:A"),"总价",INDIRECT("'"&amp;AN6&amp;"'"&amp;"!B:B"))</f>
        <v>533</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3" customFormat="1" ht="14.25">
      <c r="A7" s="2302" t="str">
        <f>'数据-汇总表'!C20</f>
        <v>其余</v>
      </c>
      <c r="B7" s="2303" t="str">
        <f t="shared" ref="B7:B13" si="1">IF(A7=0,"","经营性")</f>
        <v>经营性</v>
      </c>
      <c r="C7" s="2304" t="s">
        <v>1378</v>
      </c>
      <c r="D7" s="1053">
        <f>SUMIF(项目基本情况!D$12:I$12,C7,项目基本情况!D$14:I$14)</f>
        <v>40</v>
      </c>
      <c r="E7" s="1050">
        <f>IF(B7="","",SUMIF(项目基本情况!D$12:I$12,C7,项目基本情况!D$13:I$13))</f>
        <v>55620</v>
      </c>
      <c r="F7" s="72">
        <f>SUMIF(项目基本情况!D$12:I$12,C7,项目基本情况!D$15:I$15)</f>
        <v>34.44</v>
      </c>
      <c r="G7" s="73">
        <f t="shared" ref="G7:G11" si="2">IF(ISERROR(ROUND(POWER(1+H7,D7-F7)*(POWER(1+H7,F7)-1)/(POWER(1+H7,D7)-1),3)),0,ROUND(POWER(1+H7,D7-F7)*(POWER(1+H7,F7)-1)/(POWER(1+H7,D7)-1),3))</f>
        <v>0.94199999999999995</v>
      </c>
      <c r="H7" s="801">
        <v>4.4999999999999998E-2</v>
      </c>
      <c r="I7" s="801">
        <v>0.05</v>
      </c>
      <c r="J7" s="3040">
        <v>7.0000000000000007E-2</v>
      </c>
      <c r="K7" s="1253">
        <f>SUMIF('数据-汇总表'!C$19:C$33,A7,'数据-汇总表'!E$19:E$33)</f>
        <v>6212.28</v>
      </c>
      <c r="L7" s="802">
        <v>1600</v>
      </c>
      <c r="M7" s="75">
        <f t="shared" si="0"/>
        <v>994</v>
      </c>
      <c r="N7" s="800">
        <f>ROUND(1-(2017-2014)/60,2)</f>
        <v>0.95</v>
      </c>
      <c r="O7" s="75" t="str">
        <f t="shared" ref="O7:O14" si="3">IF($N$5="成新度","——",ROUND(M7*N7,0))</f>
        <v>——</v>
      </c>
      <c r="P7" s="76" t="str">
        <f t="shared" ref="P7:P14" si="4">IF($N$5="成新度","——",M7-O7)</f>
        <v>——</v>
      </c>
      <c r="Q7" s="803">
        <v>0.1</v>
      </c>
      <c r="R7" s="77">
        <f ca="1">SUMIF('数据-汇总表'!C$19:C$33,A7,'数据-汇总表'!R$19:R$27)</f>
        <v>1774.94</v>
      </c>
      <c r="S7" s="54">
        <f>IF('数据-汇总表'!$I$17="按面积比例",SUMIF('数据-汇总表'!C$19:C$33,A7,'数据-汇总表'!K$19:K$33),SUMIF('数据-汇总表'!C$19:C$33,A7,'数据-汇总表'!N$19:N$33))</f>
        <v>0</v>
      </c>
      <c r="T7" s="1445">
        <f t="shared" ref="T7:T13" si="5">ROUND($L$14*S7/10000,0)</f>
        <v>0</v>
      </c>
      <c r="U7" s="3041"/>
      <c r="V7" s="3042"/>
      <c r="W7" s="3042"/>
      <c r="X7" s="1263"/>
      <c r="Y7" s="3039"/>
      <c r="Z7" s="81"/>
      <c r="AA7" s="74"/>
      <c r="AB7" s="74"/>
      <c r="AC7" s="1263"/>
      <c r="AD7" s="82"/>
      <c r="AE7" s="1264">
        <f t="shared" ref="AE7:AE13" ca="1" si="6">IF(AN7="",0,SUMIF(INDIRECT("'"&amp;AN7&amp;"'"&amp;"!E:E"),$AE$5,INDIRECT("'"&amp;AN7&amp;"'"&amp;"!F:F")))</f>
        <v>0</v>
      </c>
      <c r="AF7" s="1807">
        <v>0</v>
      </c>
      <c r="AG7" s="147">
        <f t="shared" ref="AG7:AG13" ca="1" si="7">IF(AF7="",0,AE7-AF7)</f>
        <v>0</v>
      </c>
      <c r="AH7" s="83"/>
      <c r="AI7" s="85"/>
      <c r="AJ7" s="86"/>
      <c r="AK7" s="3045"/>
      <c r="AL7" s="3046"/>
      <c r="AM7" s="3047"/>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3" customFormat="1" ht="14.25">
      <c r="A8" s="2302">
        <f>'数据-汇总表'!C21</f>
        <v>0</v>
      </c>
      <c r="B8" s="2303" t="str">
        <f t="shared" si="1"/>
        <v/>
      </c>
      <c r="C8" s="2304"/>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7"/>
      <c r="AG8" s="147">
        <f t="shared" si="7"/>
        <v>0</v>
      </c>
      <c r="AH8" s="807"/>
      <c r="AI8" s="85"/>
      <c r="AJ8" s="86"/>
      <c r="AK8" s="808"/>
      <c r="AL8" s="809"/>
      <c r="AM8" s="810"/>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3" customFormat="1" ht="14.25">
      <c r="A9" s="2302">
        <f>'数据-汇总表'!C22</f>
        <v>0</v>
      </c>
      <c r="B9" s="2303" t="str">
        <f t="shared" si="1"/>
        <v/>
      </c>
      <c r="C9" s="2304"/>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7"/>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3" customFormat="1" ht="14.25">
      <c r="A10" s="2302">
        <f>'数据-汇总表'!C23</f>
        <v>0</v>
      </c>
      <c r="B10" s="2303" t="str">
        <f t="shared" si="1"/>
        <v/>
      </c>
      <c r="C10" s="2304"/>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7"/>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3" customFormat="1" ht="14.25">
      <c r="A11" s="2302">
        <f>'数据-汇总表'!C24</f>
        <v>0</v>
      </c>
      <c r="B11" s="2303" t="str">
        <f t="shared" si="1"/>
        <v/>
      </c>
      <c r="C11" s="2304"/>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7"/>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3" customFormat="1" ht="14.25">
      <c r="A12" s="2302">
        <f>'数据-汇总表'!C25</f>
        <v>0</v>
      </c>
      <c r="B12" s="2303" t="str">
        <f t="shared" si="1"/>
        <v/>
      </c>
      <c r="C12" s="2304"/>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7"/>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3" customFormat="1" ht="14.25">
      <c r="A13" s="2302">
        <f>'数据-汇总表'!C26</f>
        <v>0</v>
      </c>
      <c r="B13" s="2303" t="str">
        <f t="shared" si="1"/>
        <v/>
      </c>
      <c r="C13" s="2304"/>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7"/>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3" customFormat="1" ht="14.25">
      <c r="A14" s="2307" t="s">
        <v>2010</v>
      </c>
      <c r="B14" s="2303" t="s">
        <v>2011</v>
      </c>
      <c r="C14" s="2308" t="s">
        <v>2010</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18"/>
      <c r="AJ14" s="772"/>
      <c r="AK14" s="1265"/>
      <c r="AL14" s="1266"/>
      <c r="AM14" s="1267"/>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3" customFormat="1" ht="27">
      <c r="A15" s="2307" t="s">
        <v>2012</v>
      </c>
      <c r="B15" s="2303" t="s">
        <v>2011</v>
      </c>
      <c r="C15" s="2308" t="s">
        <v>2013</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8"/>
      <c r="AJ15" s="772"/>
      <c r="AK15" s="1265"/>
      <c r="AL15" s="1266"/>
      <c r="AM15" s="1267"/>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3" customFormat="1" ht="15.75" thickBot="1">
      <c r="A16" s="2309" t="s">
        <v>2014</v>
      </c>
      <c r="B16" s="97"/>
      <c r="C16" s="1007"/>
      <c r="D16" s="2310"/>
      <c r="E16" s="97"/>
      <c r="F16" s="97"/>
      <c r="G16" s="98">
        <f>ROUND(SUMPRODUCT(G6:G13,K6:K13)/SUMPRODUCT((G6:G13&gt;0)*(K6:K13)),3)</f>
        <v>0.94199999999999995</v>
      </c>
      <c r="H16" s="99">
        <f>ROUND(SUMPRODUCT(H6:H13,K6:K13)/SUMPRODUCT((H6:H13&gt;0)*(K6:K13)),3)</f>
        <v>4.4999999999999998E-2</v>
      </c>
      <c r="I16" s="100"/>
      <c r="J16" s="100"/>
      <c r="K16" s="101">
        <f>SUM(K6:K15)</f>
        <v>7765.3499999999995</v>
      </c>
      <c r="L16" s="102">
        <f>ROUND(M16*10000/SUM(K6:K14),0)</f>
        <v>1599</v>
      </c>
      <c r="M16" s="102">
        <f>SUM(M6:M14)</f>
        <v>1242</v>
      </c>
      <c r="N16" s="103">
        <f>ROUND(SUMPRODUCT(M6:M14,N6:N14)/M16,3)</f>
        <v>0.95</v>
      </c>
      <c r="O16" s="102">
        <f>SUM(O6:O14)</f>
        <v>0</v>
      </c>
      <c r="P16" s="102">
        <f>SUM(P6:P14)</f>
        <v>0</v>
      </c>
      <c r="Q16" s="104">
        <f>ROUND(SUMPRODUCT(Q6:Q13,K6:K13)/SUMPRODUCT((Q6:Q13&gt;0)*(K6:K13)),2)</f>
        <v>0.1</v>
      </c>
      <c r="R16" s="1257">
        <f ca="1">SUM(R6:R13)</f>
        <v>2218.67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1"/>
      <c r="C17" s="1584"/>
      <c r="D17" s="2269"/>
      <c r="E17" s="2269"/>
      <c r="F17" s="1584"/>
      <c r="G17" s="1584"/>
      <c r="H17" s="1584"/>
      <c r="I17" s="1584"/>
      <c r="J17" s="1584"/>
      <c r="K17" s="169"/>
      <c r="L17" s="169"/>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76"/>
      <c r="C18" s="2273"/>
      <c r="D18" s="2274"/>
      <c r="E18" s="2273"/>
      <c r="F18" s="2273"/>
      <c r="G18" s="2273"/>
      <c r="H18" s="2273"/>
      <c r="I18" s="2273"/>
      <c r="J18" s="2273"/>
      <c r="K18" s="169"/>
      <c r="L18" s="169"/>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2" t="s">
        <v>2016</v>
      </c>
      <c r="B19" s="112">
        <v>0</v>
      </c>
      <c r="C19" s="2273" t="s">
        <v>2017</v>
      </c>
      <c r="D19" s="2274"/>
      <c r="E19" s="2273"/>
      <c r="F19" s="2273"/>
      <c r="G19" s="2273"/>
      <c r="H19" s="2273"/>
      <c r="I19" s="2273"/>
      <c r="J19" s="2273"/>
      <c r="K19" s="169"/>
      <c r="L19" s="169"/>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3" t="s">
        <v>2018</v>
      </c>
      <c r="B20" s="113">
        <v>1</v>
      </c>
      <c r="C20" s="2273" t="s">
        <v>2019</v>
      </c>
      <c r="D20" s="2274"/>
      <c r="E20" s="2273"/>
      <c r="F20" s="2273"/>
      <c r="G20" s="2273"/>
      <c r="H20" s="2273"/>
      <c r="I20" s="2273"/>
      <c r="J20" s="2273"/>
      <c r="K20" s="169"/>
      <c r="L20" s="169"/>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4" t="s">
        <v>2020</v>
      </c>
      <c r="B21" s="113">
        <v>1</v>
      </c>
      <c r="C21" s="2273"/>
      <c r="D21" s="2274"/>
      <c r="E21" s="2273"/>
      <c r="F21" s="2273"/>
      <c r="G21" s="2273"/>
      <c r="H21" s="2273"/>
      <c r="I21" s="2273"/>
      <c r="J21" s="2273"/>
      <c r="K21" s="169"/>
      <c r="L21" s="169"/>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3" t="s">
        <v>2021</v>
      </c>
      <c r="B22" s="114">
        <f>B19+B20</f>
        <v>1</v>
      </c>
      <c r="C22" s="2273"/>
      <c r="D22" s="2274"/>
      <c r="E22" s="2273"/>
      <c r="F22" s="2273"/>
      <c r="G22" s="2273"/>
      <c r="H22" s="2273"/>
      <c r="I22" s="2273"/>
      <c r="J22" s="2273"/>
      <c r="K22" s="169"/>
      <c r="L22" s="169"/>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4" t="s">
        <v>2022</v>
      </c>
      <c r="B23" s="114">
        <f>B19+B21</f>
        <v>1</v>
      </c>
      <c r="C23" s="2273"/>
      <c r="D23" s="2274"/>
      <c r="E23" s="2273"/>
      <c r="F23" s="2273"/>
      <c r="G23" s="2273"/>
      <c r="H23" s="2273"/>
      <c r="I23" s="2273"/>
      <c r="J23" s="2273"/>
      <c r="K23" s="169"/>
      <c r="L23" s="169"/>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5" t="s">
        <v>2023</v>
      </c>
      <c r="B24" s="115">
        <f>B20-B21</f>
        <v>0</v>
      </c>
      <c r="C24" s="2273"/>
      <c r="D24" s="2274"/>
      <c r="E24" s="2273"/>
      <c r="F24" s="2273"/>
      <c r="G24" s="2273"/>
      <c r="H24" s="2273"/>
      <c r="I24" s="2273"/>
      <c r="J24" s="2273"/>
      <c r="K24" s="169"/>
      <c r="L24" s="169"/>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1"/>
      <c r="B25" s="2276"/>
      <c r="C25" s="2273"/>
      <c r="D25" s="2274"/>
      <c r="E25" s="2273"/>
      <c r="F25" s="2273"/>
      <c r="G25" s="2273"/>
      <c r="H25" s="2273"/>
      <c r="I25" s="2273"/>
      <c r="J25" s="2273"/>
      <c r="K25" s="169"/>
      <c r="L25" s="169"/>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2" t="s">
        <v>2024</v>
      </c>
      <c r="B26" s="2316" t="s">
        <v>2025</v>
      </c>
      <c r="C26" s="2317" t="s">
        <v>2026</v>
      </c>
      <c r="D26" s="2274"/>
      <c r="E26" s="2273"/>
      <c r="F26" s="2273"/>
      <c r="G26" s="2273"/>
      <c r="H26" s="2273"/>
      <c r="I26" s="2273"/>
      <c r="J26" s="2273"/>
      <c r="K26" s="169"/>
      <c r="L26" s="169"/>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0" customFormat="1" ht="27.75">
      <c r="A27" s="2318" t="s">
        <v>2027</v>
      </c>
      <c r="B27" s="116">
        <v>90</v>
      </c>
      <c r="C27" s="1767" t="s">
        <v>2028</v>
      </c>
      <c r="D27" s="2319"/>
      <c r="E27" s="1429"/>
      <c r="F27" s="1429"/>
      <c r="G27" s="2273"/>
      <c r="H27" s="2273"/>
      <c r="I27" s="2273"/>
      <c r="J27" s="2273"/>
      <c r="K27" s="169"/>
      <c r="L27" s="169"/>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0" customFormat="1" ht="27.75">
      <c r="A28" s="2321" t="s">
        <v>2029</v>
      </c>
      <c r="B28" s="119">
        <v>90</v>
      </c>
      <c r="C28" s="2322"/>
      <c r="D28" s="2319"/>
      <c r="E28" s="1429"/>
      <c r="F28" s="1429"/>
      <c r="G28" s="2273"/>
      <c r="H28" s="2273"/>
      <c r="I28" s="2273"/>
      <c r="J28" s="2273"/>
      <c r="K28" s="169"/>
      <c r="L28" s="169"/>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0" customFormat="1" ht="28.5" thickBot="1">
      <c r="A29" s="2323" t="s">
        <v>2030</v>
      </c>
      <c r="B29" s="121"/>
      <c r="C29" s="1767" t="s">
        <v>2031</v>
      </c>
      <c r="D29" s="2319"/>
      <c r="E29" s="1429"/>
      <c r="F29" s="1429"/>
      <c r="G29" s="2273"/>
      <c r="H29" s="2273"/>
      <c r="I29" s="2273"/>
      <c r="J29" s="2273"/>
      <c r="K29" s="169"/>
      <c r="L29" s="169"/>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0" customFormat="1" ht="27">
      <c r="A30" s="2324" t="s">
        <v>2032</v>
      </c>
      <c r="B30" s="723">
        <v>150</v>
      </c>
      <c r="C30" s="2322"/>
      <c r="D30" s="2319"/>
      <c r="E30" s="1429"/>
      <c r="F30" s="1429"/>
      <c r="G30" s="2273"/>
      <c r="H30" s="2273"/>
      <c r="I30" s="2273"/>
      <c r="J30" s="2273"/>
      <c r="K30" s="169"/>
      <c r="L30" s="169"/>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0" customFormat="1" ht="27">
      <c r="A31" s="2321" t="s">
        <v>2033</v>
      </c>
      <c r="B31" s="120">
        <f>B30-B32</f>
        <v>150</v>
      </c>
      <c r="C31" s="1767"/>
      <c r="D31" s="2319"/>
      <c r="E31" s="1429"/>
      <c r="F31" s="1429"/>
      <c r="G31" s="2273"/>
      <c r="H31" s="2273"/>
      <c r="I31" s="2273"/>
      <c r="J31" s="2273"/>
      <c r="K31" s="169"/>
      <c r="L31" s="169"/>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0" customFormat="1" ht="27.75" thickBot="1">
      <c r="A32" s="2325" t="s">
        <v>2034</v>
      </c>
      <c r="B32" s="724">
        <v>0</v>
      </c>
      <c r="C32" s="2322"/>
      <c r="D32" s="2274"/>
      <c r="E32" s="2273"/>
      <c r="F32" s="2273"/>
      <c r="G32" s="2273"/>
      <c r="H32" s="2273"/>
      <c r="I32" s="2273"/>
      <c r="J32" s="2273"/>
      <c r="K32" s="169"/>
      <c r="L32" s="169"/>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0" customFormat="1" ht="14.25">
      <c r="A33" s="2318" t="s">
        <v>2035</v>
      </c>
      <c r="B33" s="725">
        <v>0.03</v>
      </c>
      <c r="C33" s="1766" t="s">
        <v>2036</v>
      </c>
      <c r="D33" s="2274"/>
      <c r="E33" s="2273"/>
      <c r="F33" s="2273"/>
      <c r="G33" s="2273"/>
      <c r="H33" s="2273"/>
      <c r="I33" s="2273"/>
      <c r="J33" s="2273"/>
      <c r="K33" s="169"/>
      <c r="L33" s="169"/>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0" customFormat="1" ht="14.25">
      <c r="A34" s="2321" t="s">
        <v>2037</v>
      </c>
      <c r="B34" s="122">
        <v>0.05</v>
      </c>
      <c r="C34" s="1766" t="s">
        <v>2038</v>
      </c>
      <c r="D34" s="2274" t="s">
        <v>2039</v>
      </c>
      <c r="E34" s="731"/>
      <c r="F34" s="2273"/>
      <c r="G34" s="2273"/>
      <c r="H34" s="2273"/>
      <c r="I34" s="2273"/>
      <c r="J34" s="2273"/>
      <c r="K34" s="169"/>
      <c r="L34" s="169"/>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0" customFormat="1" ht="14.25">
      <c r="A35" s="2321" t="s">
        <v>2040</v>
      </c>
      <c r="B35" s="119">
        <v>150</v>
      </c>
      <c r="C35" s="1766" t="s">
        <v>2041</v>
      </c>
      <c r="D35" s="2319"/>
      <c r="E35" s="1429"/>
      <c r="F35" s="1429"/>
      <c r="G35" s="2273"/>
      <c r="H35" s="2273"/>
      <c r="I35" s="2273"/>
      <c r="J35" s="2273"/>
      <c r="K35" s="169"/>
      <c r="L35" s="169"/>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3" t="s">
        <v>2042</v>
      </c>
      <c r="B36" s="123">
        <v>1.4999999999999999E-2</v>
      </c>
      <c r="C36" s="1766" t="s">
        <v>2043</v>
      </c>
      <c r="D36" s="2274"/>
      <c r="E36" s="2273"/>
      <c r="F36" s="2273"/>
      <c r="G36" s="2273"/>
      <c r="H36" s="2273"/>
      <c r="I36" s="2273"/>
      <c r="J36" s="2273"/>
      <c r="K36" s="169"/>
      <c r="L36" s="169"/>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4" t="s">
        <v>2044</v>
      </c>
      <c r="B37" s="124">
        <v>0.02</v>
      </c>
      <c r="C37" s="1766" t="s">
        <v>2045</v>
      </c>
      <c r="D37" s="2274"/>
      <c r="E37" s="2273"/>
      <c r="F37" s="2273"/>
      <c r="G37" s="2273"/>
      <c r="H37" s="2273"/>
      <c r="I37" s="2273"/>
      <c r="J37" s="2273"/>
      <c r="K37" s="169"/>
      <c r="L37" s="169"/>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1" t="s">
        <v>2046</v>
      </c>
      <c r="B38" s="122">
        <v>0.02</v>
      </c>
      <c r="C38" s="1766" t="s">
        <v>2045</v>
      </c>
      <c r="D38" s="2274"/>
      <c r="E38" s="2273"/>
      <c r="F38" s="2273"/>
      <c r="G38" s="2273"/>
      <c r="H38" s="2273"/>
      <c r="I38" s="2273"/>
      <c r="J38" s="2273"/>
      <c r="K38" s="169"/>
      <c r="L38" s="169"/>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5" t="s">
        <v>2047</v>
      </c>
      <c r="B39" s="363">
        <f ca="1">存贷款利率!I1</f>
        <v>1.4999999999999999E-2</v>
      </c>
      <c r="C39" s="1766"/>
      <c r="D39" s="2274"/>
      <c r="E39" s="2273"/>
      <c r="F39" s="2273"/>
      <c r="G39" s="2273"/>
      <c r="H39" s="2273"/>
      <c r="I39" s="2273"/>
      <c r="J39" s="2273"/>
      <c r="K39" s="169"/>
      <c r="L39" s="169"/>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5" t="s">
        <v>2048</v>
      </c>
      <c r="B40" s="1302">
        <f ca="1">存贷款利率!G1</f>
        <v>4.3499999999999997E-2</v>
      </c>
      <c r="C40" s="1766" t="s">
        <v>2049</v>
      </c>
      <c r="D40" s="1584"/>
      <c r="E40" s="2274"/>
      <c r="F40" s="2273"/>
      <c r="G40" s="2273"/>
      <c r="H40" s="2273"/>
      <c r="I40" s="2273"/>
      <c r="J40" s="2273"/>
      <c r="K40" s="169"/>
      <c r="L40" s="169"/>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18" t="s">
        <v>2050</v>
      </c>
      <c r="B41" s="125">
        <f>B42+B43</f>
        <v>6.1600000000000002E-2</v>
      </c>
      <c r="C41" s="1767"/>
      <c r="D41" s="1584"/>
      <c r="E41" s="2274"/>
      <c r="F41" s="2273"/>
      <c r="G41" s="2273"/>
      <c r="H41" s="2273"/>
      <c r="I41" s="2273"/>
      <c r="J41" s="2273"/>
      <c r="K41" s="169"/>
      <c r="L41" s="169"/>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6" t="s">
        <v>2051</v>
      </c>
      <c r="B42" s="126">
        <v>5.6000000000000001E-2</v>
      </c>
      <c r="C42" s="2327">
        <f>IF(B2&lt;DATE(2016,5,1),0,B42)</f>
        <v>5.6000000000000001E-2</v>
      </c>
      <c r="D42" s="2274"/>
      <c r="E42" s="2273"/>
      <c r="F42" s="2273"/>
      <c r="G42" s="2273"/>
      <c r="H42" s="2273"/>
      <c r="I42" s="2273"/>
      <c r="J42" s="2273"/>
      <c r="K42" s="169"/>
      <c r="L42" s="169"/>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6" t="s">
        <v>2052</v>
      </c>
      <c r="B43" s="127">
        <f>B42*(B44+B45+B46)+B47</f>
        <v>5.6000000000000008E-3</v>
      </c>
      <c r="C43" s="1767"/>
      <c r="D43" s="2274"/>
      <c r="E43" s="2273"/>
      <c r="F43" s="2273"/>
      <c r="G43" s="2273"/>
      <c r="H43" s="2273"/>
      <c r="I43" s="2273"/>
      <c r="J43" s="2273"/>
      <c r="K43" s="169"/>
      <c r="L43" s="169"/>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28" t="s">
        <v>2053</v>
      </c>
      <c r="B44" s="128">
        <v>0.05</v>
      </c>
      <c r="C44" s="1766" t="s">
        <v>2054</v>
      </c>
      <c r="D44" s="2274"/>
      <c r="E44" s="2273"/>
      <c r="F44" s="2273"/>
      <c r="G44" s="2273"/>
      <c r="H44" s="2273"/>
      <c r="I44" s="2273"/>
      <c r="J44" s="2273"/>
      <c r="K44" s="169"/>
      <c r="L44" s="169"/>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28" t="s">
        <v>2055</v>
      </c>
      <c r="B45" s="126">
        <v>0.03</v>
      </c>
      <c r="C45" s="1767" t="s">
        <v>2056</v>
      </c>
      <c r="D45" s="2274"/>
      <c r="E45" s="2273"/>
      <c r="F45" s="2273"/>
      <c r="G45" s="2273"/>
      <c r="H45" s="2273"/>
      <c r="I45" s="2273"/>
      <c r="J45" s="2273"/>
      <c r="K45" s="169"/>
      <c r="L45" s="169"/>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28" t="s">
        <v>2057</v>
      </c>
      <c r="B46" s="126">
        <v>0.02</v>
      </c>
      <c r="C46" s="1767" t="s">
        <v>2058</v>
      </c>
      <c r="D46" s="2274"/>
      <c r="E46" s="2273"/>
      <c r="F46" s="2273"/>
      <c r="G46" s="2273"/>
      <c r="H46" s="2273"/>
      <c r="I46" s="2273"/>
      <c r="J46" s="2273"/>
      <c r="K46" s="169"/>
      <c r="L46" s="169"/>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29" t="s">
        <v>2059</v>
      </c>
      <c r="B47" s="129"/>
      <c r="C47" s="1767" t="s">
        <v>2060</v>
      </c>
      <c r="D47" s="2274"/>
      <c r="E47" s="2273"/>
      <c r="F47" s="2273"/>
      <c r="G47" s="2273"/>
      <c r="H47" s="2273"/>
      <c r="I47" s="2273"/>
      <c r="J47" s="2273"/>
      <c r="K47" s="169"/>
      <c r="L47" s="169"/>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0" t="s">
        <v>2061</v>
      </c>
      <c r="B48" s="130">
        <v>0.03</v>
      </c>
      <c r="C48" s="1774" t="s">
        <v>2062</v>
      </c>
      <c r="D48" s="2274"/>
      <c r="E48" s="2273"/>
      <c r="F48" s="2273"/>
      <c r="G48" s="2273"/>
      <c r="H48" s="2273"/>
      <c r="I48" s="2273"/>
      <c r="J48" s="2273"/>
      <c r="K48" s="169"/>
      <c r="L48" s="169"/>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5" t="s">
        <v>2063</v>
      </c>
      <c r="B49" s="126">
        <v>5.0000000000000001E-4</v>
      </c>
      <c r="C49" s="1774" t="s">
        <v>2064</v>
      </c>
      <c r="D49" s="2274"/>
      <c r="E49" s="2273"/>
      <c r="F49" s="2273"/>
      <c r="G49" s="2273"/>
      <c r="H49" s="2273"/>
      <c r="I49" s="2273"/>
      <c r="J49" s="2273"/>
      <c r="K49" s="169"/>
      <c r="L49" s="169"/>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1" t="s">
        <v>2065</v>
      </c>
      <c r="B50" s="131">
        <v>1.2E-2</v>
      </c>
      <c r="C50" s="1429"/>
      <c r="D50" s="2274"/>
      <c r="E50" s="2273"/>
      <c r="F50" s="2273"/>
      <c r="G50" s="2273"/>
      <c r="H50" s="2273"/>
      <c r="I50" s="2273"/>
      <c r="J50" s="2273"/>
      <c r="K50" s="169"/>
      <c r="L50" s="169"/>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3" t="s">
        <v>2066</v>
      </c>
      <c r="B51" s="132">
        <v>0.12</v>
      </c>
      <c r="C51" s="1429"/>
      <c r="D51" s="2274"/>
      <c r="E51" s="2273"/>
      <c r="F51" s="2273"/>
      <c r="G51" s="2273"/>
      <c r="H51" s="2273"/>
      <c r="I51" s="2273"/>
      <c r="J51" s="2273"/>
      <c r="K51" s="169"/>
      <c r="L51" s="169"/>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1" t="s">
        <v>2067</v>
      </c>
      <c r="B52" s="133">
        <f>SUMIF(A54:A63,B53,B54:B63)</f>
        <v>3</v>
      </c>
      <c r="C52" s="1429"/>
      <c r="D52" s="2274"/>
      <c r="E52" s="2273"/>
      <c r="F52" s="2273"/>
      <c r="G52" s="2273"/>
      <c r="H52" s="2273"/>
      <c r="I52" s="2273"/>
      <c r="J52" s="2273"/>
      <c r="K52" s="169"/>
      <c r="L52" s="169"/>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1" t="s">
        <v>2068</v>
      </c>
      <c r="B53" s="2332" t="s">
        <v>212</v>
      </c>
      <c r="C53" s="2927" t="s">
        <v>3064</v>
      </c>
      <c r="D53" s="2929" t="s">
        <v>3063</v>
      </c>
      <c r="E53" s="2273"/>
      <c r="F53" s="2273"/>
      <c r="G53" s="2273"/>
      <c r="H53" s="2273"/>
      <c r="I53" s="2273"/>
      <c r="J53" s="2273"/>
      <c r="K53" s="169"/>
      <c r="L53" s="169"/>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3" t="s">
        <v>2069</v>
      </c>
      <c r="B54" s="84">
        <v>3</v>
      </c>
      <c r="C54" s="1429">
        <v>30</v>
      </c>
      <c r="D54" s="2274"/>
      <c r="E54" s="2273"/>
      <c r="F54" s="2273"/>
      <c r="G54" s="2273"/>
      <c r="H54" s="2273"/>
      <c r="I54" s="2273"/>
      <c r="J54" s="2273"/>
      <c r="K54" s="169"/>
      <c r="L54" s="169"/>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3" t="s">
        <v>2070</v>
      </c>
      <c r="B55" s="84">
        <v>1.5</v>
      </c>
      <c r="C55" s="1429">
        <v>24</v>
      </c>
      <c r="D55" s="2274"/>
      <c r="E55" s="2273"/>
      <c r="F55" s="2273"/>
      <c r="G55" s="2273"/>
      <c r="H55" s="2273"/>
      <c r="I55" s="2334"/>
      <c r="J55" s="2273"/>
      <c r="K55" s="169"/>
      <c r="L55" s="169"/>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3" t="s">
        <v>2071</v>
      </c>
      <c r="B56" s="84"/>
      <c r="C56" s="1429">
        <v>18</v>
      </c>
      <c r="D56" s="2274"/>
      <c r="E56" s="2273"/>
      <c r="F56" s="2273"/>
      <c r="G56" s="2273"/>
      <c r="H56" s="2273"/>
      <c r="I56" s="2273"/>
      <c r="J56" s="2273"/>
      <c r="K56" s="169"/>
      <c r="L56" s="169"/>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3" t="s">
        <v>2072</v>
      </c>
      <c r="B57" s="84"/>
      <c r="C57" s="1429">
        <v>12</v>
      </c>
      <c r="D57" s="2274"/>
      <c r="E57" s="2273"/>
      <c r="F57" s="2273"/>
      <c r="G57" s="2273"/>
      <c r="H57" s="2273"/>
      <c r="I57" s="2273"/>
      <c r="J57" s="2273"/>
      <c r="K57" s="169"/>
      <c r="L57" s="169"/>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3" t="s">
        <v>2073</v>
      </c>
      <c r="B58" s="84"/>
      <c r="C58" s="1429">
        <v>3</v>
      </c>
      <c r="D58" s="2274"/>
      <c r="E58" s="2273"/>
      <c r="F58" s="2273"/>
      <c r="G58" s="2273"/>
      <c r="H58" s="2273"/>
      <c r="I58" s="2273"/>
      <c r="J58" s="2273"/>
      <c r="K58" s="169"/>
      <c r="L58" s="169"/>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3" t="s">
        <v>2074</v>
      </c>
      <c r="B59" s="84"/>
      <c r="C59" s="1429">
        <v>1.5</v>
      </c>
      <c r="D59" s="2274"/>
      <c r="E59" s="2273"/>
      <c r="F59" s="2273"/>
      <c r="G59" s="2273"/>
      <c r="H59" s="2273"/>
      <c r="I59" s="2273"/>
      <c r="J59" s="2273"/>
      <c r="K59" s="169"/>
      <c r="L59" s="169"/>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3" t="s">
        <v>2075</v>
      </c>
      <c r="B60" s="84"/>
      <c r="C60" s="2273"/>
      <c r="D60" s="2274"/>
      <c r="E60" s="2273"/>
      <c r="F60" s="2273"/>
      <c r="G60" s="2273"/>
      <c r="H60" s="2273"/>
      <c r="I60" s="2273"/>
      <c r="J60" s="2273"/>
      <c r="K60" s="169"/>
      <c r="L60" s="169"/>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3" t="s">
        <v>2076</v>
      </c>
      <c r="B61" s="84"/>
      <c r="C61" s="2273"/>
      <c r="D61" s="2274"/>
      <c r="E61" s="2273"/>
      <c r="F61" s="2273"/>
      <c r="G61" s="2273"/>
      <c r="H61" s="2273"/>
      <c r="I61" s="2273"/>
      <c r="J61" s="2273"/>
      <c r="K61" s="169"/>
      <c r="L61" s="169"/>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3" t="s">
        <v>2077</v>
      </c>
      <c r="B62" s="84"/>
      <c r="C62" s="2273"/>
      <c r="D62" s="2274"/>
      <c r="E62" s="2273"/>
      <c r="F62" s="2273"/>
      <c r="G62" s="2273"/>
      <c r="H62" s="2273"/>
      <c r="I62" s="2273"/>
      <c r="J62" s="2273"/>
      <c r="K62" s="169"/>
      <c r="L62" s="169"/>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5" t="s">
        <v>2078</v>
      </c>
      <c r="B63" s="134"/>
      <c r="C63" s="2273"/>
      <c r="D63" s="2274"/>
      <c r="E63" s="2273"/>
      <c r="F63" s="2273"/>
      <c r="G63" s="2273"/>
      <c r="H63" s="2273"/>
      <c r="I63" s="2273"/>
      <c r="J63" s="2273"/>
      <c r="K63" s="169"/>
      <c r="L63" s="169"/>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6" customFormat="1">
      <c r="A64" s="2336"/>
      <c r="D64" s="2337"/>
      <c r="K64" s="797"/>
      <c r="L64" s="797"/>
    </row>
    <row r="65" spans="1:12" s="966" customFormat="1">
      <c r="A65" s="2336"/>
      <c r="D65" s="2337"/>
      <c r="K65" s="797"/>
      <c r="L65" s="797"/>
    </row>
    <row r="66" spans="1:12" s="966" customFormat="1">
      <c r="A66" s="2336"/>
      <c r="D66" s="2337"/>
      <c r="K66" s="797"/>
      <c r="L66" s="797"/>
    </row>
    <row r="67" spans="1:12" s="966" customFormat="1">
      <c r="A67" s="2336"/>
      <c r="D67" s="2337"/>
      <c r="K67" s="797"/>
      <c r="L67" s="797"/>
    </row>
    <row r="68" spans="1:12" s="966" customFormat="1">
      <c r="A68" s="2336"/>
      <c r="D68" s="2337"/>
      <c r="K68" s="797"/>
      <c r="L68" s="797"/>
    </row>
    <row r="69" spans="1:12" s="966" customFormat="1">
      <c r="A69" s="2336"/>
      <c r="D69" s="2337"/>
      <c r="K69" s="797"/>
      <c r="L69" s="797"/>
    </row>
    <row r="70" spans="1:12" s="966" customFormat="1">
      <c r="A70" s="2336"/>
      <c r="D70" s="2337"/>
      <c r="K70" s="797"/>
      <c r="L70" s="797"/>
    </row>
    <row r="71" spans="1:12" s="966" customFormat="1">
      <c r="A71" s="2336"/>
      <c r="D71" s="2337"/>
      <c r="K71" s="797"/>
      <c r="L71" s="797"/>
    </row>
    <row r="72" spans="1:12" s="966" customFormat="1">
      <c r="A72" s="2336"/>
      <c r="D72" s="2337"/>
      <c r="K72" s="797"/>
      <c r="L72" s="797"/>
    </row>
    <row r="73" spans="1:12" s="966" customFormat="1">
      <c r="A73" s="2336"/>
      <c r="D73" s="2337"/>
      <c r="K73" s="797"/>
      <c r="L73" s="797"/>
    </row>
    <row r="74" spans="1:12" s="966" customFormat="1">
      <c r="A74" s="2336"/>
      <c r="D74" s="2337"/>
      <c r="K74" s="797"/>
      <c r="L74" s="797"/>
    </row>
    <row r="75" spans="1:12" s="966" customFormat="1">
      <c r="A75" s="2336"/>
      <c r="D75" s="2337"/>
      <c r="K75" s="797"/>
      <c r="L75" s="797"/>
    </row>
    <row r="76" spans="1:12" s="966" customFormat="1">
      <c r="A76" s="2336"/>
      <c r="D76" s="2337"/>
      <c r="K76" s="797"/>
      <c r="L76" s="797"/>
    </row>
    <row r="77" spans="1:12" s="966" customFormat="1">
      <c r="A77" s="2336"/>
      <c r="D77" s="2337"/>
      <c r="K77" s="797"/>
      <c r="L77" s="797"/>
    </row>
    <row r="78" spans="1:12" s="966" customFormat="1">
      <c r="A78" s="2336"/>
      <c r="D78" s="2337"/>
      <c r="K78" s="797"/>
      <c r="L78" s="797"/>
    </row>
    <row r="79" spans="1:12" s="966" customFormat="1">
      <c r="A79" s="2336"/>
      <c r="D79" s="2337"/>
      <c r="K79" s="797"/>
      <c r="L79" s="797"/>
    </row>
    <row r="80" spans="1:12" s="966" customFormat="1">
      <c r="A80" s="2336"/>
      <c r="D80" s="2337"/>
      <c r="K80" s="797"/>
      <c r="L80" s="797"/>
    </row>
    <row r="81" spans="1:12" s="966" customFormat="1">
      <c r="A81" s="2336"/>
      <c r="D81" s="2337"/>
      <c r="K81" s="797"/>
      <c r="L81" s="797"/>
    </row>
    <row r="82" spans="1:12" s="966" customFormat="1">
      <c r="A82" s="2336"/>
      <c r="D82" s="2337"/>
      <c r="K82" s="797"/>
      <c r="L82" s="797"/>
    </row>
    <row r="83" spans="1:12" s="966" customFormat="1">
      <c r="A83" s="2336"/>
      <c r="D83" s="2337"/>
      <c r="K83" s="797"/>
      <c r="L83" s="797"/>
    </row>
    <row r="84" spans="1:12" s="966" customFormat="1">
      <c r="A84" s="2336"/>
      <c r="D84" s="2337"/>
      <c r="K84" s="797"/>
      <c r="L84" s="797"/>
    </row>
    <row r="85" spans="1:12" s="966" customFormat="1">
      <c r="A85" s="2336"/>
      <c r="D85" s="2337"/>
      <c r="K85" s="797"/>
      <c r="L85" s="797"/>
    </row>
    <row r="86" spans="1:12" s="966" customFormat="1">
      <c r="A86" s="2336"/>
      <c r="D86" s="2337"/>
      <c r="K86" s="797"/>
      <c r="L86" s="797"/>
    </row>
    <row r="87" spans="1:12" s="966" customFormat="1">
      <c r="A87" s="2336"/>
      <c r="D87" s="2337"/>
      <c r="K87" s="797"/>
      <c r="L87" s="797"/>
    </row>
    <row r="88" spans="1:12" s="966" customFormat="1">
      <c r="A88" s="2336"/>
      <c r="D88" s="2337"/>
      <c r="K88" s="797"/>
      <c r="L88" s="797"/>
    </row>
    <row r="89" spans="1:12" s="966" customFormat="1">
      <c r="A89" s="2336"/>
      <c r="D89" s="2337"/>
      <c r="K89" s="797"/>
      <c r="L89" s="797"/>
    </row>
    <row r="90" spans="1:12" s="966" customFormat="1">
      <c r="A90" s="2336"/>
      <c r="D90" s="2337"/>
      <c r="K90" s="797"/>
      <c r="L90" s="797"/>
    </row>
    <row r="91" spans="1:12" s="966" customFormat="1">
      <c r="A91" s="2336"/>
      <c r="D91" s="2337"/>
      <c r="K91" s="797"/>
      <c r="L91" s="797"/>
    </row>
    <row r="92" spans="1:12" s="966" customFormat="1">
      <c r="A92" s="2336"/>
      <c r="D92" s="2337"/>
      <c r="K92" s="797"/>
      <c r="L92" s="797"/>
    </row>
    <row r="93" spans="1:12" s="966" customFormat="1">
      <c r="A93" s="2336"/>
      <c r="D93" s="2337"/>
      <c r="K93" s="797"/>
      <c r="L93" s="797"/>
    </row>
    <row r="94" spans="1:12" s="966" customFormat="1">
      <c r="A94" s="2336"/>
      <c r="D94" s="2337"/>
      <c r="K94" s="797"/>
      <c r="L94" s="797"/>
    </row>
    <row r="95" spans="1:12" s="966" customFormat="1">
      <c r="A95" s="2336"/>
      <c r="D95" s="2337"/>
      <c r="K95" s="797"/>
      <c r="L95" s="797"/>
    </row>
    <row r="96" spans="1:12" s="966" customFormat="1">
      <c r="A96" s="2336"/>
      <c r="D96" s="2337"/>
      <c r="K96" s="797"/>
      <c r="L96" s="797"/>
    </row>
    <row r="97" spans="1:12" s="966" customFormat="1">
      <c r="A97" s="2336"/>
      <c r="D97" s="2337"/>
      <c r="K97" s="797"/>
      <c r="L97" s="797"/>
    </row>
    <row r="98" spans="1:12" s="966" customFormat="1">
      <c r="A98" s="2336"/>
      <c r="D98" s="2337"/>
      <c r="K98" s="797"/>
      <c r="L98" s="797"/>
    </row>
    <row r="99" spans="1:12" s="966" customFormat="1">
      <c r="A99" s="2336"/>
      <c r="D99" s="2337"/>
      <c r="K99" s="797"/>
      <c r="L99" s="797"/>
    </row>
    <row r="100" spans="1:12" s="966" customFormat="1">
      <c r="A100" s="2336"/>
      <c r="D100" s="2337"/>
      <c r="K100" s="797"/>
      <c r="L100" s="797"/>
    </row>
    <row r="101" spans="1:12" s="966" customFormat="1">
      <c r="A101" s="2336"/>
      <c r="D101" s="2337"/>
      <c r="K101" s="797"/>
      <c r="L101" s="797"/>
    </row>
    <row r="102" spans="1:12" s="966" customFormat="1">
      <c r="A102" s="2336"/>
      <c r="D102" s="2337"/>
      <c r="K102" s="797"/>
      <c r="L102" s="797"/>
    </row>
    <row r="103" spans="1:12" s="966" customFormat="1">
      <c r="A103" s="2336"/>
      <c r="D103" s="2337"/>
      <c r="K103" s="797"/>
      <c r="L103" s="797"/>
    </row>
    <row r="104" spans="1:12" s="966" customFormat="1">
      <c r="A104" s="2336"/>
      <c r="D104" s="2337"/>
      <c r="K104" s="797"/>
      <c r="L104" s="797"/>
    </row>
    <row r="105" spans="1:12" s="966" customFormat="1">
      <c r="A105" s="2336"/>
      <c r="D105" s="2337"/>
      <c r="K105" s="797"/>
      <c r="L105" s="797"/>
    </row>
    <row r="106" spans="1:12" s="966" customFormat="1">
      <c r="A106" s="2336"/>
      <c r="D106" s="2337"/>
      <c r="K106" s="797"/>
      <c r="L106" s="797"/>
    </row>
    <row r="107" spans="1:12" s="966" customFormat="1">
      <c r="A107" s="2336"/>
      <c r="D107" s="2337"/>
      <c r="K107" s="797"/>
      <c r="L107" s="797"/>
    </row>
    <row r="108" spans="1:12" s="966" customFormat="1">
      <c r="A108" s="2336"/>
      <c r="D108" s="2337"/>
      <c r="K108" s="797"/>
      <c r="L108" s="797"/>
    </row>
    <row r="109" spans="1:12" s="966" customFormat="1">
      <c r="A109" s="2336"/>
      <c r="D109" s="2337"/>
      <c r="K109" s="797"/>
      <c r="L109" s="797"/>
    </row>
    <row r="110" spans="1:12" s="966" customFormat="1">
      <c r="A110" s="2336"/>
      <c r="D110" s="2337"/>
      <c r="K110" s="797"/>
      <c r="L110" s="797"/>
    </row>
    <row r="111" spans="1:12" s="966" customFormat="1">
      <c r="A111" s="2336"/>
      <c r="D111" s="2337"/>
      <c r="K111" s="797"/>
      <c r="L111" s="797"/>
    </row>
    <row r="112" spans="1:12" s="966" customFormat="1">
      <c r="A112" s="2336"/>
      <c r="D112" s="2337"/>
      <c r="K112" s="797"/>
      <c r="L112" s="797"/>
    </row>
    <row r="113" spans="1:12" s="966" customFormat="1">
      <c r="A113" s="2336"/>
      <c r="D113" s="2337"/>
      <c r="K113" s="797"/>
      <c r="L113" s="797"/>
    </row>
    <row r="114" spans="1:12" s="966" customFormat="1">
      <c r="A114" s="2336"/>
      <c r="D114" s="2337"/>
      <c r="K114" s="797"/>
      <c r="L114" s="797"/>
    </row>
    <row r="115" spans="1:12" s="966" customFormat="1">
      <c r="A115" s="2336"/>
      <c r="D115" s="2337"/>
      <c r="K115" s="797"/>
      <c r="L115" s="797"/>
    </row>
    <row r="116" spans="1:12" s="966" customFormat="1">
      <c r="A116" s="2336"/>
      <c r="D116" s="2337"/>
      <c r="K116" s="797"/>
      <c r="L116" s="797"/>
    </row>
    <row r="117" spans="1:12" s="966" customFormat="1">
      <c r="A117" s="2336"/>
      <c r="D117" s="2337"/>
      <c r="K117" s="797"/>
      <c r="L117" s="797"/>
    </row>
    <row r="118" spans="1:12" s="966" customFormat="1">
      <c r="A118" s="2336"/>
      <c r="D118" s="2337"/>
      <c r="K118" s="797"/>
      <c r="L118" s="797"/>
    </row>
    <row r="119" spans="1:12" s="966" customFormat="1">
      <c r="A119" s="2336"/>
      <c r="D119" s="2337"/>
      <c r="K119" s="797"/>
      <c r="L119" s="797"/>
    </row>
    <row r="120" spans="1:12" s="966" customFormat="1">
      <c r="A120" s="2336"/>
      <c r="D120" s="2337"/>
      <c r="K120" s="797"/>
      <c r="L120" s="797"/>
    </row>
    <row r="121" spans="1:12" s="966" customFormat="1">
      <c r="A121" s="2336"/>
      <c r="D121" s="2337"/>
      <c r="K121" s="797"/>
      <c r="L121" s="797"/>
    </row>
    <row r="122" spans="1:12" s="966" customFormat="1">
      <c r="A122" s="2336"/>
      <c r="D122" s="2337"/>
      <c r="K122" s="797"/>
      <c r="L122" s="797"/>
    </row>
    <row r="123" spans="1:12" s="966" customFormat="1">
      <c r="A123" s="2336"/>
      <c r="D123" s="2337"/>
      <c r="K123" s="797"/>
      <c r="L123" s="797"/>
    </row>
    <row r="124" spans="1:12" s="966" customFormat="1">
      <c r="A124" s="2336"/>
      <c r="D124" s="2337"/>
      <c r="K124" s="797"/>
      <c r="L124" s="797"/>
    </row>
    <row r="125" spans="1:12" s="966" customFormat="1">
      <c r="A125" s="2336"/>
      <c r="D125" s="2337"/>
      <c r="K125" s="797"/>
      <c r="L125" s="797"/>
    </row>
    <row r="126" spans="1:12" s="966" customFormat="1">
      <c r="A126" s="2336"/>
      <c r="D126" s="2337"/>
      <c r="K126" s="797"/>
      <c r="L126" s="797"/>
    </row>
    <row r="127" spans="1:12" s="966" customFormat="1">
      <c r="A127" s="2336"/>
      <c r="D127" s="2337"/>
      <c r="K127" s="797"/>
      <c r="L127" s="797"/>
    </row>
    <row r="128" spans="1:12" s="966" customFormat="1">
      <c r="A128" s="2336"/>
      <c r="D128" s="2337"/>
      <c r="K128" s="797"/>
      <c r="L128" s="797"/>
    </row>
    <row r="129" spans="1:12" s="966" customFormat="1">
      <c r="A129" s="2336"/>
      <c r="D129" s="2337"/>
      <c r="K129" s="797"/>
      <c r="L129" s="797"/>
    </row>
    <row r="130" spans="1:12" s="966" customFormat="1">
      <c r="A130" s="2336"/>
      <c r="D130" s="2337"/>
      <c r="K130" s="797"/>
      <c r="L130" s="797"/>
    </row>
    <row r="131" spans="1:12" s="966" customFormat="1">
      <c r="A131" s="2336"/>
      <c r="D131" s="2337"/>
      <c r="K131" s="797"/>
      <c r="L131" s="797"/>
    </row>
    <row r="132" spans="1:12" s="966" customFormat="1">
      <c r="A132" s="2336"/>
      <c r="D132" s="2337"/>
      <c r="K132" s="797"/>
      <c r="L132" s="797"/>
    </row>
    <row r="133" spans="1:12" s="966" customFormat="1">
      <c r="A133" s="2336"/>
      <c r="D133" s="2337"/>
      <c r="K133" s="797"/>
      <c r="L133" s="797"/>
    </row>
    <row r="134" spans="1:12" s="2270" customFormat="1">
      <c r="A134" s="2338"/>
      <c r="D134" s="2339"/>
      <c r="K134" s="27"/>
      <c r="L134" s="27"/>
    </row>
    <row r="135" spans="1:12" s="2270" customFormat="1">
      <c r="A135" s="2338"/>
      <c r="D135" s="2339"/>
      <c r="K135" s="27"/>
      <c r="L135" s="27"/>
    </row>
    <row r="136" spans="1:12" s="2270" customFormat="1">
      <c r="A136" s="2338"/>
      <c r="D136" s="2339"/>
      <c r="K136" s="27"/>
      <c r="L136" s="27"/>
    </row>
    <row r="137" spans="1:12" s="2270" customFormat="1">
      <c r="A137" s="2338"/>
      <c r="D137" s="2339"/>
      <c r="K137" s="27"/>
      <c r="L137" s="27"/>
    </row>
    <row r="138" spans="1:12" s="2270" customFormat="1">
      <c r="A138" s="2338"/>
      <c r="D138" s="2339"/>
      <c r="K138" s="27"/>
      <c r="L138" s="27"/>
    </row>
    <row r="139" spans="1:12" s="2270" customFormat="1">
      <c r="A139" s="2338"/>
      <c r="D139" s="2339"/>
      <c r="K139" s="27"/>
      <c r="L139" s="27"/>
    </row>
    <row r="140" spans="1:12" s="2270" customFormat="1">
      <c r="A140" s="2338"/>
      <c r="D140" s="2339"/>
      <c r="K140" s="27"/>
      <c r="L140" s="27"/>
    </row>
    <row r="141" spans="1:12" s="2270" customFormat="1">
      <c r="A141" s="2338"/>
      <c r="D141" s="2339"/>
      <c r="K141" s="27"/>
      <c r="L141" s="27"/>
    </row>
    <row r="142" spans="1:12" s="2270" customFormat="1">
      <c r="A142" s="2338"/>
      <c r="D142" s="2339"/>
      <c r="K142" s="27"/>
      <c r="L142" s="27"/>
    </row>
    <row r="143" spans="1:12" s="2270" customFormat="1">
      <c r="A143" s="2338"/>
      <c r="D143" s="2339"/>
      <c r="K143" s="27"/>
      <c r="L143" s="27"/>
    </row>
    <row r="144" spans="1:12" s="2270" customFormat="1">
      <c r="A144" s="2338"/>
      <c r="D144" s="2339"/>
      <c r="K144" s="27"/>
      <c r="L144" s="27"/>
    </row>
    <row r="145" spans="1:12" s="2270" customFormat="1">
      <c r="A145" s="2338"/>
      <c r="D145" s="2339"/>
      <c r="K145" s="27"/>
      <c r="L145" s="27"/>
    </row>
    <row r="146" spans="1:12" s="2270" customFormat="1">
      <c r="A146" s="2338"/>
      <c r="D146" s="2339"/>
      <c r="K146" s="27"/>
      <c r="L146" s="27"/>
    </row>
    <row r="147" spans="1:12" s="2270" customFormat="1">
      <c r="A147" s="2338"/>
      <c r="D147" s="2339"/>
      <c r="K147" s="27"/>
      <c r="L147" s="27"/>
    </row>
    <row r="148" spans="1:12" s="2270" customFormat="1">
      <c r="A148" s="2338"/>
      <c r="D148" s="2339"/>
      <c r="K148" s="27"/>
      <c r="L148" s="27"/>
    </row>
    <row r="149" spans="1:12" s="2270" customFormat="1">
      <c r="A149" s="2338"/>
      <c r="D149" s="2339"/>
      <c r="K149" s="27"/>
      <c r="L149" s="27"/>
    </row>
    <row r="150" spans="1:12" s="2270" customFormat="1">
      <c r="A150" s="2338"/>
      <c r="D150" s="2339"/>
      <c r="K150" s="27"/>
      <c r="L150" s="27"/>
    </row>
    <row r="151" spans="1:12" s="2270" customFormat="1">
      <c r="A151" s="2338"/>
      <c r="D151" s="2339"/>
      <c r="K151" s="27"/>
      <c r="L151" s="27"/>
    </row>
    <row r="152" spans="1:12" s="2270" customFormat="1">
      <c r="A152" s="2338"/>
      <c r="D152" s="2339"/>
      <c r="K152" s="27"/>
      <c r="L152" s="27"/>
    </row>
    <row r="153" spans="1:12" s="2270" customFormat="1">
      <c r="A153" s="2338"/>
      <c r="D153" s="2339"/>
      <c r="K153" s="27"/>
      <c r="L153" s="27"/>
    </row>
    <row r="154" spans="1:12" s="2270" customFormat="1">
      <c r="A154" s="2338"/>
      <c r="D154" s="2339"/>
      <c r="K154" s="27"/>
      <c r="L154" s="27"/>
    </row>
    <row r="155" spans="1:12" s="2270" customFormat="1">
      <c r="A155" s="2338"/>
      <c r="D155" s="2339"/>
      <c r="K155" s="27"/>
      <c r="L155" s="27"/>
    </row>
    <row r="156" spans="1:12" s="2270" customFormat="1">
      <c r="A156" s="2338"/>
      <c r="D156" s="2339"/>
      <c r="K156" s="27"/>
      <c r="L156" s="27"/>
    </row>
    <row r="157" spans="1:12" s="2270" customFormat="1">
      <c r="A157" s="2338"/>
      <c r="D157" s="2339"/>
      <c r="K157" s="27"/>
      <c r="L157" s="27"/>
    </row>
    <row r="158" spans="1:12" s="2270" customFormat="1">
      <c r="A158" s="2338"/>
      <c r="D158" s="2339"/>
      <c r="K158" s="27"/>
      <c r="L158" s="27"/>
    </row>
    <row r="159" spans="1:12" s="2270" customFormat="1">
      <c r="A159" s="2338"/>
      <c r="D159" s="2339"/>
      <c r="K159" s="27"/>
      <c r="L159" s="27"/>
    </row>
    <row r="160" spans="1:12" s="2270" customFormat="1">
      <c r="A160" s="2338"/>
      <c r="D160" s="2339"/>
      <c r="K160" s="27"/>
      <c r="L160" s="27"/>
    </row>
    <row r="161" spans="1:12" s="2270" customFormat="1">
      <c r="A161" s="2338"/>
      <c r="D161" s="2339"/>
      <c r="K161" s="27"/>
      <c r="L161" s="27"/>
    </row>
    <row r="162" spans="1:12" s="2270" customFormat="1">
      <c r="A162" s="2338"/>
      <c r="D162" s="2339"/>
      <c r="K162" s="27"/>
      <c r="L162" s="27"/>
    </row>
    <row r="163" spans="1:12" s="2270" customFormat="1">
      <c r="A163" s="2338"/>
      <c r="D163" s="2339"/>
      <c r="K163" s="27"/>
      <c r="L163" s="27"/>
    </row>
    <row r="164" spans="1:12" s="2270" customFormat="1">
      <c r="A164" s="2338"/>
      <c r="D164" s="2339"/>
      <c r="K164" s="27"/>
      <c r="L164" s="27"/>
    </row>
    <row r="165" spans="1:12" s="2270" customFormat="1">
      <c r="A165" s="2338"/>
      <c r="D165" s="2339"/>
      <c r="K165" s="27"/>
      <c r="L165" s="27"/>
    </row>
    <row r="166" spans="1:12" s="2270" customFormat="1">
      <c r="A166" s="2338"/>
      <c r="D166" s="2339"/>
      <c r="K166" s="27"/>
      <c r="L166" s="27"/>
    </row>
    <row r="167" spans="1:12" s="2270" customFormat="1">
      <c r="A167" s="2338"/>
      <c r="D167" s="2339"/>
      <c r="K167" s="27"/>
      <c r="L167" s="27"/>
    </row>
    <row r="168" spans="1:12" s="2270" customFormat="1">
      <c r="A168" s="2338"/>
      <c r="D168" s="2339"/>
      <c r="K168" s="27"/>
      <c r="L168" s="27"/>
    </row>
    <row r="169" spans="1:12" s="2270" customFormat="1">
      <c r="A169" s="2338"/>
      <c r="D169" s="2339"/>
      <c r="K169" s="27"/>
      <c r="L169" s="27"/>
    </row>
    <row r="170" spans="1:12" s="2270" customFormat="1">
      <c r="A170" s="2338"/>
      <c r="D170" s="2339"/>
      <c r="K170" s="27"/>
      <c r="L170" s="27"/>
    </row>
    <row r="171" spans="1:12" s="2270" customFormat="1">
      <c r="A171" s="2338"/>
      <c r="D171" s="2339"/>
      <c r="K171" s="27"/>
      <c r="L171" s="27"/>
    </row>
    <row r="172" spans="1:12" s="2270" customFormat="1">
      <c r="A172" s="2338"/>
      <c r="D172" s="2339"/>
      <c r="K172" s="27"/>
      <c r="L172" s="27"/>
    </row>
    <row r="173" spans="1:12" s="2270" customFormat="1">
      <c r="A173" s="2338"/>
      <c r="D173" s="2339"/>
      <c r="K173" s="27"/>
      <c r="L173" s="27"/>
    </row>
    <row r="174" spans="1:12" s="2270"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4"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3"/>
    <col min="30" max="16384" width="9" style="2364"/>
  </cols>
  <sheetData>
    <row r="1" spans="1:29" s="2357" customFormat="1" ht="19.5" thickBot="1">
      <c r="A1" s="3168" t="s">
        <v>2079</v>
      </c>
      <c r="B1" s="3169"/>
      <c r="C1" s="3169"/>
      <c r="D1" s="3169"/>
      <c r="E1" s="3169"/>
      <c r="F1" s="3169"/>
      <c r="G1" s="3169"/>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2080</v>
      </c>
      <c r="D2" s="2361"/>
      <c r="E2" s="2362"/>
      <c r="F2" s="2282"/>
      <c r="G2" s="2360" t="s">
        <v>2081</v>
      </c>
      <c r="H2" s="2363"/>
      <c r="I2" s="2363"/>
      <c r="J2" s="2363"/>
      <c r="K2" s="2363"/>
      <c r="L2" s="2363"/>
      <c r="M2" s="2363"/>
      <c r="N2" s="2363"/>
      <c r="O2" s="2363"/>
      <c r="P2" s="2363"/>
      <c r="Q2" s="2363"/>
      <c r="R2" s="2363"/>
    </row>
    <row r="3" spans="1:29" ht="54">
      <c r="A3" s="416" t="s">
        <v>2082</v>
      </c>
      <c r="B3" s="1270" t="s">
        <v>2083</v>
      </c>
      <c r="C3" s="2365" t="s">
        <v>2084</v>
      </c>
      <c r="D3" s="2366"/>
      <c r="E3" s="432" t="s">
        <v>2082</v>
      </c>
      <c r="F3" s="2367" t="s">
        <v>2085</v>
      </c>
      <c r="G3" s="2368" t="s">
        <v>2086</v>
      </c>
      <c r="H3" s="2363"/>
      <c r="I3" s="2363"/>
      <c r="J3" s="2363"/>
      <c r="K3" s="2363"/>
      <c r="L3" s="2363"/>
      <c r="M3" s="2363"/>
      <c r="N3" s="2363"/>
      <c r="O3" s="2363"/>
      <c r="P3" s="2363"/>
      <c r="Q3" s="2363"/>
      <c r="R3" s="2363"/>
    </row>
    <row r="4" spans="1:29" ht="41.25">
      <c r="A4" s="432"/>
      <c r="B4" s="1798" t="s">
        <v>2087</v>
      </c>
      <c r="C4" s="2369" t="s">
        <v>2088</v>
      </c>
      <c r="D4" s="2366"/>
      <c r="E4" s="2370"/>
      <c r="F4" s="42" t="s">
        <v>2089</v>
      </c>
      <c r="G4" s="2371" t="s">
        <v>2090</v>
      </c>
      <c r="H4" s="2363"/>
      <c r="I4" s="2363"/>
      <c r="J4" s="2363"/>
      <c r="K4" s="2363"/>
      <c r="L4" s="2363"/>
      <c r="M4" s="2363"/>
      <c r="N4" s="2363"/>
      <c r="O4" s="2363"/>
      <c r="P4" s="2363"/>
      <c r="Q4" s="2363"/>
      <c r="R4" s="2363"/>
    </row>
    <row r="5" spans="1:29" ht="41.25">
      <c r="A5" s="432"/>
      <c r="B5" s="1798" t="s">
        <v>2091</v>
      </c>
      <c r="C5" s="2369" t="s">
        <v>2092</v>
      </c>
      <c r="D5" s="2366"/>
      <c r="E5" s="2370"/>
      <c r="F5" s="1798" t="s">
        <v>2093</v>
      </c>
      <c r="G5" s="2371" t="s">
        <v>2094</v>
      </c>
      <c r="H5" s="2363"/>
      <c r="I5" s="2363"/>
      <c r="J5" s="2363"/>
      <c r="K5" s="2363"/>
      <c r="L5" s="2363"/>
      <c r="M5" s="2363"/>
      <c r="N5" s="2363"/>
      <c r="O5" s="2363"/>
      <c r="P5" s="2363"/>
      <c r="Q5" s="2363"/>
      <c r="R5" s="2363"/>
    </row>
    <row r="6" spans="1:29" ht="54">
      <c r="A6" s="432"/>
      <c r="B6" s="1798" t="s">
        <v>2095</v>
      </c>
      <c r="C6" s="2371" t="s">
        <v>2090</v>
      </c>
      <c r="D6" s="2366"/>
      <c r="E6" s="2370"/>
      <c r="F6" s="1798" t="s">
        <v>2096</v>
      </c>
      <c r="G6" s="2371" t="s">
        <v>2097</v>
      </c>
      <c r="H6" s="2363"/>
      <c r="I6" s="2363"/>
      <c r="J6" s="2363"/>
      <c r="K6" s="2363"/>
      <c r="L6" s="2363"/>
      <c r="M6" s="2363"/>
      <c r="N6" s="2363"/>
      <c r="O6" s="2363"/>
      <c r="P6" s="2363"/>
      <c r="Q6" s="2363"/>
      <c r="R6" s="2363"/>
    </row>
    <row r="7" spans="1:29" ht="41.25" thickBot="1">
      <c r="A7" s="432"/>
      <c r="B7" s="1798" t="s">
        <v>2093</v>
      </c>
      <c r="C7" s="2371" t="s">
        <v>2094</v>
      </c>
      <c r="D7" s="2372"/>
      <c r="E7" s="2373"/>
      <c r="F7" s="2374" t="s">
        <v>2098</v>
      </c>
      <c r="G7" s="2375" t="s">
        <v>2099</v>
      </c>
      <c r="H7" s="2363"/>
      <c r="I7" s="2363"/>
      <c r="J7" s="2363"/>
      <c r="K7" s="2363"/>
      <c r="L7" s="2363"/>
      <c r="M7" s="2363"/>
      <c r="N7" s="2363"/>
      <c r="O7" s="2363"/>
      <c r="P7" s="2363"/>
      <c r="Q7" s="2363"/>
      <c r="R7" s="2363"/>
    </row>
    <row r="8" spans="1:29" ht="27">
      <c r="A8" s="432"/>
      <c r="B8" s="1798" t="s">
        <v>2096</v>
      </c>
      <c r="C8" s="2371" t="s">
        <v>2097</v>
      </c>
      <c r="D8" s="2372"/>
      <c r="E8" s="2372"/>
      <c r="F8" s="1135"/>
      <c r="G8" s="1135"/>
      <c r="H8" s="2363"/>
      <c r="I8" s="2363"/>
      <c r="J8" s="2363"/>
      <c r="K8" s="2363"/>
      <c r="L8" s="2363"/>
      <c r="M8" s="2363"/>
      <c r="N8" s="2363"/>
      <c r="O8" s="2363"/>
      <c r="P8" s="2363"/>
      <c r="Q8" s="2363"/>
      <c r="R8" s="2363"/>
    </row>
    <row r="9" spans="1:29" ht="27">
      <c r="A9" s="432"/>
      <c r="B9" s="1798" t="s">
        <v>2100</v>
      </c>
      <c r="C9" s="2369" t="s">
        <v>2101</v>
      </c>
      <c r="D9" s="2366"/>
      <c r="E9" s="2372"/>
      <c r="F9" s="1135"/>
      <c r="G9" s="1135"/>
      <c r="H9" s="2363"/>
      <c r="I9" s="2363"/>
      <c r="J9" s="2363"/>
      <c r="K9" s="2363"/>
      <c r="L9" s="2363"/>
      <c r="M9" s="2363"/>
      <c r="N9" s="2363"/>
      <c r="O9" s="2363"/>
      <c r="P9" s="2363"/>
      <c r="Q9" s="2363"/>
      <c r="R9" s="2363"/>
    </row>
    <row r="10" spans="1:29" s="117" customFormat="1" ht="15.75" thickBot="1">
      <c r="A10" s="2376"/>
      <c r="B10" s="2377" t="s">
        <v>2102</v>
      </c>
      <c r="C10" s="2378"/>
      <c r="D10" s="2366"/>
      <c r="E10" s="2366"/>
      <c r="F10" s="1135"/>
      <c r="G10" s="1135"/>
      <c r="H10" s="2379"/>
      <c r="I10" s="2380"/>
      <c r="J10" s="2381"/>
      <c r="K10" s="2379"/>
      <c r="L10" s="2380"/>
      <c r="M10" s="2381"/>
      <c r="N10" s="2379"/>
      <c r="O10" s="2380"/>
      <c r="P10" s="2381"/>
      <c r="Q10" s="2379"/>
      <c r="R10" s="2380"/>
      <c r="S10" s="2363"/>
      <c r="T10" s="2363"/>
      <c r="U10" s="2363"/>
      <c r="V10" s="2363"/>
      <c r="W10" s="2363"/>
      <c r="X10" s="2363"/>
      <c r="Y10" s="2363"/>
      <c r="Z10" s="2363"/>
      <c r="AA10" s="2363"/>
      <c r="AB10" s="2363"/>
      <c r="AC10" s="2363"/>
    </row>
    <row r="11" spans="1:29" s="117" customFormat="1" ht="15">
      <c r="A11" s="2382"/>
      <c r="B11" s="2372"/>
      <c r="C11" s="2366"/>
      <c r="D11" s="2366"/>
      <c r="E11" s="2366"/>
      <c r="F11" s="2372"/>
      <c r="G11" s="1153"/>
      <c r="H11" s="2379"/>
      <c r="I11" s="2380"/>
      <c r="J11" s="2381"/>
      <c r="K11" s="2379"/>
      <c r="L11" s="2380"/>
      <c r="M11" s="2381"/>
      <c r="N11" s="2379"/>
      <c r="O11" s="2380"/>
      <c r="P11" s="2381"/>
      <c r="Q11" s="2379"/>
      <c r="R11" s="2380"/>
      <c r="S11" s="2363"/>
      <c r="T11" s="2363"/>
      <c r="U11" s="2363"/>
      <c r="V11" s="2363"/>
      <c r="W11" s="2363"/>
      <c r="X11" s="2363"/>
      <c r="Y11" s="2363"/>
      <c r="Z11" s="2363"/>
      <c r="AA11" s="2363"/>
      <c r="AB11" s="2363"/>
      <c r="AC11" s="2363"/>
    </row>
    <row r="12" spans="1:29" s="2357" customFormat="1" ht="18">
      <c r="A12" s="2382"/>
      <c r="B12" s="2372"/>
      <c r="C12" s="2366"/>
      <c r="D12" s="2383"/>
      <c r="E12" s="2366"/>
      <c r="F12" s="2372"/>
      <c r="G12" s="1153"/>
      <c r="H12" s="2384"/>
      <c r="I12" s="2385"/>
      <c r="J12" s="2384"/>
      <c r="K12" s="2384"/>
      <c r="L12" s="2386"/>
      <c r="M12" s="2384"/>
      <c r="N12" s="2387"/>
      <c r="O12" s="2388"/>
      <c r="P12" s="2387"/>
      <c r="Q12" s="2387"/>
      <c r="R12" s="2355"/>
      <c r="S12" s="2356"/>
      <c r="T12" s="2356"/>
      <c r="U12" s="2356"/>
      <c r="V12" s="2356"/>
      <c r="W12" s="2356"/>
      <c r="X12" s="2356"/>
      <c r="Y12" s="2356"/>
      <c r="Z12" s="2356"/>
      <c r="AA12" s="2356"/>
      <c r="AB12" s="2356"/>
      <c r="AC12" s="2356"/>
    </row>
    <row r="13" spans="1:29" ht="19.5" thickBot="1">
      <c r="A13" s="2389" t="s">
        <v>2103</v>
      </c>
      <c r="B13" s="2383"/>
      <c r="C13" s="2383"/>
      <c r="D13" s="2390"/>
      <c r="E13" s="2383"/>
      <c r="F13" s="2383"/>
      <c r="G13" s="2383"/>
    </row>
    <row r="14" spans="1:29" ht="15.75" thickBot="1">
      <c r="A14" s="2394"/>
      <c r="B14" s="2395"/>
      <c r="C14" s="2396" t="s">
        <v>2104</v>
      </c>
      <c r="D14" s="2366"/>
      <c r="E14" s="2397"/>
      <c r="F14" s="2397"/>
      <c r="G14" s="2360" t="s">
        <v>2105</v>
      </c>
    </row>
    <row r="15" spans="1:29" ht="57">
      <c r="A15" s="68" t="s">
        <v>2106</v>
      </c>
      <c r="B15" s="1269" t="s">
        <v>2083</v>
      </c>
      <c r="C15" s="2398" t="str">
        <f>C3</f>
        <v>估价对象周边居住用地比例、居住小区规模和社区发展完善程度，综合评价居住社区成熟度一般</v>
      </c>
      <c r="D15" s="2366"/>
      <c r="E15" s="2399" t="s">
        <v>2107</v>
      </c>
      <c r="F15" s="1269" t="s">
        <v>2108</v>
      </c>
      <c r="G15" s="135" t="str">
        <f>G3</f>
        <v>估价对象位于XX开发区，园区建设成熟度XX，产业集聚程度XX</v>
      </c>
    </row>
    <row r="16" spans="1:29" ht="42.75">
      <c r="A16" s="645"/>
      <c r="B16" s="2400" t="s">
        <v>2087</v>
      </c>
      <c r="C16" s="2401" t="str">
        <f>C4</f>
        <v>估价对象位于XX商圈，周边商业氛围成熟，人流量大，商业繁华度好</v>
      </c>
      <c r="D16" s="2366"/>
      <c r="E16" s="2402"/>
      <c r="F16" s="2403" t="s">
        <v>2089</v>
      </c>
      <c r="G16" s="136" t="str">
        <f>G4</f>
        <v>估价对象周边道路状况、公共交通通达情况、停车便捷程度，综合评价交通便捷度较好</v>
      </c>
    </row>
    <row r="17" spans="1:18" ht="42.75">
      <c r="A17" s="645"/>
      <c r="B17" s="2400" t="s">
        <v>2091</v>
      </c>
      <c r="C17" s="2401" t="str">
        <f>C5</f>
        <v>估价对象位于XX商圈，周边办公楼项目较多，入驻率高，办公集聚程度较好</v>
      </c>
      <c r="D17" s="2372"/>
      <c r="E17" s="2402"/>
      <c r="F17" s="2403" t="s">
        <v>2109</v>
      </c>
      <c r="G17" s="1572"/>
    </row>
    <row r="18" spans="1:18" ht="57">
      <c r="A18" s="645"/>
      <c r="B18" s="2403" t="s">
        <v>2095</v>
      </c>
      <c r="C18" s="136" t="str">
        <f>C6</f>
        <v>估价对象周边道路状况、公共交通通达情况、停车便捷程度，综合评价交通便捷度较好</v>
      </c>
      <c r="D18" s="2372"/>
      <c r="E18" s="2402"/>
      <c r="F18" s="2403" t="s">
        <v>2098</v>
      </c>
      <c r="G18" s="136" t="str">
        <f>G7</f>
        <v>该园区内是否有污染型企业，绿化情况，卫生条件，整体环境状况判断</v>
      </c>
    </row>
    <row r="19" spans="1:18" ht="28.5">
      <c r="A19" s="645"/>
      <c r="B19" s="2403" t="s">
        <v>2110</v>
      </c>
      <c r="C19" s="1572"/>
      <c r="D19" s="2366"/>
      <c r="E19" s="2402"/>
      <c r="F19" s="1798" t="s">
        <v>2093</v>
      </c>
      <c r="G19" s="136" t="str">
        <f>G5</f>
        <v>估价对象所在区域公共配套设施齐备情况</v>
      </c>
    </row>
    <row r="20" spans="1:18" ht="28.5">
      <c r="A20" s="645"/>
      <c r="B20" s="2403" t="s">
        <v>2111</v>
      </c>
      <c r="C20" s="2401" t="str">
        <f>C9</f>
        <v>区域自然环境：；人文环境；综合评价环境状况一般</v>
      </c>
      <c r="D20" s="2372"/>
      <c r="E20" s="2402"/>
      <c r="F20" s="1798" t="s">
        <v>2112</v>
      </c>
      <c r="G20" s="136" t="str">
        <f>G6</f>
        <v>估价对象所在区域基础设施水平</v>
      </c>
    </row>
    <row r="21" spans="1:18" ht="28.5">
      <c r="A21" s="645"/>
      <c r="B21" s="1798" t="s">
        <v>2093</v>
      </c>
      <c r="C21" s="136" t="str">
        <f>C7</f>
        <v>估价对象所在区域公共配套设施齐备情况</v>
      </c>
      <c r="D21" s="2366"/>
      <c r="E21" s="2402"/>
      <c r="F21" s="2403" t="s">
        <v>2113</v>
      </c>
      <c r="G21" s="2404"/>
    </row>
    <row r="22" spans="1:18" ht="13.5" customHeight="1">
      <c r="A22" s="645"/>
      <c r="B22" s="1798" t="s">
        <v>2096</v>
      </c>
      <c r="C22" s="136" t="str">
        <f>C8</f>
        <v>估价对象所在区域基础设施水平</v>
      </c>
      <c r="D22" s="2366"/>
      <c r="E22" s="2402"/>
      <c r="F22" s="2403" t="s">
        <v>2102</v>
      </c>
      <c r="G22" s="1572"/>
    </row>
    <row r="23" spans="1:18" s="2363" customFormat="1" ht="15.75" thickBot="1">
      <c r="A23" s="645"/>
      <c r="B23" s="2403" t="s">
        <v>2113</v>
      </c>
      <c r="C23" s="2404"/>
      <c r="D23" s="2391"/>
      <c r="E23" s="2405"/>
      <c r="F23" s="2406" t="s">
        <v>2114</v>
      </c>
      <c r="G23" s="2407"/>
      <c r="H23" s="2391"/>
      <c r="I23" s="2392"/>
      <c r="J23" s="2391"/>
      <c r="K23" s="2391"/>
      <c r="L23" s="2392"/>
      <c r="M23" s="2391"/>
      <c r="N23" s="2391"/>
      <c r="O23" s="2392"/>
      <c r="P23" s="2391"/>
      <c r="Q23" s="2391"/>
      <c r="R23" s="2393"/>
    </row>
    <row r="24" spans="1:18" s="2363" customFormat="1" ht="15.75" thickBot="1">
      <c r="A24" s="2408"/>
      <c r="B24" s="2406" t="s">
        <v>2115</v>
      </c>
      <c r="C24" s="137">
        <f>C10</f>
        <v>0</v>
      </c>
      <c r="D24" s="2391"/>
      <c r="E24" s="2409"/>
      <c r="F24" s="2409"/>
      <c r="G24" s="2410"/>
      <c r="H24" s="2391"/>
      <c r="I24" s="2392"/>
      <c r="J24" s="2391"/>
      <c r="K24" s="2391"/>
      <c r="L24" s="2392"/>
      <c r="M24" s="2391"/>
      <c r="N24" s="2391"/>
      <c r="O24" s="2392"/>
      <c r="P24" s="2391"/>
      <c r="Q24" s="2391"/>
      <c r="R24" s="2393"/>
    </row>
    <row r="25" spans="1:18" s="2363" customFormat="1">
      <c r="B25" s="2391"/>
      <c r="C25" s="2391"/>
      <c r="D25" s="2391"/>
      <c r="H25" s="2391"/>
      <c r="I25" s="2392"/>
      <c r="J25" s="2391"/>
      <c r="K25" s="2391"/>
      <c r="L25" s="2392"/>
      <c r="M25" s="2391"/>
      <c r="N25" s="2391"/>
      <c r="O25" s="2392"/>
      <c r="P25" s="2391"/>
      <c r="Q25" s="2391"/>
      <c r="R25" s="2393"/>
    </row>
    <row r="26" spans="1:18" s="2363" customFormat="1">
      <c r="B26" s="2391"/>
      <c r="C26" s="2391"/>
      <c r="D26" s="2391"/>
      <c r="H26" s="2391"/>
      <c r="I26" s="2392"/>
      <c r="J26" s="2391"/>
      <c r="K26" s="2391"/>
      <c r="L26" s="2392"/>
      <c r="M26" s="2391"/>
      <c r="N26" s="2391"/>
      <c r="O26" s="2392"/>
      <c r="P26" s="2391"/>
      <c r="Q26" s="2391"/>
      <c r="R26" s="2393"/>
    </row>
    <row r="27" spans="1:18" s="2363" customFormat="1">
      <c r="B27" s="2391"/>
      <c r="C27" s="2391"/>
      <c r="D27" s="2391"/>
      <c r="H27" s="2391"/>
      <c r="I27" s="2392"/>
      <c r="J27" s="2391"/>
      <c r="K27" s="2391"/>
      <c r="L27" s="2392"/>
      <c r="M27" s="2391"/>
      <c r="N27" s="2391"/>
      <c r="O27" s="2392"/>
      <c r="P27" s="2391"/>
      <c r="Q27" s="2391"/>
      <c r="R27" s="2393"/>
    </row>
    <row r="28" spans="1:18" s="2363" customFormat="1">
      <c r="B28" s="2391"/>
      <c r="C28" s="2391"/>
      <c r="D28" s="2391"/>
      <c r="H28" s="2391"/>
      <c r="I28" s="2392"/>
      <c r="J28" s="2391"/>
      <c r="K28" s="2391"/>
      <c r="L28" s="2392"/>
      <c r="M28" s="2391"/>
      <c r="N28" s="2391"/>
      <c r="O28" s="2392"/>
      <c r="P28" s="2391"/>
      <c r="Q28" s="2391"/>
      <c r="R28" s="2393"/>
    </row>
    <row r="29" spans="1:18" s="2363" customFormat="1">
      <c r="B29" s="2391"/>
      <c r="C29" s="2391"/>
      <c r="D29" s="2391"/>
      <c r="H29" s="2391"/>
      <c r="I29" s="2392"/>
      <c r="J29" s="2391"/>
      <c r="K29" s="2391"/>
      <c r="L29" s="2392"/>
      <c r="M29" s="2391"/>
      <c r="N29" s="2391"/>
      <c r="O29" s="2392"/>
      <c r="P29" s="2391"/>
      <c r="Q29" s="2391"/>
      <c r="R29" s="2393"/>
    </row>
    <row r="30" spans="1:18" s="2363" customFormat="1">
      <c r="B30" s="2391"/>
      <c r="C30" s="2391"/>
      <c r="D30" s="2391"/>
      <c r="H30" s="2391"/>
      <c r="I30" s="2392"/>
      <c r="J30" s="2391"/>
      <c r="K30" s="2391"/>
      <c r="L30" s="2392"/>
      <c r="M30" s="2391"/>
      <c r="N30" s="2391"/>
      <c r="O30" s="2392"/>
      <c r="P30" s="2391"/>
      <c r="Q30" s="2391"/>
      <c r="R30" s="2393"/>
    </row>
    <row r="31" spans="1:18" s="2363" customFormat="1">
      <c r="B31" s="2391"/>
      <c r="C31" s="2391"/>
      <c r="D31" s="2391"/>
      <c r="H31" s="2391"/>
      <c r="I31" s="2392"/>
      <c r="J31" s="2391"/>
      <c r="K31" s="2391"/>
      <c r="L31" s="2392"/>
      <c r="M31" s="2391"/>
      <c r="N31" s="2391"/>
      <c r="O31" s="2392"/>
      <c r="P31" s="2391"/>
      <c r="Q31" s="2391"/>
      <c r="R31" s="2393"/>
    </row>
    <row r="32" spans="1:18" s="2363" customFormat="1">
      <c r="B32" s="2391"/>
      <c r="C32" s="2391"/>
      <c r="D32" s="2391"/>
      <c r="H32" s="2391"/>
      <c r="I32" s="2392"/>
      <c r="J32" s="2391"/>
      <c r="K32" s="2391"/>
      <c r="L32" s="2392"/>
      <c r="M32" s="2391"/>
      <c r="N32" s="2391"/>
      <c r="O32" s="2392"/>
      <c r="P32" s="2391"/>
      <c r="Q32" s="2391"/>
      <c r="R32" s="2393"/>
    </row>
    <row r="33" spans="2:18" s="2363" customFormat="1">
      <c r="B33" s="2391"/>
      <c r="C33" s="2391"/>
      <c r="D33" s="2391"/>
      <c r="H33" s="2391"/>
      <c r="I33" s="2392"/>
      <c r="J33" s="2391"/>
      <c r="K33" s="2391"/>
      <c r="L33" s="2392"/>
      <c r="M33" s="2391"/>
      <c r="N33" s="2391"/>
      <c r="O33" s="2392"/>
      <c r="P33" s="2391"/>
      <c r="Q33" s="2391"/>
      <c r="R33" s="2393"/>
    </row>
    <row r="34" spans="2:18" s="2363" customFormat="1">
      <c r="B34" s="2391"/>
      <c r="C34" s="2391"/>
      <c r="D34" s="2391"/>
      <c r="H34" s="2391"/>
      <c r="I34" s="2392"/>
      <c r="J34" s="2391"/>
      <c r="K34" s="2391"/>
      <c r="L34" s="2392"/>
      <c r="M34" s="2391"/>
      <c r="N34" s="2391"/>
      <c r="O34" s="2392"/>
      <c r="P34" s="2391"/>
      <c r="Q34" s="2391"/>
      <c r="R34" s="2393"/>
    </row>
    <row r="35" spans="2:18" s="2363" customFormat="1">
      <c r="B35" s="2391"/>
      <c r="C35" s="2391"/>
      <c r="D35" s="2391"/>
      <c r="H35" s="2391"/>
      <c r="I35" s="2392"/>
      <c r="J35" s="2391"/>
      <c r="K35" s="2391"/>
      <c r="L35" s="2392"/>
      <c r="M35" s="2391"/>
      <c r="N35" s="2391"/>
      <c r="O35" s="2392"/>
      <c r="P35" s="2391"/>
      <c r="Q35" s="2391"/>
      <c r="R35" s="2393"/>
    </row>
    <row r="36" spans="2:18" s="2363" customFormat="1">
      <c r="B36" s="2391"/>
      <c r="C36" s="2391"/>
      <c r="D36" s="2391"/>
      <c r="H36" s="2391"/>
      <c r="I36" s="2392"/>
      <c r="J36" s="2391"/>
      <c r="K36" s="2391"/>
      <c r="L36" s="2392"/>
      <c r="M36" s="2391"/>
      <c r="N36" s="2391"/>
      <c r="O36" s="2392"/>
      <c r="P36" s="2391"/>
      <c r="Q36" s="2391"/>
      <c r="R36" s="2393"/>
    </row>
    <row r="37" spans="2:18" s="2363" customFormat="1">
      <c r="B37" s="2391"/>
      <c r="C37" s="2391"/>
      <c r="D37" s="2391"/>
      <c r="H37" s="2391"/>
      <c r="I37" s="2392"/>
      <c r="J37" s="2391"/>
      <c r="K37" s="2391"/>
      <c r="L37" s="2392"/>
      <c r="M37" s="2391"/>
      <c r="N37" s="2391"/>
      <c r="O37" s="2392"/>
      <c r="P37" s="2391"/>
      <c r="Q37" s="2391"/>
      <c r="R37" s="2393"/>
    </row>
    <row r="38" spans="2:18" s="2363" customFormat="1">
      <c r="B38" s="2391"/>
      <c r="C38" s="2391"/>
      <c r="D38" s="2391"/>
      <c r="E38" s="2391"/>
      <c r="F38" s="2391"/>
      <c r="G38" s="2392"/>
      <c r="H38" s="2391"/>
      <c r="I38" s="2392"/>
      <c r="J38" s="2391"/>
      <c r="K38" s="2391"/>
      <c r="L38" s="2392"/>
      <c r="M38" s="2391"/>
      <c r="N38" s="2391"/>
      <c r="O38" s="2392"/>
      <c r="P38" s="2391"/>
      <c r="Q38" s="2391"/>
      <c r="R38" s="2393"/>
    </row>
    <row r="39" spans="2:18" s="2363" customFormat="1">
      <c r="B39" s="2391"/>
      <c r="C39" s="2391"/>
      <c r="D39" s="2391"/>
      <c r="E39" s="2391"/>
      <c r="F39" s="2391"/>
      <c r="G39" s="2392"/>
      <c r="H39" s="2391"/>
      <c r="I39" s="2392"/>
      <c r="J39" s="2391"/>
      <c r="K39" s="2391"/>
      <c r="L39" s="2392"/>
      <c r="M39" s="2391"/>
      <c r="N39" s="2391"/>
      <c r="O39" s="2392"/>
      <c r="P39" s="2391"/>
      <c r="Q39" s="2391"/>
      <c r="R39" s="2393"/>
    </row>
    <row r="40" spans="2:18" s="2363" customFormat="1">
      <c r="B40" s="2391"/>
      <c r="C40" s="2391"/>
      <c r="D40" s="2391"/>
      <c r="E40" s="2391"/>
      <c r="F40" s="2391"/>
      <c r="G40" s="2392"/>
      <c r="H40" s="2391"/>
      <c r="I40" s="2392"/>
      <c r="J40" s="2391"/>
      <c r="K40" s="2391"/>
      <c r="L40" s="2392"/>
      <c r="M40" s="2391"/>
      <c r="N40" s="2391"/>
      <c r="O40" s="2392"/>
      <c r="P40" s="2391"/>
      <c r="Q40" s="2391"/>
      <c r="R40" s="2393"/>
    </row>
    <row r="41" spans="2:18" s="2363" customFormat="1">
      <c r="B41" s="2391"/>
      <c r="C41" s="2391"/>
      <c r="D41" s="2391"/>
      <c r="E41" s="2391"/>
      <c r="F41" s="2391"/>
      <c r="G41" s="2392"/>
      <c r="H41" s="2391"/>
      <c r="I41" s="2392"/>
      <c r="J41" s="2391"/>
      <c r="K41" s="2391"/>
      <c r="L41" s="2392"/>
      <c r="M41" s="2391"/>
      <c r="N41" s="2391"/>
      <c r="O41" s="2392"/>
      <c r="P41" s="2391"/>
      <c r="Q41" s="2391"/>
      <c r="R41" s="2393"/>
    </row>
    <row r="42" spans="2:18" s="2363" customFormat="1">
      <c r="B42" s="2391"/>
      <c r="C42" s="2391"/>
      <c r="D42" s="2391"/>
      <c r="E42" s="2391"/>
      <c r="F42" s="2391"/>
      <c r="G42" s="2392"/>
      <c r="H42" s="2391"/>
      <c r="I42" s="2392"/>
      <c r="J42" s="2391"/>
      <c r="K42" s="2391"/>
      <c r="L42" s="2392"/>
      <c r="M42" s="2391"/>
      <c r="N42" s="2391"/>
      <c r="O42" s="2392"/>
      <c r="P42" s="2391"/>
      <c r="Q42" s="2391"/>
      <c r="R42" s="2393"/>
    </row>
    <row r="43" spans="2:18" s="2363" customFormat="1">
      <c r="B43" s="2391"/>
      <c r="C43" s="2391"/>
      <c r="D43" s="2391"/>
      <c r="E43" s="2391"/>
      <c r="F43" s="2391"/>
      <c r="G43" s="2392"/>
      <c r="H43" s="2391"/>
      <c r="I43" s="2392"/>
      <c r="J43" s="2391"/>
      <c r="K43" s="2391"/>
      <c r="L43" s="2392"/>
      <c r="M43" s="2391"/>
      <c r="N43" s="2391"/>
      <c r="O43" s="2392"/>
      <c r="P43" s="2391"/>
      <c r="Q43" s="2391"/>
      <c r="R43" s="2393"/>
    </row>
    <row r="44" spans="2:18" s="2363" customFormat="1">
      <c r="B44" s="2391"/>
      <c r="C44" s="2391"/>
      <c r="D44" s="2391"/>
      <c r="E44" s="2391"/>
      <c r="F44" s="2391"/>
      <c r="G44" s="2392"/>
      <c r="H44" s="2391"/>
      <c r="I44" s="2392"/>
      <c r="J44" s="2391"/>
      <c r="K44" s="2391"/>
      <c r="L44" s="2392"/>
      <c r="M44" s="2391"/>
      <c r="N44" s="2391"/>
      <c r="O44" s="2392"/>
      <c r="P44" s="2391"/>
      <c r="Q44" s="2391"/>
      <c r="R44" s="2393"/>
    </row>
    <row r="45" spans="2:18" s="2363" customFormat="1">
      <c r="B45" s="2391"/>
      <c r="C45" s="2391"/>
      <c r="D45" s="2391"/>
      <c r="E45" s="2391"/>
      <c r="F45" s="2391"/>
      <c r="G45" s="2392"/>
      <c r="H45" s="2391"/>
      <c r="I45" s="2392"/>
      <c r="J45" s="2391"/>
      <c r="K45" s="2391"/>
      <c r="L45" s="2392"/>
      <c r="M45" s="2391"/>
      <c r="N45" s="2391"/>
      <c r="O45" s="2392"/>
      <c r="P45" s="2391"/>
      <c r="Q45" s="2391"/>
      <c r="R45" s="2393"/>
    </row>
    <row r="46" spans="2:18" s="2363" customFormat="1">
      <c r="B46" s="2391"/>
      <c r="C46" s="2391"/>
      <c r="D46" s="2391"/>
      <c r="E46" s="2391"/>
      <c r="F46" s="2391"/>
      <c r="G46" s="2392"/>
      <c r="H46" s="2391"/>
      <c r="I46" s="2392"/>
      <c r="J46" s="2391"/>
      <c r="K46" s="2391"/>
      <c r="L46" s="2392"/>
      <c r="M46" s="2391"/>
      <c r="N46" s="2391"/>
      <c r="O46" s="2392"/>
      <c r="P46" s="2391"/>
      <c r="Q46" s="2391"/>
      <c r="R46" s="2393"/>
    </row>
    <row r="47" spans="2:18" s="2363" customFormat="1">
      <c r="B47" s="2391"/>
      <c r="C47" s="2391"/>
      <c r="D47" s="2391"/>
      <c r="E47" s="2391"/>
      <c r="F47" s="2391"/>
      <c r="G47" s="2392"/>
      <c r="H47" s="2391"/>
      <c r="I47" s="2392"/>
      <c r="J47" s="2391"/>
      <c r="K47" s="2391"/>
      <c r="L47" s="2392"/>
      <c r="M47" s="2391"/>
      <c r="N47" s="2391"/>
      <c r="O47" s="2392"/>
      <c r="P47" s="2391"/>
      <c r="Q47" s="2391"/>
      <c r="R47" s="2393"/>
    </row>
    <row r="48" spans="2:18" s="2363" customFormat="1">
      <c r="B48" s="2391"/>
      <c r="C48" s="2391"/>
      <c r="D48" s="2391"/>
      <c r="E48" s="2391"/>
      <c r="F48" s="2391"/>
      <c r="G48" s="2392"/>
      <c r="H48" s="2391"/>
      <c r="I48" s="2392"/>
      <c r="J48" s="2391"/>
      <c r="K48" s="2391"/>
      <c r="L48" s="2392"/>
      <c r="M48" s="2391"/>
      <c r="N48" s="2391"/>
      <c r="O48" s="2392"/>
      <c r="P48" s="2391"/>
      <c r="Q48" s="2391"/>
      <c r="R48" s="2393"/>
    </row>
    <row r="49" spans="2:18" s="2363" customFormat="1">
      <c r="B49" s="2391"/>
      <c r="C49" s="2391"/>
      <c r="D49" s="2391"/>
      <c r="E49" s="2391"/>
      <c r="F49" s="2391"/>
      <c r="G49" s="2392"/>
      <c r="H49" s="2391"/>
      <c r="I49" s="2392"/>
      <c r="J49" s="2391"/>
      <c r="K49" s="2391"/>
      <c r="L49" s="2392"/>
      <c r="M49" s="2391"/>
      <c r="N49" s="2391"/>
      <c r="O49" s="2392"/>
      <c r="P49" s="2391"/>
      <c r="Q49" s="2391"/>
      <c r="R49" s="2393"/>
    </row>
    <row r="50" spans="2:18" s="2363" customFormat="1">
      <c r="B50" s="2391"/>
      <c r="C50" s="2391"/>
      <c r="D50" s="2391"/>
      <c r="E50" s="2391"/>
      <c r="F50" s="2391"/>
      <c r="G50" s="2392"/>
      <c r="H50" s="2391"/>
      <c r="I50" s="2392"/>
      <c r="J50" s="2391"/>
      <c r="K50" s="2391"/>
      <c r="L50" s="2392"/>
      <c r="M50" s="2391"/>
      <c r="N50" s="2391"/>
      <c r="O50" s="2392"/>
      <c r="P50" s="2391"/>
      <c r="Q50" s="2391"/>
      <c r="R50" s="2393"/>
    </row>
    <row r="51" spans="2:18" s="2363" customFormat="1">
      <c r="B51" s="2391"/>
      <c r="C51" s="2391"/>
      <c r="D51" s="2391"/>
      <c r="E51" s="2391"/>
      <c r="F51" s="2391"/>
      <c r="G51" s="2392"/>
      <c r="H51" s="2391"/>
      <c r="I51" s="2392"/>
      <c r="J51" s="2391"/>
      <c r="K51" s="2391"/>
      <c r="L51" s="2392"/>
      <c r="M51" s="2391"/>
      <c r="N51" s="2391"/>
      <c r="O51" s="2392"/>
      <c r="P51" s="2391"/>
      <c r="Q51" s="2391"/>
      <c r="R51" s="2393"/>
    </row>
    <row r="52" spans="2:18" s="2363" customFormat="1">
      <c r="B52" s="2391"/>
      <c r="C52" s="2391"/>
      <c r="D52" s="2391"/>
      <c r="E52" s="2391"/>
      <c r="F52" s="2391"/>
      <c r="G52" s="2392"/>
      <c r="H52" s="2391"/>
      <c r="I52" s="2392"/>
      <c r="J52" s="2391"/>
      <c r="K52" s="2391"/>
      <c r="L52" s="2392"/>
      <c r="M52" s="2391"/>
      <c r="N52" s="2391"/>
      <c r="O52" s="2392"/>
      <c r="P52" s="2391"/>
      <c r="Q52" s="2391"/>
      <c r="R52" s="2393"/>
    </row>
    <row r="53" spans="2:18" s="2363" customFormat="1">
      <c r="B53" s="2391"/>
      <c r="C53" s="2391"/>
      <c r="D53" s="2391"/>
      <c r="E53" s="2391"/>
      <c r="F53" s="2391"/>
      <c r="G53" s="2392"/>
      <c r="H53" s="2391"/>
      <c r="I53" s="2392"/>
      <c r="J53" s="2391"/>
      <c r="K53" s="2391"/>
      <c r="L53" s="2392"/>
      <c r="M53" s="2391"/>
      <c r="N53" s="2391"/>
      <c r="O53" s="2392"/>
      <c r="P53" s="2391"/>
      <c r="Q53" s="2391"/>
      <c r="R53" s="2393"/>
    </row>
    <row r="54" spans="2:18" s="2363" customFormat="1">
      <c r="B54" s="2391"/>
      <c r="C54" s="2391"/>
      <c r="D54" s="2391"/>
      <c r="E54" s="2391"/>
      <c r="F54" s="2391"/>
      <c r="G54" s="2392"/>
      <c r="H54" s="2391"/>
      <c r="I54" s="2392"/>
      <c r="J54" s="2391"/>
      <c r="K54" s="2391"/>
      <c r="L54" s="2392"/>
      <c r="M54" s="2391"/>
      <c r="N54" s="2391"/>
      <c r="O54" s="2392"/>
      <c r="P54" s="2391"/>
      <c r="Q54" s="2391"/>
      <c r="R54" s="2393"/>
    </row>
    <row r="55" spans="2:18" s="2363" customFormat="1">
      <c r="B55" s="2391"/>
      <c r="C55" s="2391"/>
      <c r="D55" s="2391"/>
      <c r="E55" s="2391"/>
      <c r="F55" s="2391"/>
      <c r="G55" s="2392"/>
      <c r="H55" s="2391"/>
      <c r="I55" s="2392"/>
      <c r="J55" s="2391"/>
      <c r="K55" s="2391"/>
      <c r="L55" s="2392"/>
      <c r="M55" s="2391"/>
      <c r="N55" s="2391"/>
      <c r="O55" s="2392"/>
      <c r="P55" s="2391"/>
      <c r="Q55" s="2391"/>
      <c r="R55" s="2393"/>
    </row>
    <row r="56" spans="2:18" s="2363" customFormat="1">
      <c r="B56" s="2391"/>
      <c r="C56" s="2391"/>
      <c r="D56" s="2391"/>
      <c r="E56" s="2391"/>
      <c r="F56" s="2391"/>
      <c r="G56" s="2392"/>
      <c r="H56" s="2391"/>
      <c r="I56" s="2392"/>
      <c r="J56" s="2391"/>
      <c r="K56" s="2391"/>
      <c r="L56" s="2392"/>
      <c r="M56" s="2391"/>
      <c r="N56" s="2391"/>
      <c r="O56" s="2392"/>
      <c r="P56" s="2391"/>
      <c r="Q56" s="2391"/>
      <c r="R56" s="2393"/>
    </row>
    <row r="57" spans="2:18" s="2363" customFormat="1">
      <c r="B57" s="2391"/>
      <c r="C57" s="2391"/>
      <c r="D57" s="2391"/>
      <c r="E57" s="2391"/>
      <c r="F57" s="2391"/>
      <c r="G57" s="2392"/>
      <c r="H57" s="2391"/>
      <c r="I57" s="2392"/>
      <c r="J57" s="2391"/>
      <c r="K57" s="2391"/>
      <c r="L57" s="2392"/>
      <c r="M57" s="2391"/>
      <c r="N57" s="2391"/>
      <c r="O57" s="2392"/>
      <c r="P57" s="2391"/>
      <c r="Q57" s="2391"/>
      <c r="R57" s="2393"/>
    </row>
    <row r="58" spans="2:18" s="2363" customFormat="1">
      <c r="B58" s="2391"/>
      <c r="C58" s="2391"/>
      <c r="D58" s="2391"/>
      <c r="E58" s="2391"/>
      <c r="F58" s="2391"/>
      <c r="G58" s="2392"/>
      <c r="H58" s="2391"/>
      <c r="I58" s="2392"/>
      <c r="J58" s="2391"/>
      <c r="K58" s="2391"/>
      <c r="L58" s="2392"/>
      <c r="M58" s="2391"/>
      <c r="N58" s="2391"/>
      <c r="O58" s="2392"/>
      <c r="P58" s="2391"/>
      <c r="Q58" s="2391"/>
      <c r="R58" s="2393"/>
    </row>
    <row r="59" spans="2:18" s="2363" customFormat="1">
      <c r="B59" s="2391"/>
      <c r="C59" s="2391"/>
      <c r="D59" s="2391"/>
      <c r="E59" s="2391"/>
      <c r="F59" s="2391"/>
      <c r="G59" s="2392"/>
      <c r="H59" s="2391"/>
      <c r="I59" s="2392"/>
      <c r="J59" s="2391"/>
      <c r="K59" s="2391"/>
      <c r="L59" s="2392"/>
      <c r="M59" s="2391"/>
      <c r="N59" s="2391"/>
      <c r="O59" s="2392"/>
      <c r="P59" s="2391"/>
      <c r="Q59" s="2391"/>
      <c r="R59" s="2393"/>
    </row>
    <row r="60" spans="2:18" s="2363" customFormat="1">
      <c r="B60" s="2391"/>
      <c r="C60" s="2391"/>
      <c r="D60" s="2391"/>
      <c r="E60" s="2391"/>
      <c r="F60" s="2391"/>
      <c r="G60" s="2392"/>
      <c r="H60" s="2391"/>
      <c r="I60" s="2392"/>
      <c r="J60" s="2391"/>
      <c r="K60" s="2391"/>
      <c r="L60" s="2392"/>
      <c r="M60" s="2391"/>
      <c r="N60" s="2391"/>
      <c r="O60" s="2392"/>
      <c r="P60" s="2391"/>
      <c r="Q60" s="2391"/>
      <c r="R60" s="2393"/>
    </row>
    <row r="61" spans="2:18" s="2363" customFormat="1">
      <c r="B61" s="2391"/>
      <c r="C61" s="2391"/>
      <c r="D61" s="2391"/>
      <c r="E61" s="2391"/>
      <c r="F61" s="2391"/>
      <c r="G61" s="2392"/>
      <c r="H61" s="2391"/>
      <c r="I61" s="2392"/>
      <c r="J61" s="2391"/>
      <c r="K61" s="2391"/>
      <c r="L61" s="2392"/>
      <c r="M61" s="2391"/>
      <c r="N61" s="2391"/>
      <c r="O61" s="2392"/>
      <c r="P61" s="2391"/>
      <c r="Q61" s="2391"/>
      <c r="R61" s="2393"/>
    </row>
    <row r="62" spans="2:18" s="2363" customFormat="1">
      <c r="B62" s="2391"/>
      <c r="C62" s="2391"/>
      <c r="D62" s="2391"/>
      <c r="E62" s="2391"/>
      <c r="F62" s="2391"/>
      <c r="G62" s="2392"/>
      <c r="H62" s="2391"/>
      <c r="I62" s="2392"/>
      <c r="J62" s="2391"/>
      <c r="K62" s="2391"/>
      <c r="L62" s="2392"/>
      <c r="M62" s="2391"/>
      <c r="N62" s="2391"/>
      <c r="O62" s="2392"/>
      <c r="P62" s="2391"/>
      <c r="Q62" s="2391"/>
      <c r="R62" s="2393"/>
    </row>
    <row r="63" spans="2:18" s="2363" customFormat="1">
      <c r="B63" s="2391"/>
      <c r="C63" s="2391"/>
      <c r="D63" s="2391"/>
      <c r="E63" s="2391"/>
      <c r="F63" s="2391"/>
      <c r="G63" s="2392"/>
      <c r="H63" s="2391"/>
      <c r="I63" s="2392"/>
      <c r="J63" s="2391"/>
      <c r="K63" s="2391"/>
      <c r="L63" s="2392"/>
      <c r="M63" s="2391"/>
      <c r="N63" s="2391"/>
      <c r="O63" s="2392"/>
      <c r="P63" s="2391"/>
      <c r="Q63" s="2391"/>
      <c r="R63" s="2393"/>
    </row>
    <row r="64" spans="2:18" s="2363" customFormat="1">
      <c r="B64" s="2391"/>
      <c r="C64" s="2391"/>
      <c r="D64" s="2391"/>
      <c r="E64" s="2391"/>
      <c r="F64" s="2391"/>
      <c r="G64" s="2392"/>
      <c r="H64" s="2391"/>
      <c r="I64" s="2392"/>
      <c r="J64" s="2391"/>
      <c r="K64" s="2391"/>
      <c r="L64" s="2392"/>
      <c r="M64" s="2391"/>
      <c r="N64" s="2391"/>
      <c r="O64" s="2392"/>
      <c r="P64" s="2391"/>
      <c r="Q64" s="2391"/>
      <c r="R64" s="2393"/>
    </row>
    <row r="65" spans="2:18" s="2363" customFormat="1">
      <c r="B65" s="2391"/>
      <c r="C65" s="2391"/>
      <c r="D65" s="2391"/>
      <c r="E65" s="2391"/>
      <c r="F65" s="2391"/>
      <c r="G65" s="2392"/>
      <c r="H65" s="2391"/>
      <c r="I65" s="2392"/>
      <c r="J65" s="2391"/>
      <c r="K65" s="2391"/>
      <c r="L65" s="2392"/>
      <c r="M65" s="2391"/>
      <c r="N65" s="2391"/>
      <c r="O65" s="2392"/>
      <c r="P65" s="2391"/>
      <c r="Q65" s="2391"/>
      <c r="R65" s="2393"/>
    </row>
    <row r="66" spans="2:18" s="2363" customFormat="1">
      <c r="B66" s="2391"/>
      <c r="C66" s="2391"/>
      <c r="D66" s="2391"/>
      <c r="E66" s="2391"/>
      <c r="F66" s="2391"/>
      <c r="G66" s="2392"/>
      <c r="H66" s="2391"/>
      <c r="I66" s="2392"/>
      <c r="J66" s="2391"/>
      <c r="K66" s="2391"/>
      <c r="L66" s="2392"/>
      <c r="M66" s="2391"/>
      <c r="N66" s="2391"/>
      <c r="O66" s="2392"/>
      <c r="P66" s="2391"/>
      <c r="Q66" s="2391"/>
      <c r="R66" s="2393"/>
    </row>
    <row r="67" spans="2:18" s="2363" customFormat="1">
      <c r="B67" s="2391"/>
      <c r="C67" s="2391"/>
      <c r="D67" s="2391"/>
      <c r="E67" s="2391"/>
      <c r="F67" s="2391"/>
      <c r="G67" s="2392"/>
      <c r="H67" s="2391"/>
      <c r="I67" s="2392"/>
      <c r="J67" s="2391"/>
      <c r="K67" s="2391"/>
      <c r="L67" s="2392"/>
      <c r="M67" s="2391"/>
      <c r="N67" s="2391"/>
      <c r="O67" s="2392"/>
      <c r="P67" s="2391"/>
      <c r="Q67" s="2391"/>
      <c r="R67" s="2393"/>
    </row>
    <row r="68" spans="2:18" s="2363" customFormat="1">
      <c r="B68" s="2391"/>
      <c r="C68" s="2391"/>
      <c r="D68" s="2391"/>
      <c r="E68" s="2391"/>
      <c r="F68" s="2391"/>
      <c r="G68" s="2392"/>
      <c r="H68" s="2391"/>
      <c r="I68" s="2392"/>
      <c r="J68" s="2391"/>
      <c r="K68" s="2391"/>
      <c r="L68" s="2392"/>
      <c r="M68" s="2391"/>
      <c r="N68" s="2391"/>
      <c r="O68" s="2392"/>
      <c r="P68" s="2391"/>
      <c r="Q68" s="2391"/>
      <c r="R68" s="2393"/>
    </row>
    <row r="69" spans="2:18" s="2363" customFormat="1">
      <c r="B69" s="2391"/>
      <c r="C69" s="2391"/>
      <c r="D69" s="2391"/>
      <c r="E69" s="2391"/>
      <c r="F69" s="2391"/>
      <c r="G69" s="2392"/>
      <c r="H69" s="2391"/>
      <c r="I69" s="2392"/>
      <c r="J69" s="2391"/>
      <c r="K69" s="2391"/>
      <c r="L69" s="2392"/>
      <c r="M69" s="2391"/>
      <c r="N69" s="2391"/>
      <c r="O69" s="2392"/>
      <c r="P69" s="2391"/>
      <c r="Q69" s="2391"/>
      <c r="R69" s="2393"/>
    </row>
    <row r="70" spans="2:18" s="2363" customFormat="1">
      <c r="B70" s="2391"/>
      <c r="C70" s="2391"/>
      <c r="D70" s="2391"/>
      <c r="E70" s="2391"/>
      <c r="F70" s="2391"/>
      <c r="G70" s="2392"/>
      <c r="H70" s="2391"/>
      <c r="I70" s="2392"/>
      <c r="J70" s="2391"/>
      <c r="K70" s="2391"/>
      <c r="L70" s="2392"/>
      <c r="M70" s="2391"/>
      <c r="N70" s="2391"/>
      <c r="O70" s="2392"/>
      <c r="P70" s="2391"/>
      <c r="Q70" s="2391"/>
      <c r="R70" s="2393"/>
    </row>
    <row r="71" spans="2:18" s="2363" customFormat="1">
      <c r="B71" s="2391"/>
      <c r="C71" s="2391"/>
      <c r="D71" s="2391"/>
      <c r="E71" s="2391"/>
      <c r="F71" s="2391"/>
      <c r="G71" s="2392"/>
      <c r="H71" s="2391"/>
      <c r="I71" s="2392"/>
      <c r="J71" s="2391"/>
      <c r="K71" s="2391"/>
      <c r="L71" s="2392"/>
      <c r="M71" s="2391"/>
      <c r="N71" s="2391"/>
      <c r="O71" s="2392"/>
      <c r="P71" s="2391"/>
      <c r="Q71" s="2391"/>
      <c r="R71" s="2393"/>
    </row>
    <row r="72" spans="2:18" s="2363" customFormat="1">
      <c r="B72" s="2391"/>
      <c r="C72" s="2391"/>
      <c r="D72" s="2391"/>
      <c r="E72" s="2391"/>
      <c r="F72" s="2391"/>
      <c r="G72" s="2392"/>
      <c r="H72" s="2391"/>
      <c r="I72" s="2392"/>
      <c r="J72" s="2391"/>
      <c r="K72" s="2391"/>
      <c r="L72" s="2392"/>
      <c r="M72" s="2391"/>
      <c r="N72" s="2391"/>
      <c r="O72" s="2392"/>
      <c r="P72" s="2391"/>
      <c r="Q72" s="2391"/>
      <c r="R72" s="2393"/>
    </row>
    <row r="73" spans="2:18" s="2363" customFormat="1">
      <c r="B73" s="2391"/>
      <c r="C73" s="2391"/>
      <c r="D73" s="2391"/>
      <c r="E73" s="2391"/>
      <c r="F73" s="2391"/>
      <c r="G73" s="2392"/>
      <c r="H73" s="2391"/>
      <c r="I73" s="2392"/>
      <c r="J73" s="2391"/>
      <c r="K73" s="2391"/>
      <c r="L73" s="2392"/>
      <c r="M73" s="2391"/>
      <c r="N73" s="2391"/>
      <c r="O73" s="2392"/>
      <c r="P73" s="2391"/>
      <c r="Q73" s="2391"/>
      <c r="R73" s="2393"/>
    </row>
    <row r="74" spans="2:18" s="2363" customFormat="1">
      <c r="B74" s="2391"/>
      <c r="C74" s="2391"/>
      <c r="D74" s="2391"/>
      <c r="E74" s="2391"/>
      <c r="F74" s="2391"/>
      <c r="G74" s="2392"/>
      <c r="H74" s="2391"/>
      <c r="I74" s="2392"/>
      <c r="J74" s="2391"/>
      <c r="K74" s="2391"/>
      <c r="L74" s="2392"/>
      <c r="M74" s="2391"/>
      <c r="N74" s="2391"/>
      <c r="O74" s="2392"/>
      <c r="P74" s="2391"/>
      <c r="Q74" s="2391"/>
      <c r="R74" s="2393"/>
    </row>
    <row r="75" spans="2:18" s="2363" customFormat="1">
      <c r="B75" s="2391"/>
      <c r="C75" s="2391"/>
      <c r="D75" s="2391"/>
      <c r="E75" s="2391"/>
      <c r="F75" s="2391"/>
      <c r="G75" s="2392"/>
      <c r="H75" s="2391"/>
      <c r="I75" s="2392"/>
      <c r="J75" s="2391"/>
      <c r="K75" s="2391"/>
      <c r="L75" s="2392"/>
      <c r="M75" s="2391"/>
      <c r="N75" s="2391"/>
      <c r="O75" s="2392"/>
      <c r="P75" s="2391"/>
      <c r="Q75" s="2391"/>
      <c r="R75" s="2393"/>
    </row>
    <row r="76" spans="2:18" s="2363" customFormat="1">
      <c r="B76" s="2391"/>
      <c r="C76" s="2391"/>
      <c r="D76" s="2391"/>
      <c r="E76" s="2391"/>
      <c r="F76" s="2391"/>
      <c r="G76" s="2392"/>
      <c r="H76" s="2391"/>
      <c r="I76" s="2392"/>
      <c r="J76" s="2391"/>
      <c r="K76" s="2391"/>
      <c r="L76" s="2392"/>
      <c r="M76" s="2391"/>
      <c r="N76" s="2391"/>
      <c r="O76" s="2392"/>
      <c r="P76" s="2391"/>
      <c r="Q76" s="2391"/>
      <c r="R76" s="2393"/>
    </row>
    <row r="77" spans="2:18" s="2363" customFormat="1">
      <c r="B77" s="2391"/>
      <c r="C77" s="2391"/>
      <c r="D77" s="2391"/>
      <c r="E77" s="2391"/>
      <c r="F77" s="2391"/>
      <c r="G77" s="2392"/>
      <c r="H77" s="2391"/>
      <c r="I77" s="2392"/>
      <c r="J77" s="2391"/>
      <c r="K77" s="2391"/>
      <c r="L77" s="2392"/>
      <c r="M77" s="2391"/>
      <c r="N77" s="2391"/>
      <c r="O77" s="2392"/>
      <c r="P77" s="2391"/>
      <c r="Q77" s="2391"/>
      <c r="R77" s="2393"/>
    </row>
    <row r="78" spans="2:18" s="2363" customFormat="1">
      <c r="B78" s="2391"/>
      <c r="C78" s="2391"/>
      <c r="D78" s="2391"/>
      <c r="E78" s="2391"/>
      <c r="F78" s="2391"/>
      <c r="G78" s="2392"/>
      <c r="H78" s="2391"/>
      <c r="I78" s="2392"/>
      <c r="J78" s="2391"/>
      <c r="K78" s="2391"/>
      <c r="L78" s="2392"/>
      <c r="M78" s="2391"/>
      <c r="N78" s="2391"/>
      <c r="O78" s="2392"/>
      <c r="P78" s="2391"/>
      <c r="Q78" s="2391"/>
      <c r="R78" s="2393"/>
    </row>
    <row r="79" spans="2:18" s="2363" customFormat="1">
      <c r="B79" s="2391"/>
      <c r="C79" s="2391"/>
      <c r="D79" s="2391"/>
      <c r="E79" s="2391"/>
      <c r="F79" s="2391"/>
      <c r="G79" s="2392"/>
      <c r="H79" s="2391"/>
      <c r="I79" s="2392"/>
      <c r="J79" s="2391"/>
      <c r="K79" s="2391"/>
      <c r="L79" s="2392"/>
      <c r="M79" s="2391"/>
      <c r="N79" s="2391"/>
      <c r="O79" s="2392"/>
      <c r="P79" s="2391"/>
      <c r="Q79" s="2391"/>
      <c r="R79" s="2393"/>
    </row>
    <row r="80" spans="2:18" s="2363" customFormat="1">
      <c r="B80" s="2391"/>
      <c r="C80" s="2391"/>
      <c r="D80" s="2391"/>
      <c r="E80" s="2391"/>
      <c r="F80" s="2391"/>
      <c r="G80" s="2392"/>
      <c r="H80" s="2391"/>
      <c r="I80" s="2392"/>
      <c r="J80" s="2391"/>
      <c r="K80" s="2391"/>
      <c r="L80" s="2392"/>
      <c r="M80" s="2391"/>
      <c r="N80" s="2391"/>
      <c r="O80" s="2392"/>
      <c r="P80" s="2391"/>
      <c r="Q80" s="2391"/>
      <c r="R80" s="2393"/>
    </row>
    <row r="81" spans="2:18" s="2363" customFormat="1">
      <c r="B81" s="2391"/>
      <c r="C81" s="2391"/>
      <c r="D81" s="2391"/>
      <c r="E81" s="2391"/>
      <c r="F81" s="2391"/>
      <c r="G81" s="2392"/>
      <c r="H81" s="2391"/>
      <c r="I81" s="2392"/>
      <c r="J81" s="2391"/>
      <c r="K81" s="2391"/>
      <c r="L81" s="2392"/>
      <c r="M81" s="2391"/>
      <c r="N81" s="2391"/>
      <c r="O81" s="2392"/>
      <c r="P81" s="2391"/>
      <c r="Q81" s="2391"/>
      <c r="R81" s="2393"/>
    </row>
    <row r="82" spans="2:18" s="2363" customFormat="1">
      <c r="B82" s="2391"/>
      <c r="C82" s="2391"/>
      <c r="D82" s="2391"/>
      <c r="E82" s="2391"/>
      <c r="F82" s="2391"/>
      <c r="G82" s="2392"/>
      <c r="H82" s="2391"/>
      <c r="I82" s="2392"/>
      <c r="J82" s="2391"/>
      <c r="K82" s="2391"/>
      <c r="L82" s="2392"/>
      <c r="M82" s="2391"/>
      <c r="N82" s="2391"/>
      <c r="O82" s="2392"/>
      <c r="P82" s="2391"/>
      <c r="Q82" s="2391"/>
      <c r="R82" s="2393"/>
    </row>
    <row r="83" spans="2:18" s="2363" customFormat="1">
      <c r="B83" s="2391"/>
      <c r="C83" s="2391"/>
      <c r="D83" s="2391"/>
      <c r="E83" s="2391"/>
      <c r="F83" s="2391"/>
      <c r="G83" s="2392"/>
      <c r="H83" s="2391"/>
      <c r="I83" s="2392"/>
      <c r="J83" s="2391"/>
      <c r="K83" s="2391"/>
      <c r="L83" s="2392"/>
      <c r="M83" s="2391"/>
      <c r="N83" s="2391"/>
      <c r="O83" s="2392"/>
      <c r="P83" s="2391"/>
      <c r="Q83" s="2391"/>
      <c r="R83" s="2393"/>
    </row>
    <row r="84" spans="2:18" s="2363" customFormat="1">
      <c r="B84" s="2391"/>
      <c r="C84" s="2391"/>
      <c r="D84" s="2391"/>
      <c r="E84" s="2391"/>
      <c r="F84" s="2391"/>
      <c r="G84" s="2392"/>
      <c r="H84" s="2391"/>
      <c r="I84" s="2392"/>
      <c r="J84" s="2391"/>
      <c r="K84" s="2391"/>
      <c r="L84" s="2392"/>
      <c r="M84" s="2391"/>
      <c r="N84" s="2391"/>
      <c r="O84" s="2392"/>
      <c r="P84" s="2391"/>
      <c r="Q84" s="2391"/>
      <c r="R84" s="2393"/>
    </row>
    <row r="85" spans="2:18" s="2363" customFormat="1">
      <c r="B85" s="2391"/>
      <c r="C85" s="2391"/>
      <c r="D85" s="2391"/>
      <c r="E85" s="2391"/>
      <c r="F85" s="2391"/>
      <c r="G85" s="2392"/>
      <c r="H85" s="2391"/>
      <c r="I85" s="2392"/>
      <c r="J85" s="2391"/>
      <c r="K85" s="2391"/>
      <c r="L85" s="2392"/>
      <c r="M85" s="2391"/>
      <c r="N85" s="2391"/>
      <c r="O85" s="2392"/>
      <c r="P85" s="2391"/>
      <c r="Q85" s="2391"/>
      <c r="R85" s="2393"/>
    </row>
    <row r="86" spans="2:18" s="2363" customFormat="1">
      <c r="B86" s="2391"/>
      <c r="C86" s="2391"/>
      <c r="D86" s="2391"/>
      <c r="E86" s="2391"/>
      <c r="F86" s="2391"/>
      <c r="G86" s="2392"/>
      <c r="H86" s="2391"/>
      <c r="I86" s="2392"/>
      <c r="J86" s="2391"/>
      <c r="K86" s="2391"/>
      <c r="L86" s="2392"/>
      <c r="M86" s="2391"/>
      <c r="N86" s="2391"/>
      <c r="O86" s="2392"/>
      <c r="P86" s="2391"/>
      <c r="Q86" s="2391"/>
      <c r="R86" s="2393"/>
    </row>
    <row r="87" spans="2:18" s="2363" customFormat="1">
      <c r="B87" s="2391"/>
      <c r="C87" s="2391"/>
      <c r="D87" s="2391"/>
      <c r="E87" s="2391"/>
      <c r="F87" s="2391"/>
      <c r="G87" s="2392"/>
      <c r="H87" s="2391"/>
      <c r="I87" s="2392"/>
      <c r="J87" s="2391"/>
      <c r="K87" s="2391"/>
      <c r="L87" s="2392"/>
      <c r="M87" s="2391"/>
      <c r="N87" s="2391"/>
      <c r="O87" s="2392"/>
      <c r="P87" s="2391"/>
      <c r="Q87" s="2391"/>
      <c r="R87" s="2393"/>
    </row>
    <row r="88" spans="2:18" s="2363" customFormat="1">
      <c r="B88" s="2391"/>
      <c r="C88" s="2391"/>
      <c r="D88" s="2391"/>
      <c r="E88" s="2391"/>
      <c r="F88" s="2391"/>
      <c r="G88" s="2392"/>
      <c r="H88" s="2391"/>
      <c r="I88" s="2392"/>
      <c r="J88" s="2391"/>
      <c r="K88" s="2391"/>
      <c r="L88" s="2392"/>
      <c r="M88" s="2391"/>
      <c r="N88" s="2391"/>
      <c r="O88" s="2392"/>
      <c r="P88" s="2391"/>
      <c r="Q88" s="2391"/>
      <c r="R88" s="2393"/>
    </row>
    <row r="89" spans="2:18" s="2363" customFormat="1">
      <c r="B89" s="2391"/>
      <c r="C89" s="2391"/>
      <c r="D89" s="2391"/>
      <c r="E89" s="2391"/>
      <c r="F89" s="2391"/>
      <c r="G89" s="2392"/>
      <c r="H89" s="2391"/>
      <c r="I89" s="2392"/>
      <c r="J89" s="2391"/>
      <c r="K89" s="2391"/>
      <c r="L89" s="2392"/>
      <c r="M89" s="2391"/>
      <c r="N89" s="2391"/>
      <c r="O89" s="2392"/>
      <c r="P89" s="2391"/>
      <c r="Q89" s="2391"/>
      <c r="R89" s="2393"/>
    </row>
    <row r="90" spans="2:18" s="2363" customFormat="1">
      <c r="B90" s="2391"/>
      <c r="C90" s="2391"/>
      <c r="D90" s="2391"/>
      <c r="E90" s="2391"/>
      <c r="F90" s="2391"/>
      <c r="G90" s="2392"/>
      <c r="H90" s="2391"/>
      <c r="I90" s="2392"/>
      <c r="J90" s="2391"/>
      <c r="K90" s="2391"/>
      <c r="L90" s="2392"/>
      <c r="M90" s="2391"/>
      <c r="N90" s="2391"/>
      <c r="O90" s="2392"/>
      <c r="P90" s="2391"/>
      <c r="Q90" s="2391"/>
      <c r="R90" s="2393"/>
    </row>
    <row r="91" spans="2:18" s="2363" customFormat="1">
      <c r="B91" s="2391"/>
      <c r="C91" s="2391"/>
      <c r="D91" s="2391"/>
      <c r="E91" s="2391"/>
      <c r="F91" s="2391"/>
      <c r="G91" s="2392"/>
      <c r="H91" s="2391"/>
      <c r="I91" s="2392"/>
      <c r="J91" s="2391"/>
      <c r="K91" s="2391"/>
      <c r="L91" s="2392"/>
      <c r="M91" s="2391"/>
      <c r="N91" s="2391"/>
      <c r="O91" s="2392"/>
      <c r="P91" s="2391"/>
      <c r="Q91" s="2391"/>
      <c r="R91" s="2393"/>
    </row>
    <row r="92" spans="2:18" s="2363" customFormat="1">
      <c r="B92" s="2391"/>
      <c r="C92" s="2391"/>
      <c r="D92" s="2391"/>
      <c r="E92" s="2391"/>
      <c r="F92" s="2391"/>
      <c r="G92" s="2392"/>
      <c r="H92" s="2391"/>
      <c r="I92" s="2392"/>
      <c r="J92" s="2391"/>
      <c r="K92" s="2391"/>
      <c r="L92" s="2392"/>
      <c r="M92" s="2391"/>
      <c r="N92" s="2391"/>
      <c r="O92" s="2392"/>
      <c r="P92" s="2391"/>
      <c r="Q92" s="2391"/>
      <c r="R92" s="2393"/>
    </row>
    <row r="93" spans="2:18" s="2363" customFormat="1">
      <c r="B93" s="2391"/>
      <c r="C93" s="2391"/>
      <c r="D93" s="2391"/>
      <c r="E93" s="2391"/>
      <c r="F93" s="2391"/>
      <c r="G93" s="2392"/>
      <c r="H93" s="2391"/>
      <c r="I93" s="2392"/>
      <c r="J93" s="2391"/>
      <c r="K93" s="2391"/>
      <c r="L93" s="2392"/>
      <c r="M93" s="2391"/>
      <c r="N93" s="2391"/>
      <c r="O93" s="2392"/>
      <c r="P93" s="2391"/>
      <c r="Q93" s="2391"/>
      <c r="R93" s="2393"/>
    </row>
    <row r="94" spans="2:18" s="2363" customFormat="1">
      <c r="B94" s="2391"/>
      <c r="C94" s="2391"/>
      <c r="D94" s="2391"/>
      <c r="E94" s="2391"/>
      <c r="F94" s="2391"/>
      <c r="G94" s="2392"/>
      <c r="H94" s="2391"/>
      <c r="I94" s="2392"/>
      <c r="J94" s="2391"/>
      <c r="K94" s="2391"/>
      <c r="L94" s="2392"/>
      <c r="M94" s="2391"/>
      <c r="N94" s="2391"/>
      <c r="O94" s="2392"/>
      <c r="P94" s="2391"/>
      <c r="Q94" s="2391"/>
      <c r="R94" s="2393"/>
    </row>
    <row r="95" spans="2:18" s="2363" customFormat="1">
      <c r="B95" s="2391"/>
      <c r="C95" s="2391"/>
      <c r="D95" s="2391"/>
      <c r="E95" s="2391"/>
      <c r="F95" s="2391"/>
      <c r="G95" s="2392"/>
      <c r="H95" s="2391"/>
      <c r="I95" s="2392"/>
      <c r="J95" s="2391"/>
      <c r="K95" s="2391"/>
      <c r="L95" s="2392"/>
      <c r="M95" s="2391"/>
      <c r="N95" s="2391"/>
      <c r="O95" s="2392"/>
      <c r="P95" s="2391"/>
      <c r="Q95" s="2391"/>
      <c r="R95" s="2393"/>
    </row>
    <row r="96" spans="2:18" s="2363" customFormat="1">
      <c r="B96" s="2391"/>
      <c r="C96" s="2391"/>
      <c r="D96" s="2391"/>
      <c r="E96" s="2391"/>
      <c r="F96" s="2391"/>
      <c r="G96" s="2392"/>
      <c r="H96" s="2391"/>
      <c r="I96" s="2392"/>
      <c r="J96" s="2391"/>
      <c r="K96" s="2391"/>
      <c r="L96" s="2392"/>
      <c r="M96" s="2391"/>
      <c r="N96" s="2391"/>
      <c r="O96" s="2392"/>
      <c r="P96" s="2391"/>
      <c r="Q96" s="2391"/>
      <c r="R96" s="2393"/>
    </row>
    <row r="97" spans="2:18" s="2363" customFormat="1">
      <c r="B97" s="2391"/>
      <c r="C97" s="2391"/>
      <c r="D97" s="2391"/>
      <c r="E97" s="2391"/>
      <c r="F97" s="2391"/>
      <c r="G97" s="2392"/>
      <c r="H97" s="2391"/>
      <c r="I97" s="2392"/>
      <c r="J97" s="2391"/>
      <c r="K97" s="2391"/>
      <c r="L97" s="2392"/>
      <c r="M97" s="2391"/>
      <c r="N97" s="2391"/>
      <c r="O97" s="2392"/>
      <c r="P97" s="2391"/>
      <c r="Q97" s="2391"/>
      <c r="R97" s="2393"/>
    </row>
    <row r="98" spans="2:18" s="2363" customFormat="1">
      <c r="B98" s="2391"/>
      <c r="C98" s="2391"/>
      <c r="D98" s="2391"/>
      <c r="E98" s="2391"/>
      <c r="F98" s="2391"/>
      <c r="G98" s="2392"/>
      <c r="H98" s="2391"/>
      <c r="I98" s="2392"/>
      <c r="J98" s="2391"/>
      <c r="K98" s="2391"/>
      <c r="L98" s="2392"/>
      <c r="M98" s="2391"/>
      <c r="N98" s="2391"/>
      <c r="O98" s="2392"/>
      <c r="P98" s="2391"/>
      <c r="Q98" s="2391"/>
      <c r="R98" s="2393"/>
    </row>
    <row r="99" spans="2:18" s="2363" customFormat="1">
      <c r="B99" s="2391"/>
      <c r="C99" s="2391"/>
      <c r="D99" s="2391"/>
      <c r="E99" s="2391"/>
      <c r="F99" s="2391"/>
      <c r="G99" s="2392"/>
      <c r="H99" s="2391"/>
      <c r="I99" s="2392"/>
      <c r="J99" s="2391"/>
      <c r="K99" s="2391"/>
      <c r="L99" s="2392"/>
      <c r="M99" s="2391"/>
      <c r="N99" s="2391"/>
      <c r="O99" s="2392"/>
      <c r="P99" s="2391"/>
      <c r="Q99" s="2391"/>
      <c r="R99" s="2393"/>
    </row>
    <row r="100" spans="2:18" s="2363" customFormat="1">
      <c r="B100" s="2391"/>
      <c r="C100" s="2391"/>
      <c r="D100" s="2391"/>
      <c r="E100" s="2391"/>
      <c r="F100" s="2391"/>
      <c r="G100" s="2392"/>
      <c r="H100" s="2391"/>
      <c r="I100" s="2392"/>
      <c r="J100" s="2391"/>
      <c r="K100" s="2391"/>
      <c r="L100" s="2392"/>
      <c r="M100" s="2391"/>
      <c r="N100" s="2391"/>
      <c r="O100" s="2392"/>
      <c r="P100" s="2391"/>
      <c r="Q100" s="2391"/>
      <c r="R100" s="2393"/>
    </row>
    <row r="101" spans="2:18" s="2363" customFormat="1">
      <c r="B101" s="2391"/>
      <c r="C101" s="2391"/>
      <c r="D101" s="2391"/>
      <c r="E101" s="2391"/>
      <c r="F101" s="2391"/>
      <c r="G101" s="2392"/>
      <c r="H101" s="2391"/>
      <c r="I101" s="2392"/>
      <c r="J101" s="2391"/>
      <c r="K101" s="2391"/>
      <c r="L101" s="2392"/>
      <c r="M101" s="2391"/>
      <c r="N101" s="2391"/>
      <c r="O101" s="2392"/>
      <c r="P101" s="2391"/>
      <c r="Q101" s="2391"/>
      <c r="R101" s="2393"/>
    </row>
    <row r="102" spans="2:18" s="2363" customFormat="1">
      <c r="B102" s="2391"/>
      <c r="C102" s="2391"/>
      <c r="D102" s="2391"/>
      <c r="E102" s="2391"/>
      <c r="F102" s="2391"/>
      <c r="G102" s="2392"/>
      <c r="H102" s="2391"/>
      <c r="I102" s="2392"/>
      <c r="J102" s="2391"/>
      <c r="K102" s="2391"/>
      <c r="L102" s="2392"/>
      <c r="M102" s="2391"/>
      <c r="N102" s="2391"/>
      <c r="O102" s="2392"/>
      <c r="P102" s="2391"/>
      <c r="Q102" s="2391"/>
      <c r="R102" s="2393"/>
    </row>
    <row r="103" spans="2:18" s="2363" customFormat="1">
      <c r="B103" s="2391"/>
      <c r="C103" s="2391"/>
      <c r="D103" s="2391"/>
      <c r="E103" s="2391"/>
      <c r="F103" s="2391"/>
      <c r="G103" s="2392"/>
      <c r="H103" s="2391"/>
      <c r="I103" s="2392"/>
      <c r="J103" s="2391"/>
      <c r="K103" s="2391"/>
      <c r="L103" s="2392"/>
      <c r="M103" s="2391"/>
      <c r="N103" s="2391"/>
      <c r="O103" s="2392"/>
      <c r="P103" s="2391"/>
      <c r="Q103" s="2391"/>
      <c r="R103" s="2393"/>
    </row>
    <row r="104" spans="2:18" s="2363" customFormat="1">
      <c r="B104" s="2391"/>
      <c r="C104" s="2391"/>
      <c r="D104" s="2391"/>
      <c r="E104" s="2391"/>
      <c r="F104" s="2391"/>
      <c r="G104" s="2392"/>
      <c r="H104" s="2391"/>
      <c r="I104" s="2392"/>
      <c r="J104" s="2391"/>
      <c r="K104" s="2391"/>
      <c r="L104" s="2392"/>
      <c r="M104" s="2391"/>
      <c r="N104" s="2391"/>
      <c r="O104" s="2392"/>
      <c r="P104" s="2391"/>
      <c r="Q104" s="2391"/>
      <c r="R104" s="2393"/>
    </row>
    <row r="105" spans="2:18" s="2363" customFormat="1">
      <c r="B105" s="2391"/>
      <c r="C105" s="2391"/>
      <c r="D105" s="2391"/>
      <c r="E105" s="2391"/>
      <c r="F105" s="2391"/>
      <c r="G105" s="2392"/>
      <c r="H105" s="2391"/>
      <c r="I105" s="2392"/>
      <c r="J105" s="2391"/>
      <c r="K105" s="2391"/>
      <c r="L105" s="2392"/>
      <c r="M105" s="2391"/>
      <c r="N105" s="2391"/>
      <c r="O105" s="2392"/>
      <c r="P105" s="2391"/>
      <c r="Q105" s="2391"/>
      <c r="R105" s="2393"/>
    </row>
    <row r="106" spans="2:18" s="2363" customFormat="1">
      <c r="B106" s="2391"/>
      <c r="C106" s="2391"/>
      <c r="D106" s="2391"/>
      <c r="E106" s="2391"/>
      <c r="F106" s="2391"/>
      <c r="G106" s="2392"/>
      <c r="H106" s="2391"/>
      <c r="I106" s="2392"/>
      <c r="J106" s="2391"/>
      <c r="K106" s="2391"/>
      <c r="L106" s="2392"/>
      <c r="M106" s="2391"/>
      <c r="N106" s="2391"/>
      <c r="O106" s="2392"/>
      <c r="P106" s="2391"/>
      <c r="Q106" s="2391"/>
      <c r="R106" s="2393"/>
    </row>
    <row r="107" spans="2:18" s="2363" customFormat="1">
      <c r="B107" s="2391"/>
      <c r="C107" s="2391"/>
      <c r="D107" s="2391"/>
      <c r="E107" s="2391"/>
      <c r="F107" s="2391"/>
      <c r="G107" s="2392"/>
      <c r="H107" s="2391"/>
      <c r="I107" s="2392"/>
      <c r="J107" s="2391"/>
      <c r="K107" s="2391"/>
      <c r="L107" s="2392"/>
      <c r="M107" s="2391"/>
      <c r="N107" s="2391"/>
      <c r="O107" s="2392"/>
      <c r="P107" s="2391"/>
      <c r="Q107" s="2391"/>
      <c r="R107" s="2393"/>
    </row>
    <row r="108" spans="2:18" s="2363" customFormat="1">
      <c r="B108" s="2391"/>
      <c r="C108" s="2391"/>
      <c r="D108" s="2391"/>
      <c r="E108" s="2391"/>
      <c r="F108" s="2391"/>
      <c r="G108" s="2392"/>
      <c r="H108" s="2391"/>
      <c r="I108" s="2392"/>
      <c r="J108" s="2391"/>
      <c r="K108" s="2391"/>
      <c r="L108" s="2392"/>
      <c r="M108" s="2391"/>
      <c r="N108" s="2391"/>
      <c r="O108" s="2392"/>
      <c r="P108" s="2391"/>
      <c r="Q108" s="2391"/>
      <c r="R108" s="2393"/>
    </row>
    <row r="109" spans="2:18" s="2363" customFormat="1">
      <c r="B109" s="2391"/>
      <c r="C109" s="2391"/>
      <c r="D109" s="2391"/>
      <c r="E109" s="2391"/>
      <c r="F109" s="2391"/>
      <c r="G109" s="2392"/>
      <c r="H109" s="2391"/>
      <c r="I109" s="2392"/>
      <c r="J109" s="2391"/>
      <c r="K109" s="2391"/>
      <c r="L109" s="2392"/>
      <c r="M109" s="2391"/>
      <c r="N109" s="2391"/>
      <c r="O109" s="2392"/>
      <c r="P109" s="2391"/>
      <c r="Q109" s="2391"/>
      <c r="R109" s="2393"/>
    </row>
    <row r="110" spans="2:18" s="2363" customFormat="1">
      <c r="B110" s="2391"/>
      <c r="C110" s="2391"/>
      <c r="D110" s="2391"/>
      <c r="E110" s="2391"/>
      <c r="F110" s="2391"/>
      <c r="G110" s="2392"/>
      <c r="H110" s="2391"/>
      <c r="I110" s="2392"/>
      <c r="J110" s="2391"/>
      <c r="K110" s="2391"/>
      <c r="L110" s="2392"/>
      <c r="M110" s="2391"/>
      <c r="N110" s="2391"/>
      <c r="O110" s="2392"/>
      <c r="P110" s="2391"/>
      <c r="Q110" s="2391"/>
      <c r="R110" s="2393"/>
    </row>
    <row r="111" spans="2:18" s="2363" customFormat="1">
      <c r="B111" s="2391"/>
      <c r="C111" s="2391"/>
      <c r="D111" s="2391"/>
      <c r="E111" s="2391"/>
      <c r="F111" s="2391"/>
      <c r="G111" s="2392"/>
      <c r="H111" s="2391"/>
      <c r="I111" s="2392"/>
      <c r="J111" s="2391"/>
      <c r="K111" s="2391"/>
      <c r="L111" s="2392"/>
      <c r="M111" s="2391"/>
      <c r="N111" s="2391"/>
      <c r="O111" s="2392"/>
      <c r="P111" s="2391"/>
      <c r="Q111" s="2391"/>
      <c r="R111" s="2393"/>
    </row>
    <row r="112" spans="2:18" s="2363" customFormat="1">
      <c r="B112" s="2391"/>
      <c r="C112" s="2391"/>
      <c r="D112" s="2391"/>
      <c r="E112" s="2391"/>
      <c r="F112" s="2391"/>
      <c r="G112" s="2392"/>
      <c r="H112" s="2391"/>
      <c r="I112" s="2392"/>
      <c r="J112" s="2391"/>
      <c r="K112" s="2391"/>
      <c r="L112" s="2392"/>
      <c r="M112" s="2391"/>
      <c r="N112" s="2391"/>
      <c r="O112" s="2392"/>
      <c r="P112" s="2391"/>
      <c r="Q112" s="2391"/>
      <c r="R112" s="2393"/>
    </row>
    <row r="113" spans="2:18" s="2363" customFormat="1">
      <c r="B113" s="2391"/>
      <c r="C113" s="2391"/>
      <c r="D113" s="2391"/>
      <c r="E113" s="2391"/>
      <c r="F113" s="2391"/>
      <c r="G113" s="2392"/>
      <c r="H113" s="2391"/>
      <c r="I113" s="2392"/>
      <c r="J113" s="2391"/>
      <c r="K113" s="2391"/>
      <c r="L113" s="2392"/>
      <c r="M113" s="2391"/>
      <c r="N113" s="2391"/>
      <c r="O113" s="2392"/>
      <c r="P113" s="2391"/>
      <c r="Q113" s="2391"/>
      <c r="R113" s="2393"/>
    </row>
    <row r="114" spans="2:18" s="2363" customFormat="1">
      <c r="B114" s="2391"/>
      <c r="C114" s="2391"/>
      <c r="D114" s="2391"/>
      <c r="E114" s="2391"/>
      <c r="F114" s="2391"/>
      <c r="G114" s="2392"/>
      <c r="H114" s="2391"/>
      <c r="I114" s="2392"/>
      <c r="J114" s="2391"/>
      <c r="K114" s="2391"/>
      <c r="L114" s="2392"/>
      <c r="M114" s="2391"/>
      <c r="N114" s="2391"/>
      <c r="O114" s="2392"/>
      <c r="P114" s="2391"/>
      <c r="Q114" s="2391"/>
      <c r="R114" s="2393"/>
    </row>
    <row r="115" spans="2:18" s="2363" customFormat="1">
      <c r="B115" s="2391"/>
      <c r="C115" s="2391"/>
      <c r="D115" s="2391"/>
      <c r="E115" s="2391"/>
      <c r="F115" s="2391"/>
      <c r="G115" s="2392"/>
      <c r="H115" s="2391"/>
      <c r="I115" s="2392"/>
      <c r="J115" s="2391"/>
      <c r="K115" s="2391"/>
      <c r="L115" s="2392"/>
      <c r="M115" s="2391"/>
      <c r="N115" s="2391"/>
      <c r="O115" s="2392"/>
      <c r="P115" s="2391"/>
      <c r="Q115" s="2391"/>
      <c r="R115" s="2393"/>
    </row>
    <row r="116" spans="2:18" s="2363" customFormat="1">
      <c r="B116" s="2391"/>
      <c r="C116" s="2391"/>
      <c r="D116" s="2391"/>
      <c r="E116" s="2391"/>
      <c r="F116" s="2391"/>
      <c r="G116" s="2392"/>
      <c r="H116" s="2391"/>
      <c r="I116" s="2392"/>
      <c r="J116" s="2391"/>
      <c r="K116" s="2391"/>
      <c r="L116" s="2392"/>
      <c r="M116" s="2391"/>
      <c r="N116" s="2391"/>
      <c r="O116" s="2392"/>
      <c r="P116" s="2391"/>
      <c r="Q116" s="2391"/>
      <c r="R116" s="2393"/>
    </row>
    <row r="117" spans="2:18" s="2363" customFormat="1">
      <c r="B117" s="2391"/>
      <c r="C117" s="2391"/>
      <c r="D117" s="2391"/>
      <c r="E117" s="2391"/>
      <c r="F117" s="2391"/>
      <c r="G117" s="2392"/>
      <c r="H117" s="2391"/>
      <c r="I117" s="2392"/>
      <c r="J117" s="2391"/>
      <c r="K117" s="2391"/>
      <c r="L117" s="2392"/>
      <c r="M117" s="2391"/>
      <c r="N117" s="2391"/>
      <c r="O117" s="2392"/>
      <c r="P117" s="2391"/>
      <c r="Q117" s="2391"/>
      <c r="R117" s="2393"/>
    </row>
    <row r="118" spans="2:18" s="2363" customFormat="1">
      <c r="B118" s="2391"/>
      <c r="C118" s="2391"/>
      <c r="D118" s="2391"/>
      <c r="E118" s="2391"/>
      <c r="F118" s="2391"/>
      <c r="G118" s="2392"/>
      <c r="H118" s="2391"/>
      <c r="I118" s="2392"/>
      <c r="J118" s="2391"/>
      <c r="K118" s="2391"/>
      <c r="L118" s="2392"/>
      <c r="M118" s="2391"/>
      <c r="N118" s="2391"/>
      <c r="O118" s="2392"/>
      <c r="P118" s="2391"/>
      <c r="Q118" s="2391"/>
      <c r="R118" s="2393"/>
    </row>
    <row r="119" spans="2:18" s="2363" customFormat="1">
      <c r="B119" s="2391"/>
      <c r="C119" s="2391"/>
      <c r="D119" s="2391"/>
      <c r="E119" s="2391"/>
      <c r="F119" s="2391"/>
      <c r="G119" s="2392"/>
      <c r="H119" s="2391"/>
      <c r="I119" s="2392"/>
      <c r="J119" s="2391"/>
      <c r="K119" s="2391"/>
      <c r="L119" s="2392"/>
      <c r="M119" s="2391"/>
      <c r="N119" s="2391"/>
      <c r="O119" s="2392"/>
      <c r="P119" s="2391"/>
      <c r="Q119" s="2391"/>
      <c r="R119" s="2393"/>
    </row>
    <row r="120" spans="2:18" s="2363" customFormat="1">
      <c r="B120" s="2391"/>
      <c r="C120" s="2391"/>
      <c r="D120" s="2391"/>
      <c r="E120" s="2391"/>
      <c r="F120" s="2391"/>
      <c r="G120" s="2392"/>
      <c r="H120" s="2391"/>
      <c r="I120" s="2392"/>
      <c r="J120" s="2391"/>
      <c r="K120" s="2391"/>
      <c r="L120" s="2392"/>
      <c r="M120" s="2391"/>
      <c r="N120" s="2391"/>
      <c r="O120" s="2392"/>
      <c r="P120" s="2391"/>
      <c r="Q120" s="2391"/>
      <c r="R120" s="2393"/>
    </row>
    <row r="121" spans="2:18" s="2363" customFormat="1">
      <c r="B121" s="2391"/>
      <c r="C121" s="2391"/>
      <c r="D121" s="2391"/>
      <c r="E121" s="2391"/>
      <c r="F121" s="2391"/>
      <c r="G121" s="2392"/>
      <c r="H121" s="2391"/>
      <c r="I121" s="2392"/>
      <c r="J121" s="2391"/>
      <c r="K121" s="2391"/>
      <c r="L121" s="2392"/>
      <c r="M121" s="2391"/>
      <c r="N121" s="2391"/>
      <c r="O121" s="2392"/>
      <c r="P121" s="2391"/>
      <c r="Q121" s="2391"/>
      <c r="R121" s="2393"/>
    </row>
    <row r="122" spans="2:18" s="2363" customFormat="1">
      <c r="B122" s="2391"/>
      <c r="C122" s="2391"/>
      <c r="D122" s="2391"/>
      <c r="E122" s="2391"/>
      <c r="F122" s="2391"/>
      <c r="G122" s="2392"/>
      <c r="H122" s="2391"/>
      <c r="I122" s="2392"/>
      <c r="J122" s="2391"/>
      <c r="K122" s="2391"/>
      <c r="L122" s="2392"/>
      <c r="M122" s="2391"/>
      <c r="N122" s="2391"/>
      <c r="O122" s="2392"/>
      <c r="P122" s="2391"/>
      <c r="Q122" s="2391"/>
      <c r="R122" s="2393"/>
    </row>
    <row r="123" spans="2:18" s="2363" customFormat="1">
      <c r="B123" s="2391"/>
      <c r="C123" s="2391"/>
      <c r="D123" s="2391"/>
      <c r="E123" s="2391"/>
      <c r="F123" s="2391"/>
      <c r="G123" s="2392"/>
      <c r="H123" s="2391"/>
      <c r="I123" s="2392"/>
      <c r="J123" s="2391"/>
      <c r="K123" s="2391"/>
      <c r="L123" s="2392"/>
      <c r="M123" s="2391"/>
      <c r="N123" s="2391"/>
      <c r="O123" s="2392"/>
      <c r="P123" s="2391"/>
      <c r="Q123" s="2391"/>
      <c r="R123" s="2393"/>
    </row>
    <row r="124" spans="2:18" s="2363" customFormat="1">
      <c r="B124" s="2391"/>
      <c r="C124" s="2391"/>
      <c r="D124" s="2391"/>
      <c r="E124" s="2391"/>
      <c r="F124" s="2391"/>
      <c r="G124" s="2392"/>
      <c r="H124" s="2391"/>
      <c r="I124" s="2392"/>
      <c r="J124" s="2391"/>
      <c r="K124" s="2391"/>
      <c r="L124" s="2392"/>
      <c r="M124" s="2391"/>
      <c r="N124" s="2391"/>
      <c r="O124" s="2392"/>
      <c r="P124" s="2391"/>
      <c r="Q124" s="2391"/>
      <c r="R124" s="2393"/>
    </row>
    <row r="125" spans="2:18" s="2363" customFormat="1">
      <c r="B125" s="2391"/>
      <c r="C125" s="2391"/>
      <c r="D125" s="2391"/>
      <c r="E125" s="2391"/>
      <c r="F125" s="2391"/>
      <c r="G125" s="2392"/>
      <c r="H125" s="2391"/>
      <c r="I125" s="2392"/>
      <c r="J125" s="2391"/>
      <c r="K125" s="2391"/>
      <c r="L125" s="2392"/>
      <c r="M125" s="2391"/>
      <c r="N125" s="2391"/>
      <c r="O125" s="2392"/>
      <c r="P125" s="2391"/>
      <c r="Q125" s="2391"/>
      <c r="R125" s="2393"/>
    </row>
    <row r="126" spans="2:18" s="2363" customFormat="1">
      <c r="B126" s="2391"/>
      <c r="C126" s="2391"/>
      <c r="D126" s="2391"/>
      <c r="E126" s="2391"/>
      <c r="F126" s="2391"/>
      <c r="G126" s="2392"/>
      <c r="H126" s="2391"/>
      <c r="I126" s="2392"/>
      <c r="J126" s="2391"/>
      <c r="K126" s="2391"/>
      <c r="L126" s="2392"/>
      <c r="M126" s="2391"/>
      <c r="N126" s="2391"/>
      <c r="O126" s="2392"/>
      <c r="P126" s="2391"/>
      <c r="Q126" s="2391"/>
      <c r="R126" s="2393"/>
    </row>
    <row r="127" spans="2:18" s="2363" customFormat="1">
      <c r="B127" s="2391"/>
      <c r="C127" s="2391"/>
      <c r="D127" s="2391"/>
      <c r="E127" s="2391"/>
      <c r="F127" s="2391"/>
      <c r="G127" s="2392"/>
      <c r="H127" s="2391"/>
      <c r="I127" s="2392"/>
      <c r="J127" s="2391"/>
      <c r="K127" s="2391"/>
      <c r="L127" s="2392"/>
      <c r="M127" s="2391"/>
      <c r="N127" s="2391"/>
      <c r="O127" s="2392"/>
      <c r="P127" s="2391"/>
      <c r="Q127" s="2391"/>
      <c r="R127" s="2393"/>
    </row>
    <row r="128" spans="2:18" s="2363" customFormat="1">
      <c r="B128" s="2391"/>
      <c r="C128" s="2391"/>
      <c r="D128" s="2391"/>
      <c r="E128" s="2391"/>
      <c r="F128" s="2391"/>
      <c r="G128" s="2392"/>
      <c r="H128" s="2391"/>
      <c r="I128" s="2392"/>
      <c r="J128" s="2391"/>
      <c r="K128" s="2391"/>
      <c r="L128" s="2392"/>
      <c r="M128" s="2391"/>
      <c r="N128" s="2391"/>
      <c r="O128" s="2392"/>
      <c r="P128" s="2391"/>
      <c r="Q128" s="2391"/>
      <c r="R128" s="2393"/>
    </row>
    <row r="129" spans="2:18" s="2363" customFormat="1">
      <c r="B129" s="2391"/>
      <c r="C129" s="2391"/>
      <c r="D129" s="2391"/>
      <c r="E129" s="2391"/>
      <c r="F129" s="2391"/>
      <c r="G129" s="2392"/>
      <c r="H129" s="2391"/>
      <c r="I129" s="2392"/>
      <c r="J129" s="2391"/>
      <c r="K129" s="2391"/>
      <c r="L129" s="2392"/>
      <c r="M129" s="2391"/>
      <c r="N129" s="2391"/>
      <c r="O129" s="2392"/>
      <c r="P129" s="2391"/>
      <c r="Q129" s="2391"/>
      <c r="R129" s="2393"/>
    </row>
    <row r="130" spans="2:18" s="2363" customFormat="1">
      <c r="B130" s="2391"/>
      <c r="C130" s="2391"/>
      <c r="D130" s="2391"/>
      <c r="E130" s="2391"/>
      <c r="F130" s="2391"/>
      <c r="G130" s="2392"/>
      <c r="H130" s="2391"/>
      <c r="I130" s="2392"/>
      <c r="J130" s="2391"/>
      <c r="K130" s="2391"/>
      <c r="L130" s="2392"/>
      <c r="M130" s="2391"/>
      <c r="N130" s="2391"/>
      <c r="O130" s="2392"/>
      <c r="P130" s="2391"/>
      <c r="Q130" s="2391"/>
      <c r="R130" s="2393"/>
    </row>
    <row r="131" spans="2:18" s="2363" customFormat="1">
      <c r="B131" s="2391"/>
      <c r="C131" s="2391"/>
      <c r="D131" s="2391"/>
      <c r="E131" s="2391"/>
      <c r="F131" s="2391"/>
      <c r="G131" s="2392"/>
      <c r="H131" s="2391"/>
      <c r="I131" s="2392"/>
      <c r="J131" s="2391"/>
      <c r="K131" s="2391"/>
      <c r="L131" s="2392"/>
      <c r="M131" s="2391"/>
      <c r="N131" s="2391"/>
      <c r="O131" s="2392"/>
      <c r="P131" s="2391"/>
      <c r="Q131" s="2391"/>
      <c r="R131" s="2393"/>
    </row>
    <row r="132" spans="2:18" s="2363" customFormat="1">
      <c r="B132" s="2391"/>
      <c r="C132" s="2391"/>
      <c r="D132" s="2391"/>
      <c r="E132" s="2391"/>
      <c r="F132" s="2391"/>
      <c r="G132" s="2392"/>
      <c r="H132" s="2391"/>
      <c r="I132" s="2392"/>
      <c r="J132" s="2391"/>
      <c r="K132" s="2391"/>
      <c r="L132" s="2392"/>
      <c r="M132" s="2391"/>
      <c r="N132" s="2391"/>
      <c r="O132" s="2392"/>
      <c r="P132" s="2391"/>
      <c r="Q132" s="2391"/>
      <c r="R132" s="2393"/>
    </row>
    <row r="133" spans="2:18" s="2363" customFormat="1">
      <c r="B133" s="2391"/>
      <c r="C133" s="2391"/>
      <c r="D133" s="2391"/>
      <c r="E133" s="2391"/>
      <c r="F133" s="2391"/>
      <c r="G133" s="2392"/>
      <c r="H133" s="2391"/>
      <c r="I133" s="2392"/>
      <c r="J133" s="2391"/>
      <c r="K133" s="2391"/>
      <c r="L133" s="2392"/>
      <c r="M133" s="2391"/>
      <c r="N133" s="2391"/>
      <c r="O133" s="2392"/>
      <c r="P133" s="2391"/>
      <c r="Q133" s="2391"/>
      <c r="R133" s="2393"/>
    </row>
    <row r="134" spans="2:18" s="2363" customFormat="1">
      <c r="B134" s="2391"/>
      <c r="C134" s="2391"/>
      <c r="D134" s="2391"/>
      <c r="E134" s="2391"/>
      <c r="F134" s="2391"/>
      <c r="G134" s="2392"/>
      <c r="H134" s="2391"/>
      <c r="I134" s="2392"/>
      <c r="J134" s="2391"/>
      <c r="K134" s="2391"/>
      <c r="L134" s="2392"/>
      <c r="M134" s="2391"/>
      <c r="N134" s="2391"/>
      <c r="O134" s="2392"/>
      <c r="P134" s="2391"/>
      <c r="Q134" s="2391"/>
      <c r="R134" s="2393"/>
    </row>
    <row r="135" spans="2:18" s="2363" customFormat="1">
      <c r="B135" s="2391"/>
      <c r="C135" s="2391"/>
      <c r="D135" s="2391"/>
      <c r="E135" s="2391"/>
      <c r="F135" s="2391"/>
      <c r="G135" s="2392"/>
      <c r="H135" s="2391"/>
      <c r="I135" s="2392"/>
      <c r="J135" s="2391"/>
      <c r="K135" s="2391"/>
      <c r="L135" s="2392"/>
      <c r="M135" s="2391"/>
      <c r="N135" s="2391"/>
      <c r="O135" s="2392"/>
      <c r="P135" s="2391"/>
      <c r="Q135" s="2391"/>
      <c r="R135" s="2393"/>
    </row>
    <row r="136" spans="2:18" s="2363" customFormat="1">
      <c r="B136" s="2391"/>
      <c r="C136" s="2391"/>
      <c r="D136" s="2391"/>
      <c r="E136" s="2391"/>
      <c r="F136" s="2391"/>
      <c r="G136" s="2392"/>
      <c r="H136" s="2391"/>
      <c r="I136" s="2392"/>
      <c r="J136" s="2391"/>
      <c r="K136" s="2391"/>
      <c r="L136" s="2392"/>
      <c r="M136" s="2391"/>
      <c r="N136" s="2391"/>
      <c r="O136" s="2392"/>
      <c r="P136" s="2391"/>
      <c r="Q136" s="2391"/>
      <c r="R136" s="2393"/>
    </row>
    <row r="137" spans="2:18" s="2363" customFormat="1">
      <c r="B137" s="2391"/>
      <c r="C137" s="2391"/>
      <c r="D137" s="2391"/>
      <c r="E137" s="2391"/>
      <c r="F137" s="2391"/>
      <c r="G137" s="2392"/>
      <c r="H137" s="2391"/>
      <c r="I137" s="2392"/>
      <c r="J137" s="2391"/>
      <c r="K137" s="2391"/>
      <c r="L137" s="2392"/>
      <c r="M137" s="2391"/>
      <c r="N137" s="2391"/>
      <c r="O137" s="2392"/>
      <c r="P137" s="2391"/>
      <c r="Q137" s="2391"/>
      <c r="R137" s="2393"/>
    </row>
    <row r="138" spans="2:18" s="2363" customFormat="1">
      <c r="B138" s="2391"/>
      <c r="C138" s="2391"/>
      <c r="D138" s="2391"/>
      <c r="E138" s="2391"/>
      <c r="F138" s="2391"/>
      <c r="G138" s="2392"/>
      <c r="H138" s="2391"/>
      <c r="I138" s="2392"/>
      <c r="J138" s="2391"/>
      <c r="K138" s="2391"/>
      <c r="L138" s="2392"/>
      <c r="M138" s="2391"/>
      <c r="N138" s="2391"/>
      <c r="O138" s="2392"/>
      <c r="P138" s="2391"/>
      <c r="Q138" s="2391"/>
      <c r="R138" s="2393"/>
    </row>
    <row r="139" spans="2:18" s="2363" customFormat="1">
      <c r="B139" s="2391"/>
      <c r="C139" s="2391"/>
      <c r="D139" s="2391"/>
      <c r="E139" s="2391"/>
      <c r="F139" s="2391"/>
      <c r="G139" s="2392"/>
      <c r="H139" s="2391"/>
      <c r="I139" s="2392"/>
      <c r="J139" s="2391"/>
      <c r="K139" s="2391"/>
      <c r="L139" s="2392"/>
      <c r="M139" s="2391"/>
      <c r="N139" s="2391"/>
      <c r="O139" s="2392"/>
      <c r="P139" s="2391"/>
      <c r="Q139" s="2391"/>
      <c r="R139" s="2393"/>
    </row>
    <row r="140" spans="2:18" s="2363" customFormat="1">
      <c r="B140" s="2391"/>
      <c r="C140" s="2391"/>
      <c r="D140" s="2391"/>
      <c r="E140" s="2391"/>
      <c r="F140" s="2391"/>
      <c r="G140" s="2392"/>
      <c r="H140" s="2391"/>
      <c r="I140" s="2392"/>
      <c r="J140" s="2391"/>
      <c r="K140" s="2391"/>
      <c r="L140" s="2392"/>
      <c r="M140" s="2391"/>
      <c r="N140" s="2391"/>
      <c r="O140" s="2392"/>
      <c r="P140" s="2391"/>
      <c r="Q140" s="2391"/>
      <c r="R140" s="2393"/>
    </row>
    <row r="141" spans="2:18" s="2363" customFormat="1">
      <c r="B141" s="2391"/>
      <c r="C141" s="2391"/>
      <c r="D141" s="2391"/>
      <c r="E141" s="2391"/>
      <c r="F141" s="2391"/>
      <c r="G141" s="2392"/>
      <c r="H141" s="2391"/>
      <c r="I141" s="2392"/>
      <c r="J141" s="2391"/>
      <c r="K141" s="2391"/>
      <c r="L141" s="2392"/>
      <c r="M141" s="2391"/>
      <c r="N141" s="2391"/>
      <c r="O141" s="2392"/>
      <c r="P141" s="2391"/>
      <c r="Q141" s="2391"/>
      <c r="R141" s="2393"/>
    </row>
    <row r="142" spans="2:18" s="2363" customFormat="1">
      <c r="B142" s="2391"/>
      <c r="C142" s="2391"/>
      <c r="D142" s="2391"/>
      <c r="E142" s="2391"/>
      <c r="F142" s="2391"/>
      <c r="G142" s="2392"/>
      <c r="H142" s="2391"/>
      <c r="I142" s="2392"/>
      <c r="J142" s="2391"/>
      <c r="K142" s="2391"/>
      <c r="L142" s="2392"/>
      <c r="M142" s="2391"/>
      <c r="N142" s="2391"/>
      <c r="O142" s="2392"/>
      <c r="P142" s="2391"/>
      <c r="Q142" s="2391"/>
      <c r="R142" s="2393"/>
    </row>
    <row r="143" spans="2:18" s="2363" customFormat="1">
      <c r="B143" s="2391"/>
      <c r="C143" s="2391"/>
      <c r="D143" s="2391"/>
      <c r="E143" s="2391"/>
      <c r="F143" s="2391"/>
      <c r="G143" s="2392"/>
      <c r="H143" s="2391"/>
      <c r="I143" s="2392"/>
      <c r="J143" s="2391"/>
      <c r="K143" s="2391"/>
      <c r="L143" s="2392"/>
      <c r="M143" s="2391"/>
      <c r="N143" s="2391"/>
      <c r="O143" s="2392"/>
      <c r="P143" s="2391"/>
      <c r="Q143" s="2391"/>
      <c r="R143" s="2393"/>
    </row>
    <row r="144" spans="2:18" s="2363" customFormat="1">
      <c r="B144" s="2391"/>
      <c r="C144" s="2391"/>
      <c r="D144" s="2391"/>
      <c r="E144" s="2391"/>
      <c r="F144" s="2391"/>
      <c r="G144" s="2392"/>
      <c r="H144" s="2391"/>
      <c r="I144" s="2392"/>
      <c r="J144" s="2391"/>
      <c r="K144" s="2391"/>
      <c r="L144" s="2392"/>
      <c r="M144" s="2391"/>
      <c r="N144" s="2391"/>
      <c r="O144" s="2392"/>
      <c r="P144" s="2391"/>
      <c r="Q144" s="2391"/>
      <c r="R144" s="2393"/>
    </row>
    <row r="145" spans="2:18" s="2363" customFormat="1">
      <c r="B145" s="2391"/>
      <c r="C145" s="2391"/>
      <c r="D145" s="2391"/>
      <c r="E145" s="2391"/>
      <c r="F145" s="2391"/>
      <c r="G145" s="2392"/>
      <c r="H145" s="2391"/>
      <c r="I145" s="2392"/>
      <c r="J145" s="2391"/>
      <c r="K145" s="2391"/>
      <c r="L145" s="2392"/>
      <c r="M145" s="2391"/>
      <c r="N145" s="2391"/>
      <c r="O145" s="2392"/>
      <c r="P145" s="2391"/>
      <c r="Q145" s="2391"/>
      <c r="R145" s="2393"/>
    </row>
    <row r="146" spans="2:18" s="2363" customFormat="1">
      <c r="B146" s="2391"/>
      <c r="C146" s="2391"/>
      <c r="D146" s="2391"/>
      <c r="E146" s="2391"/>
      <c r="F146" s="2391"/>
      <c r="G146" s="2392"/>
      <c r="H146" s="2391"/>
      <c r="I146" s="2392"/>
      <c r="J146" s="2391"/>
      <c r="K146" s="2391"/>
      <c r="L146" s="2392"/>
      <c r="M146" s="2391"/>
      <c r="N146" s="2391"/>
      <c r="O146" s="2392"/>
      <c r="P146" s="2391"/>
      <c r="Q146" s="2391"/>
      <c r="R146" s="2393"/>
    </row>
    <row r="147" spans="2:18" s="2363" customFormat="1">
      <c r="B147" s="2391"/>
      <c r="C147" s="2391"/>
      <c r="D147" s="2391"/>
      <c r="E147" s="2391"/>
      <c r="F147" s="2391"/>
      <c r="G147" s="2392"/>
      <c r="H147" s="2391"/>
      <c r="I147" s="2392"/>
      <c r="J147" s="2391"/>
      <c r="K147" s="2391"/>
      <c r="L147" s="2392"/>
      <c r="M147" s="2391"/>
      <c r="N147" s="2391"/>
      <c r="O147" s="2392"/>
      <c r="P147" s="2391"/>
      <c r="Q147" s="2391"/>
      <c r="R147" s="2393"/>
    </row>
    <row r="148" spans="2:18" s="2363" customFormat="1">
      <c r="B148" s="2391"/>
      <c r="C148" s="2391"/>
      <c r="D148" s="2391"/>
      <c r="E148" s="2391"/>
      <c r="F148" s="2391"/>
      <c r="G148" s="2392"/>
      <c r="H148" s="2391"/>
      <c r="I148" s="2392"/>
      <c r="J148" s="2391"/>
      <c r="K148" s="2391"/>
      <c r="L148" s="2392"/>
      <c r="M148" s="2391"/>
      <c r="N148" s="2391"/>
      <c r="O148" s="2392"/>
      <c r="P148" s="2391"/>
      <c r="Q148" s="2391"/>
      <c r="R148" s="2393"/>
    </row>
    <row r="149" spans="2:18" s="2363" customFormat="1">
      <c r="B149" s="2391"/>
      <c r="C149" s="2391"/>
      <c r="D149" s="2391"/>
      <c r="E149" s="2391"/>
      <c r="F149" s="2391"/>
      <c r="G149" s="2392"/>
      <c r="H149" s="2391"/>
      <c r="I149" s="2392"/>
      <c r="J149" s="2391"/>
      <c r="K149" s="2391"/>
      <c r="L149" s="2392"/>
      <c r="M149" s="2391"/>
      <c r="N149" s="2391"/>
      <c r="O149" s="2392"/>
      <c r="P149" s="2391"/>
      <c r="Q149" s="2391"/>
      <c r="R149" s="2393"/>
    </row>
    <row r="150" spans="2:18" s="2363" customFormat="1">
      <c r="B150" s="2391"/>
      <c r="C150" s="2391"/>
      <c r="D150" s="2391"/>
      <c r="E150" s="2391"/>
      <c r="F150" s="2391"/>
      <c r="G150" s="2392"/>
      <c r="H150" s="2391"/>
      <c r="I150" s="2392"/>
      <c r="J150" s="2391"/>
      <c r="K150" s="2391"/>
      <c r="L150" s="2392"/>
      <c r="M150" s="2391"/>
      <c r="N150" s="2391"/>
      <c r="O150" s="2392"/>
      <c r="P150" s="2391"/>
      <c r="Q150" s="2391"/>
      <c r="R150" s="2393"/>
    </row>
    <row r="151" spans="2:18" s="2363" customFormat="1">
      <c r="B151" s="2391"/>
      <c r="C151" s="2391"/>
      <c r="D151" s="2391"/>
      <c r="E151" s="2391"/>
      <c r="F151" s="2391"/>
      <c r="G151" s="2392"/>
      <c r="H151" s="2391"/>
      <c r="I151" s="2392"/>
      <c r="J151" s="2391"/>
      <c r="K151" s="2391"/>
      <c r="L151" s="2392"/>
      <c r="M151" s="2391"/>
      <c r="N151" s="2391"/>
      <c r="O151" s="2392"/>
      <c r="P151" s="2391"/>
      <c r="Q151" s="2391"/>
      <c r="R151" s="2393"/>
    </row>
    <row r="152" spans="2:18" s="2363" customFormat="1">
      <c r="B152" s="2391"/>
      <c r="C152" s="2391"/>
      <c r="D152" s="2391"/>
      <c r="E152" s="2391"/>
      <c r="F152" s="2391"/>
      <c r="G152" s="2392"/>
      <c r="H152" s="2391"/>
      <c r="I152" s="2392"/>
      <c r="J152" s="2391"/>
      <c r="K152" s="2391"/>
      <c r="L152" s="2392"/>
      <c r="M152" s="2391"/>
      <c r="N152" s="2391"/>
      <c r="O152" s="2392"/>
      <c r="P152" s="2391"/>
      <c r="Q152" s="2391"/>
      <c r="R152" s="2393"/>
    </row>
    <row r="153" spans="2:18" s="2363" customFormat="1">
      <c r="B153" s="2391"/>
      <c r="C153" s="2391"/>
      <c r="D153" s="2391"/>
      <c r="E153" s="2391"/>
      <c r="F153" s="2391"/>
      <c r="G153" s="2392"/>
      <c r="H153" s="2391"/>
      <c r="I153" s="2392"/>
      <c r="J153" s="2391"/>
      <c r="K153" s="2391"/>
      <c r="L153" s="2392"/>
      <c r="M153" s="2391"/>
      <c r="N153" s="2391"/>
      <c r="O153" s="2392"/>
      <c r="P153" s="2391"/>
      <c r="Q153" s="2391"/>
      <c r="R153" s="2393"/>
    </row>
    <row r="154" spans="2:18" s="2363" customFormat="1">
      <c r="B154" s="2391"/>
      <c r="C154" s="2391"/>
      <c r="D154" s="2391"/>
      <c r="E154" s="2391"/>
      <c r="F154" s="2391"/>
      <c r="G154" s="2392"/>
      <c r="H154" s="2391"/>
      <c r="I154" s="2392"/>
      <c r="J154" s="2391"/>
      <c r="K154" s="2391"/>
      <c r="L154" s="2392"/>
      <c r="M154" s="2391"/>
      <c r="N154" s="2391"/>
      <c r="O154" s="2392"/>
      <c r="P154" s="2391"/>
      <c r="Q154" s="2391"/>
      <c r="R154" s="2393"/>
    </row>
    <row r="155" spans="2:18" s="2363" customFormat="1">
      <c r="B155" s="2391"/>
      <c r="C155" s="2391"/>
      <c r="D155" s="2391"/>
      <c r="E155" s="2391"/>
      <c r="F155" s="2391"/>
      <c r="G155" s="2392"/>
      <c r="H155" s="2391"/>
      <c r="I155" s="2392"/>
      <c r="J155" s="2391"/>
      <c r="K155" s="2391"/>
      <c r="L155" s="2392"/>
      <c r="M155" s="2391"/>
      <c r="N155" s="2391"/>
      <c r="O155" s="2392"/>
      <c r="P155" s="2391"/>
      <c r="Q155" s="2391"/>
      <c r="R155" s="2393"/>
    </row>
    <row r="156" spans="2:18" s="2363" customFormat="1">
      <c r="B156" s="2391"/>
      <c r="C156" s="2391"/>
      <c r="D156" s="2391"/>
      <c r="E156" s="2391"/>
      <c r="F156" s="2391"/>
      <c r="G156" s="2392"/>
      <c r="H156" s="2391"/>
      <c r="I156" s="2392"/>
      <c r="J156" s="2391"/>
      <c r="K156" s="2391"/>
      <c r="L156" s="2392"/>
      <c r="M156" s="2391"/>
      <c r="N156" s="2391"/>
      <c r="O156" s="2392"/>
      <c r="P156" s="2391"/>
      <c r="Q156" s="2391"/>
      <c r="R156" s="2393"/>
    </row>
    <row r="157" spans="2:18" s="2363" customFormat="1">
      <c r="B157" s="2391"/>
      <c r="C157" s="2391"/>
      <c r="D157" s="2391"/>
      <c r="E157" s="2391"/>
      <c r="F157" s="2391"/>
      <c r="G157" s="2392"/>
      <c r="H157" s="2391"/>
      <c r="I157" s="2392"/>
      <c r="J157" s="2391"/>
      <c r="K157" s="2391"/>
      <c r="L157" s="2392"/>
      <c r="M157" s="2391"/>
      <c r="N157" s="2391"/>
      <c r="O157" s="2392"/>
      <c r="P157" s="2391"/>
      <c r="Q157" s="2391"/>
      <c r="R157" s="2393"/>
    </row>
    <row r="158" spans="2:18" s="2363" customFormat="1">
      <c r="B158" s="2391"/>
      <c r="C158" s="2391"/>
      <c r="D158" s="2391"/>
      <c r="E158" s="2391"/>
      <c r="F158" s="2391"/>
      <c r="G158" s="2392"/>
      <c r="H158" s="2391"/>
      <c r="I158" s="2392"/>
      <c r="J158" s="2391"/>
      <c r="K158" s="2391"/>
      <c r="L158" s="2392"/>
      <c r="M158" s="2391"/>
      <c r="N158" s="2391"/>
      <c r="O158" s="2392"/>
      <c r="P158" s="2391"/>
      <c r="Q158" s="2391"/>
      <c r="R158" s="2393"/>
    </row>
    <row r="159" spans="2:18" s="2363" customFormat="1">
      <c r="B159" s="2391"/>
      <c r="C159" s="2391"/>
      <c r="D159" s="2391"/>
      <c r="E159" s="2391"/>
      <c r="F159" s="2391"/>
      <c r="G159" s="2392"/>
      <c r="H159" s="2391"/>
      <c r="I159" s="2392"/>
      <c r="J159" s="2391"/>
      <c r="K159" s="2391"/>
      <c r="L159" s="2392"/>
      <c r="M159" s="2391"/>
      <c r="N159" s="2391"/>
      <c r="O159" s="2392"/>
      <c r="P159" s="2391"/>
      <c r="Q159" s="2391"/>
      <c r="R159" s="2393"/>
    </row>
    <row r="160" spans="2:18" s="2363" customFormat="1">
      <c r="B160" s="2391"/>
      <c r="C160" s="2391"/>
      <c r="D160" s="2391"/>
      <c r="E160" s="2391"/>
      <c r="F160" s="2391"/>
      <c r="G160" s="2392"/>
      <c r="H160" s="2391"/>
      <c r="I160" s="2392"/>
      <c r="J160" s="2391"/>
      <c r="K160" s="2391"/>
      <c r="L160" s="2392"/>
      <c r="M160" s="2391"/>
      <c r="N160" s="2391"/>
      <c r="O160" s="2392"/>
      <c r="P160" s="2391"/>
      <c r="Q160" s="2391"/>
      <c r="R160" s="2393"/>
    </row>
    <row r="161" spans="2:18" s="2363" customFormat="1">
      <c r="B161" s="2391"/>
      <c r="C161" s="2391"/>
      <c r="D161" s="2391"/>
      <c r="E161" s="2391"/>
      <c r="F161" s="2391"/>
      <c r="G161" s="2392"/>
      <c r="H161" s="2391"/>
      <c r="I161" s="2392"/>
      <c r="J161" s="2391"/>
      <c r="K161" s="2391"/>
      <c r="L161" s="2392"/>
      <c r="M161" s="2391"/>
      <c r="N161" s="2391"/>
      <c r="O161" s="2392"/>
      <c r="P161" s="2391"/>
      <c r="Q161" s="2391"/>
      <c r="R161" s="2393"/>
    </row>
    <row r="162" spans="2:18" s="2363" customFormat="1">
      <c r="B162" s="2391"/>
      <c r="C162" s="2391"/>
      <c r="D162" s="2391"/>
      <c r="E162" s="2391"/>
      <c r="F162" s="2391"/>
      <c r="G162" s="2392"/>
      <c r="H162" s="2391"/>
      <c r="I162" s="2392"/>
      <c r="J162" s="2391"/>
      <c r="K162" s="2391"/>
      <c r="L162" s="2392"/>
      <c r="M162" s="2391"/>
      <c r="N162" s="2391"/>
      <c r="O162" s="2392"/>
      <c r="P162" s="2391"/>
      <c r="Q162" s="2391"/>
      <c r="R162" s="2393"/>
    </row>
    <row r="163" spans="2:18" s="2363" customFormat="1">
      <c r="B163" s="2391"/>
      <c r="C163" s="2391"/>
      <c r="D163" s="2391"/>
      <c r="E163" s="2391"/>
      <c r="F163" s="2391"/>
      <c r="G163" s="2392"/>
      <c r="H163" s="2391"/>
      <c r="I163" s="2392"/>
      <c r="J163" s="2391"/>
      <c r="K163" s="2391"/>
      <c r="L163" s="2392"/>
      <c r="M163" s="2391"/>
      <c r="N163" s="2391"/>
      <c r="O163" s="2392"/>
      <c r="P163" s="2391"/>
      <c r="Q163" s="2391"/>
      <c r="R163" s="2393"/>
    </row>
    <row r="164" spans="2:18" s="2363" customFormat="1">
      <c r="B164" s="2391"/>
      <c r="C164" s="2391"/>
      <c r="D164" s="2391"/>
      <c r="E164" s="2391"/>
      <c r="F164" s="2391"/>
      <c r="G164" s="2392"/>
      <c r="H164" s="2391"/>
      <c r="I164" s="2392"/>
      <c r="J164" s="2391"/>
      <c r="K164" s="2391"/>
      <c r="L164" s="2392"/>
      <c r="M164" s="2391"/>
      <c r="N164" s="2391"/>
      <c r="O164" s="2392"/>
      <c r="P164" s="2391"/>
      <c r="Q164" s="2391"/>
      <c r="R164" s="2393"/>
    </row>
    <row r="165" spans="2:18" s="2363" customFormat="1">
      <c r="B165" s="2391"/>
      <c r="C165" s="2391"/>
      <c r="D165" s="2391"/>
      <c r="E165" s="2391"/>
      <c r="F165" s="2391"/>
      <c r="G165" s="2392"/>
      <c r="H165" s="2391"/>
      <c r="I165" s="2392"/>
      <c r="J165" s="2391"/>
      <c r="K165" s="2391"/>
      <c r="L165" s="2392"/>
      <c r="M165" s="2391"/>
      <c r="N165" s="2391"/>
      <c r="O165" s="2392"/>
      <c r="P165" s="2391"/>
      <c r="Q165" s="2391"/>
      <c r="R165" s="2393"/>
    </row>
    <row r="166" spans="2:18" s="2363" customFormat="1">
      <c r="B166" s="2391"/>
      <c r="C166" s="2391"/>
      <c r="D166" s="2391"/>
      <c r="E166" s="2391"/>
      <c r="F166" s="2391"/>
      <c r="G166" s="2392"/>
      <c r="H166" s="2391"/>
      <c r="I166" s="2392"/>
      <c r="J166" s="2391"/>
      <c r="K166" s="2391"/>
      <c r="L166" s="2392"/>
      <c r="M166" s="2391"/>
      <c r="N166" s="2391"/>
      <c r="O166" s="2392"/>
      <c r="P166" s="2391"/>
      <c r="Q166" s="2391"/>
      <c r="R166" s="2393"/>
    </row>
    <row r="167" spans="2:18" s="2363" customFormat="1">
      <c r="B167" s="2391"/>
      <c r="C167" s="2391"/>
      <c r="D167" s="2391"/>
      <c r="E167" s="2391"/>
      <c r="F167" s="2391"/>
      <c r="G167" s="2392"/>
      <c r="H167" s="2391"/>
      <c r="I167" s="2392"/>
      <c r="J167" s="2391"/>
      <c r="K167" s="2391"/>
      <c r="L167" s="2392"/>
      <c r="M167" s="2391"/>
      <c r="N167" s="2391"/>
      <c r="O167" s="2392"/>
      <c r="P167" s="2391"/>
      <c r="Q167" s="2391"/>
      <c r="R167" s="2393"/>
    </row>
    <row r="168" spans="2:18" s="2363" customFormat="1">
      <c r="B168" s="2391"/>
      <c r="C168" s="2391"/>
      <c r="D168" s="2391"/>
      <c r="E168" s="2391"/>
      <c r="F168" s="2391"/>
      <c r="G168" s="2392"/>
      <c r="H168" s="2391"/>
      <c r="I168" s="2392"/>
      <c r="J168" s="2391"/>
      <c r="K168" s="2391"/>
      <c r="L168" s="2392"/>
      <c r="M168" s="2391"/>
      <c r="N168" s="2391"/>
      <c r="O168" s="2392"/>
      <c r="P168" s="2391"/>
      <c r="Q168" s="2391"/>
      <c r="R168" s="2393"/>
    </row>
    <row r="169" spans="2:18" s="2363" customFormat="1">
      <c r="B169" s="2391"/>
      <c r="C169" s="2391"/>
      <c r="D169" s="2391"/>
      <c r="E169" s="2391"/>
      <c r="F169" s="2391"/>
      <c r="G169" s="2392"/>
      <c r="H169" s="2391"/>
      <c r="I169" s="2392"/>
      <c r="J169" s="2391"/>
      <c r="K169" s="2391"/>
      <c r="L169" s="2392"/>
      <c r="M169" s="2391"/>
      <c r="N169" s="2391"/>
      <c r="O169" s="2392"/>
      <c r="P169" s="2391"/>
      <c r="Q169" s="2391"/>
      <c r="R169" s="2393"/>
    </row>
    <row r="170" spans="2:18" s="2363" customFormat="1">
      <c r="B170" s="2391"/>
      <c r="C170" s="2391"/>
      <c r="D170" s="2391"/>
      <c r="E170" s="2391"/>
      <c r="F170" s="2391"/>
      <c r="G170" s="2392"/>
      <c r="H170" s="2391"/>
      <c r="I170" s="2392"/>
      <c r="J170" s="2391"/>
      <c r="K170" s="2391"/>
      <c r="L170" s="2392"/>
      <c r="M170" s="2391"/>
      <c r="N170" s="2391"/>
      <c r="O170" s="2392"/>
      <c r="P170" s="2391"/>
      <c r="Q170" s="2391"/>
      <c r="R170" s="2393"/>
    </row>
    <row r="171" spans="2:18" s="2363" customFormat="1">
      <c r="B171" s="2391"/>
      <c r="C171" s="2391"/>
      <c r="D171" s="2391"/>
      <c r="E171" s="2391"/>
      <c r="F171" s="2391"/>
      <c r="G171" s="2392"/>
      <c r="H171" s="2391"/>
      <c r="I171" s="2392"/>
      <c r="J171" s="2391"/>
      <c r="K171" s="2391"/>
      <c r="L171" s="2392"/>
      <c r="M171" s="2391"/>
      <c r="N171" s="2391"/>
      <c r="O171" s="2392"/>
      <c r="P171" s="2391"/>
      <c r="Q171" s="2391"/>
      <c r="R171" s="2393"/>
    </row>
    <row r="172" spans="2:18" s="2363" customFormat="1">
      <c r="B172" s="2391"/>
      <c r="C172" s="2391"/>
      <c r="D172" s="2391"/>
      <c r="E172" s="2391"/>
      <c r="F172" s="2391"/>
      <c r="G172" s="2392"/>
      <c r="H172" s="2391"/>
      <c r="I172" s="2392"/>
      <c r="J172" s="2391"/>
      <c r="K172" s="2391"/>
      <c r="L172" s="2392"/>
      <c r="M172" s="2391"/>
      <c r="N172" s="2391"/>
      <c r="O172" s="2392"/>
      <c r="P172" s="2391"/>
      <c r="Q172" s="2391"/>
      <c r="R172" s="2393"/>
    </row>
    <row r="173" spans="2:18" s="2363" customFormat="1">
      <c r="B173" s="2391"/>
      <c r="C173" s="2391"/>
      <c r="D173" s="2391"/>
      <c r="E173" s="2391"/>
      <c r="F173" s="2391"/>
      <c r="G173" s="2392"/>
      <c r="H173" s="2391"/>
      <c r="I173" s="2392"/>
      <c r="J173" s="2391"/>
      <c r="K173" s="2391"/>
      <c r="L173" s="2392"/>
      <c r="M173" s="2391"/>
      <c r="N173" s="2391"/>
      <c r="O173" s="2392"/>
      <c r="P173" s="2391"/>
      <c r="Q173" s="2391"/>
      <c r="R173" s="2393"/>
    </row>
    <row r="174" spans="2:18" s="2363" customFormat="1">
      <c r="B174" s="2391"/>
      <c r="C174" s="2391"/>
      <c r="D174" s="2391"/>
      <c r="E174" s="2391"/>
      <c r="F174" s="2391"/>
      <c r="G174" s="2392"/>
      <c r="H174" s="2391"/>
      <c r="I174" s="2392"/>
      <c r="J174" s="2391"/>
      <c r="K174" s="2391"/>
      <c r="L174" s="2392"/>
      <c r="M174" s="2391"/>
      <c r="N174" s="2391"/>
      <c r="O174" s="2392"/>
      <c r="P174" s="2391"/>
      <c r="Q174" s="2391"/>
      <c r="R174" s="2393"/>
    </row>
    <row r="175" spans="2:18" s="2363" customFormat="1">
      <c r="B175" s="2391"/>
      <c r="C175" s="2391"/>
      <c r="D175" s="2391"/>
      <c r="E175" s="2391"/>
      <c r="F175" s="2391"/>
      <c r="G175" s="2392"/>
      <c r="H175" s="2391"/>
      <c r="I175" s="2392"/>
      <c r="J175" s="2391"/>
      <c r="K175" s="2391"/>
      <c r="L175" s="2392"/>
      <c r="M175" s="2391"/>
      <c r="N175" s="2391"/>
      <c r="O175" s="2392"/>
      <c r="P175" s="2391"/>
      <c r="Q175" s="2391"/>
      <c r="R175" s="2393"/>
    </row>
    <row r="176" spans="2:18" s="2363" customFormat="1">
      <c r="B176" s="2391"/>
      <c r="C176" s="2391"/>
      <c r="D176" s="2391"/>
      <c r="E176" s="2391"/>
      <c r="F176" s="2391"/>
      <c r="G176" s="2392"/>
      <c r="H176" s="2391"/>
      <c r="I176" s="2392"/>
      <c r="J176" s="2391"/>
      <c r="K176" s="2391"/>
      <c r="L176" s="2392"/>
      <c r="M176" s="2391"/>
      <c r="N176" s="2391"/>
      <c r="O176" s="2392"/>
      <c r="P176" s="2391"/>
      <c r="Q176" s="2391"/>
      <c r="R176" s="2393"/>
    </row>
    <row r="177" spans="1:18" s="2363" customFormat="1">
      <c r="B177" s="2391"/>
      <c r="C177" s="2391"/>
      <c r="D177" s="2391"/>
      <c r="E177" s="2391"/>
      <c r="F177" s="2391"/>
      <c r="G177" s="2392"/>
      <c r="H177" s="2391"/>
      <c r="I177" s="2392"/>
      <c r="J177" s="2391"/>
      <c r="K177" s="2391"/>
      <c r="L177" s="2392"/>
      <c r="M177" s="2391"/>
      <c r="N177" s="2391"/>
      <c r="O177" s="2392"/>
      <c r="P177" s="2391"/>
      <c r="Q177" s="2391"/>
      <c r="R177" s="2393"/>
    </row>
    <row r="178" spans="1:18" s="2363" customFormat="1">
      <c r="B178" s="2391"/>
      <c r="C178" s="2391"/>
      <c r="D178" s="2391"/>
      <c r="E178" s="2391"/>
      <c r="F178" s="2391"/>
      <c r="G178" s="2392"/>
      <c r="H178" s="2391"/>
      <c r="I178" s="2392"/>
      <c r="J178" s="2391"/>
      <c r="K178" s="2391"/>
      <c r="L178" s="2392"/>
      <c r="M178" s="2391"/>
      <c r="N178" s="2391"/>
      <c r="O178" s="2392"/>
      <c r="P178" s="2391"/>
      <c r="Q178" s="2391"/>
      <c r="R178" s="2393"/>
    </row>
    <row r="179" spans="1:18" s="2363" customFormat="1">
      <c r="B179" s="2391"/>
      <c r="C179" s="2391"/>
      <c r="D179" s="2391"/>
      <c r="E179" s="2391"/>
      <c r="F179" s="2391"/>
      <c r="G179" s="2392"/>
      <c r="H179" s="2391"/>
      <c r="I179" s="2392"/>
      <c r="J179" s="2391"/>
      <c r="K179" s="2391"/>
      <c r="L179" s="2392"/>
      <c r="M179" s="2391"/>
      <c r="N179" s="2391"/>
      <c r="O179" s="2392"/>
      <c r="P179" s="2391"/>
      <c r="Q179" s="2391"/>
      <c r="R179" s="2393"/>
    </row>
    <row r="180" spans="1:18" s="2363" customFormat="1">
      <c r="B180" s="2391"/>
      <c r="C180" s="2391"/>
      <c r="D180" s="2391"/>
      <c r="E180" s="2391"/>
      <c r="F180" s="2391"/>
      <c r="G180" s="2392"/>
      <c r="H180" s="2391"/>
      <c r="I180" s="2392"/>
      <c r="J180" s="2391"/>
      <c r="K180" s="2391"/>
      <c r="L180" s="2392"/>
      <c r="M180" s="2391"/>
      <c r="N180" s="2391"/>
      <c r="O180" s="2392"/>
      <c r="P180" s="2391"/>
      <c r="Q180" s="2391"/>
      <c r="R180" s="2393"/>
    </row>
    <row r="181" spans="1:18" s="2363" customFormat="1">
      <c r="B181" s="2391"/>
      <c r="C181" s="2391"/>
      <c r="D181" s="2391"/>
      <c r="E181" s="2391"/>
      <c r="F181" s="2391"/>
      <c r="G181" s="2392"/>
      <c r="H181" s="2391"/>
      <c r="I181" s="2392"/>
      <c r="J181" s="2391"/>
      <c r="K181" s="2391"/>
      <c r="L181" s="2392"/>
      <c r="M181" s="2391"/>
      <c r="N181" s="2391"/>
      <c r="O181" s="2392"/>
      <c r="P181" s="2391"/>
      <c r="Q181" s="2391"/>
      <c r="R181" s="2393"/>
    </row>
    <row r="182" spans="1:18" s="2363" customFormat="1">
      <c r="B182" s="2391"/>
      <c r="C182" s="2391"/>
      <c r="D182" s="2391"/>
      <c r="E182" s="2391"/>
      <c r="F182" s="2391"/>
      <c r="G182" s="2392"/>
      <c r="H182" s="2391"/>
      <c r="I182" s="2392"/>
      <c r="J182" s="2391"/>
      <c r="K182" s="2391"/>
      <c r="L182" s="2392"/>
      <c r="M182" s="2391"/>
      <c r="N182" s="2391"/>
      <c r="O182" s="2392"/>
      <c r="P182" s="2391"/>
      <c r="Q182" s="2391"/>
      <c r="R182" s="2393"/>
    </row>
    <row r="183" spans="1:18" s="2363" customFormat="1">
      <c r="B183" s="2391"/>
      <c r="C183" s="2391"/>
      <c r="D183" s="2391"/>
      <c r="E183" s="2391"/>
      <c r="F183" s="2391"/>
      <c r="G183" s="2392"/>
      <c r="H183" s="2391"/>
      <c r="I183" s="2392"/>
      <c r="J183" s="2391"/>
      <c r="K183" s="2391"/>
      <c r="L183" s="2392"/>
      <c r="M183" s="2391"/>
      <c r="N183" s="2391"/>
      <c r="O183" s="2392"/>
      <c r="P183" s="2391"/>
      <c r="Q183" s="2391"/>
      <c r="R183" s="2393"/>
    </row>
    <row r="184" spans="1:18" s="2363" customFormat="1">
      <c r="B184" s="2391"/>
      <c r="C184" s="2391"/>
      <c r="D184" s="2391"/>
      <c r="E184" s="2391"/>
      <c r="F184" s="2391"/>
      <c r="G184" s="2392"/>
      <c r="H184" s="2391"/>
      <c r="I184" s="2392"/>
      <c r="J184" s="2391"/>
      <c r="K184" s="2391"/>
      <c r="L184" s="2392"/>
      <c r="M184" s="2391"/>
      <c r="N184" s="2391"/>
      <c r="O184" s="2392"/>
      <c r="P184" s="2391"/>
      <c r="Q184" s="2391"/>
      <c r="R184" s="2393"/>
    </row>
    <row r="185" spans="1:18" s="2363"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3"/>
      <c r="B186" s="2391"/>
      <c r="C186" s="2391"/>
      <c r="E186" s="2391"/>
      <c r="F186" s="2391"/>
      <c r="G186" s="2392"/>
    </row>
    <row r="187" spans="1:18">
      <c r="A187" s="2363"/>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1366</v>
      </c>
      <c r="B1" s="1746">
        <f>SUM(B14:B23)</f>
        <v>7765.3499999999995</v>
      </c>
      <c r="C1" s="1745"/>
      <c r="D1" s="1745"/>
      <c r="E1" s="1745"/>
      <c r="F1" s="1745"/>
      <c r="G1" s="1743"/>
    </row>
    <row r="2" spans="1:10" ht="16.5">
      <c r="A2" s="1746" t="s">
        <v>1354</v>
      </c>
      <c r="B2" s="1746">
        <f>SUM(C14:C23)</f>
        <v>2218.67</v>
      </c>
      <c r="C2" s="1745"/>
      <c r="D2" s="1745"/>
      <c r="E2" s="1745"/>
      <c r="F2" s="1745"/>
      <c r="G2" s="1743"/>
    </row>
    <row r="3" spans="1:10" ht="16.5">
      <c r="A3" s="1746" t="s">
        <v>1363</v>
      </c>
      <c r="B3" s="1747">
        <f>项目基本情况!D3</f>
        <v>43049</v>
      </c>
      <c r="C3" s="1745"/>
      <c r="D3" s="1745"/>
      <c r="E3" s="1745"/>
      <c r="F3" s="1745"/>
      <c r="G3" s="1743"/>
    </row>
    <row r="4" spans="1:10" ht="33">
      <c r="A4" s="1746" t="s">
        <v>1362</v>
      </c>
      <c r="B4" s="1746" t="s">
        <v>1361</v>
      </c>
      <c r="C4" s="1746" t="s">
        <v>1360</v>
      </c>
      <c r="D4" s="1746" t="s">
        <v>1359</v>
      </c>
      <c r="E4" s="1745"/>
      <c r="F4" s="1743"/>
      <c r="G4" s="1743"/>
    </row>
    <row r="5" spans="1:10" ht="16.5">
      <c r="A5" s="1746" t="s">
        <v>1358</v>
      </c>
      <c r="B5" s="1746">
        <f ca="1">SUM(D14:D23)</f>
        <v>7129</v>
      </c>
      <c r="C5" s="1746">
        <f ca="1">ROUND(B5*10000/$B$1,0)</f>
        <v>9181</v>
      </c>
      <c r="D5" s="1746">
        <f ca="1">ROUND(B5*10000/$B$2,0)</f>
        <v>32132</v>
      </c>
      <c r="E5" s="1745"/>
      <c r="F5" s="1743"/>
      <c r="G5" s="1743"/>
    </row>
    <row r="6" spans="1:10" ht="16.5">
      <c r="A6" s="1746" t="s">
        <v>1357</v>
      </c>
      <c r="B6" s="1746">
        <f ca="1">SUM(G14:G23)</f>
        <v>7129</v>
      </c>
      <c r="C6" s="1746">
        <f ca="1">ROUND(B6*10000/$B$1,0)</f>
        <v>9181</v>
      </c>
      <c r="D6" s="1746">
        <f ca="1">ROUND(B6*10000/$B$2,0)</f>
        <v>32132</v>
      </c>
      <c r="E6" s="1745"/>
      <c r="F6" s="1743"/>
      <c r="G6" s="1743"/>
    </row>
    <row r="7" spans="1:10" ht="16.5">
      <c r="A7" s="1746" t="s">
        <v>1365</v>
      </c>
      <c r="B7" s="1746">
        <f>SUM(H14:H23)</f>
        <v>0</v>
      </c>
      <c r="C7" s="1746">
        <f>ROUND(B7*10000/$B$1,0)</f>
        <v>0</v>
      </c>
      <c r="D7" s="1746">
        <f>ROUND(B7*10000/$B$2,0)</f>
        <v>0</v>
      </c>
      <c r="E7" s="1745"/>
      <c r="F7" s="1743"/>
      <c r="G7" s="1743"/>
    </row>
    <row r="8" spans="1:10" ht="16.5">
      <c r="A8" s="1746" t="s">
        <v>1286</v>
      </c>
      <c r="B8" s="1746">
        <f>SUM(I14:I23)</f>
        <v>0</v>
      </c>
      <c r="C8" s="1746">
        <f>ROUND(B8*10000/$B$1,0)</f>
        <v>0</v>
      </c>
      <c r="D8" s="1746">
        <f>ROUND(B8*10000/$B$2,0)</f>
        <v>0</v>
      </c>
      <c r="E8" s="1745"/>
      <c r="F8" s="1743"/>
      <c r="G8" s="1743"/>
    </row>
    <row r="9" spans="1:10" ht="16.5">
      <c r="A9" s="1746" t="s">
        <v>1356</v>
      </c>
      <c r="B9" s="1748"/>
      <c r="C9" s="1745"/>
      <c r="D9" s="1745"/>
      <c r="E9" s="1745"/>
      <c r="F9" s="1743"/>
      <c r="G9" s="1743"/>
    </row>
    <row r="10" spans="1:10" ht="16.5">
      <c r="A10" s="1746" t="s">
        <v>1355</v>
      </c>
      <c r="B10" s="1748"/>
      <c r="C10" s="1745"/>
      <c r="D10" s="1745"/>
      <c r="E10" s="1745"/>
      <c r="F10" s="1743"/>
      <c r="G10" s="1743"/>
    </row>
    <row r="11" spans="1:10" ht="16.5">
      <c r="A11" s="1746" t="s">
        <v>1371</v>
      </c>
      <c r="B11" s="1748"/>
      <c r="C11" s="1745"/>
      <c r="D11" s="1745"/>
      <c r="E11" s="1745"/>
      <c r="F11" s="1743"/>
      <c r="G11" s="1743"/>
    </row>
    <row r="12" spans="1:10" ht="16.5">
      <c r="A12" s="1745"/>
      <c r="B12" s="1745"/>
      <c r="C12" s="1745"/>
      <c r="D12" s="1745"/>
      <c r="E12" s="1745"/>
      <c r="F12" s="1743"/>
      <c r="G12" s="1743"/>
    </row>
    <row r="13" spans="1:10" ht="33">
      <c r="A13" s="1751" t="s">
        <v>1370</v>
      </c>
      <c r="B13" s="1744" t="s">
        <v>1367</v>
      </c>
      <c r="C13" s="1744" t="s">
        <v>1369</v>
      </c>
      <c r="D13" s="1744" t="s">
        <v>1368</v>
      </c>
      <c r="E13" s="1746" t="s">
        <v>1360</v>
      </c>
      <c r="F13" s="1746" t="s">
        <v>1359</v>
      </c>
      <c r="G13" s="1744" t="s">
        <v>1353</v>
      </c>
      <c r="H13" s="1744" t="s">
        <v>1364</v>
      </c>
      <c r="I13" s="1744" t="s">
        <v>1352</v>
      </c>
      <c r="J13" s="1743"/>
    </row>
    <row r="14" spans="1:10" ht="16.5">
      <c r="A14" s="1742" t="s">
        <v>1351</v>
      </c>
      <c r="B14" s="1744">
        <f>结果表!B118</f>
        <v>7765.3499999999995</v>
      </c>
      <c r="C14" s="1744">
        <f>结果表!C118</f>
        <v>2218.67</v>
      </c>
      <c r="D14" s="1744">
        <f ca="1">结果表!H118</f>
        <v>2161</v>
      </c>
      <c r="E14" s="1744">
        <f ca="1">ROUND(D14*10000/B14,0)</f>
        <v>2783</v>
      </c>
      <c r="F14" s="1744">
        <f ca="1">ROUND(D14*10000/C14,0)</f>
        <v>9740</v>
      </c>
      <c r="G14" s="1744">
        <f ca="1">结果表!D122</f>
        <v>2161</v>
      </c>
      <c r="H14" s="1744" t="str">
        <f>结果表!D124</f>
        <v>——</v>
      </c>
      <c r="I14" s="1744" t="str">
        <f>结果表!D126</f>
        <v>——</v>
      </c>
      <c r="J14" s="1743"/>
    </row>
    <row r="15" spans="1:10" ht="16.5">
      <c r="A15" s="1742" t="s">
        <v>1350</v>
      </c>
      <c r="B15" s="3072"/>
      <c r="C15" s="3072"/>
      <c r="D15" s="3072">
        <f ca="1">典型户型修正!S22-系统读取表!D14</f>
        <v>4968</v>
      </c>
      <c r="E15" s="1744" t="e">
        <f t="shared" ref="E15:E23" ca="1" si="0">ROUND(D15*10000/B15,0)</f>
        <v>#DIV/0!</v>
      </c>
      <c r="F15" s="1744" t="e">
        <f t="shared" ref="F15:F23" ca="1" si="1">ROUND(D15*10000/C15,0)</f>
        <v>#DIV/0!</v>
      </c>
      <c r="G15" s="3072">
        <f ca="1">D15</f>
        <v>4968</v>
      </c>
      <c r="H15" s="3072"/>
      <c r="I15" s="3072"/>
      <c r="J15" s="1743"/>
    </row>
    <row r="16" spans="1:10" ht="16.5">
      <c r="A16" s="1742" t="s">
        <v>1349</v>
      </c>
      <c r="B16" s="1749"/>
      <c r="C16" s="1749"/>
      <c r="D16" s="1749"/>
      <c r="E16" s="1744" t="e">
        <f t="shared" si="0"/>
        <v>#DIV/0!</v>
      </c>
      <c r="F16" s="1744" t="e">
        <f t="shared" si="1"/>
        <v>#DIV/0!</v>
      </c>
      <c r="G16" s="1750"/>
      <c r="H16" s="1750"/>
      <c r="I16" s="1749"/>
    </row>
    <row r="17" spans="1:9" ht="16.5">
      <c r="A17" s="1742" t="s">
        <v>1348</v>
      </c>
      <c r="B17" s="1749"/>
      <c r="C17" s="1749"/>
      <c r="D17" s="1749"/>
      <c r="E17" s="1744" t="e">
        <f t="shared" si="0"/>
        <v>#DIV/0!</v>
      </c>
      <c r="F17" s="1744" t="e">
        <f t="shared" si="1"/>
        <v>#DIV/0!</v>
      </c>
      <c r="G17" s="1750"/>
      <c r="H17" s="1750"/>
      <c r="I17" s="1749"/>
    </row>
    <row r="18" spans="1:9" ht="16.5">
      <c r="A18" s="1742" t="s">
        <v>1347</v>
      </c>
      <c r="B18" s="1749"/>
      <c r="C18" s="1749"/>
      <c r="D18" s="1749"/>
      <c r="E18" s="1744" t="e">
        <f t="shared" si="0"/>
        <v>#DIV/0!</v>
      </c>
      <c r="F18" s="1744" t="e">
        <f t="shared" si="1"/>
        <v>#DIV/0!</v>
      </c>
      <c r="G18" s="1749"/>
      <c r="H18" s="1749"/>
      <c r="I18" s="1749"/>
    </row>
    <row r="19" spans="1:9" ht="16.5">
      <c r="A19" s="1742" t="s">
        <v>1346</v>
      </c>
      <c r="B19" s="1749"/>
      <c r="C19" s="1749"/>
      <c r="D19" s="1749"/>
      <c r="E19" s="1744" t="e">
        <f t="shared" si="0"/>
        <v>#DIV/0!</v>
      </c>
      <c r="F19" s="1744" t="e">
        <f t="shared" si="1"/>
        <v>#DIV/0!</v>
      </c>
      <c r="G19" s="1749"/>
      <c r="H19" s="1749"/>
      <c r="I19" s="1749"/>
    </row>
    <row r="20" spans="1:9" ht="16.5">
      <c r="A20" s="1742" t="s">
        <v>1345</v>
      </c>
      <c r="B20" s="1749"/>
      <c r="C20" s="1749"/>
      <c r="D20" s="1749"/>
      <c r="E20" s="1744" t="e">
        <f t="shared" si="0"/>
        <v>#DIV/0!</v>
      </c>
      <c r="F20" s="1744" t="e">
        <f t="shared" si="1"/>
        <v>#DIV/0!</v>
      </c>
      <c r="G20" s="1749"/>
      <c r="H20" s="1749"/>
      <c r="I20" s="1749"/>
    </row>
    <row r="21" spans="1:9" ht="16.5">
      <c r="A21" s="1742" t="s">
        <v>1344</v>
      </c>
      <c r="B21" s="1749"/>
      <c r="C21" s="1749"/>
      <c r="D21" s="1749"/>
      <c r="E21" s="1744" t="e">
        <f t="shared" si="0"/>
        <v>#DIV/0!</v>
      </c>
      <c r="F21" s="1744" t="e">
        <f t="shared" si="1"/>
        <v>#DIV/0!</v>
      </c>
      <c r="G21" s="1749"/>
      <c r="H21" s="1749"/>
      <c r="I21" s="1749"/>
    </row>
    <row r="22" spans="1:9" ht="16.5">
      <c r="A22" s="1742" t="s">
        <v>1343</v>
      </c>
      <c r="B22" s="1749"/>
      <c r="C22" s="1749"/>
      <c r="D22" s="1749"/>
      <c r="E22" s="1744" t="e">
        <f t="shared" si="0"/>
        <v>#DIV/0!</v>
      </c>
      <c r="F22" s="1744" t="e">
        <f t="shared" si="1"/>
        <v>#DIV/0!</v>
      </c>
      <c r="G22" s="1749"/>
      <c r="H22" s="1749"/>
      <c r="I22" s="1749"/>
    </row>
    <row r="23" spans="1:9" ht="16.5">
      <c r="A23" s="1742" t="s">
        <v>1342</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8" zoomScaleSheetLayoutView="100" zoomScalePageLayoutView="80" workbookViewId="0">
      <selection activeCell="F26" sqref="F26"/>
    </sheetView>
  </sheetViews>
  <sheetFormatPr defaultColWidth="12.625" defaultRowHeight="21.75" customHeight="1"/>
  <cols>
    <col min="1" max="2" width="12.625" style="2420"/>
    <col min="3" max="4" width="12.625" style="2420" customWidth="1"/>
    <col min="5" max="9" width="12.625" style="2420"/>
    <col min="10" max="11" width="12.625" style="794" customWidth="1"/>
    <col min="12" max="12" width="12.625" style="794"/>
    <col min="13" max="13" width="14.125" style="794" bestFit="1" customWidth="1"/>
    <col min="14" max="26" width="12.625" style="794"/>
    <col min="27" max="35" width="12.625" style="2419"/>
    <col min="36" max="16384" width="12.625" style="2420"/>
  </cols>
  <sheetData>
    <row r="1" spans="1:12" ht="21.75" customHeight="1" thickBot="1">
      <c r="A1" s="2222" t="s">
        <v>2116</v>
      </c>
      <c r="B1" s="2414"/>
      <c r="C1" s="2415"/>
      <c r="D1" s="2414"/>
      <c r="E1" s="2414"/>
      <c r="F1" s="2416" t="s">
        <v>2117</v>
      </c>
      <c r="G1" s="2068" t="s">
        <v>3231</v>
      </c>
      <c r="H1" s="2417" t="str">
        <f>IF(G1="现房","——","估价对象范围")</f>
        <v>——</v>
      </c>
      <c r="I1" s="2418" t="s">
        <v>3232</v>
      </c>
    </row>
    <row r="2" spans="1:12" ht="21.75" customHeight="1" thickBot="1">
      <c r="A2" s="3203" t="str">
        <f>项目基本情况!S2</f>
        <v>河北省保定市涞水县涞水镇府前街2号桥北侧6A#房地产</v>
      </c>
      <c r="B2" s="3204"/>
      <c r="C2" s="3204"/>
      <c r="D2" s="3204"/>
      <c r="E2" s="3204"/>
      <c r="F2" s="3204"/>
      <c r="G2" s="3204"/>
      <c r="H2" s="3204"/>
      <c r="I2" s="3205"/>
    </row>
    <row r="3" spans="1:12" ht="12.75">
      <c r="A3" s="3207" t="s">
        <v>2118</v>
      </c>
      <c r="B3" s="3208"/>
      <c r="C3" s="3208"/>
      <c r="D3" s="3208"/>
      <c r="E3" s="3208"/>
      <c r="F3" s="3208"/>
      <c r="G3" s="3208"/>
      <c r="H3" s="3208"/>
      <c r="I3" s="3208"/>
    </row>
    <row r="4" spans="1:12" ht="14.25">
      <c r="A4" s="2421" t="s">
        <v>2119</v>
      </c>
      <c r="B4" s="2422" t="s">
        <v>2120</v>
      </c>
      <c r="C4" s="3076" t="s">
        <v>3192</v>
      </c>
      <c r="D4" s="3076" t="s">
        <v>3243</v>
      </c>
      <c r="E4" s="3200" t="s">
        <v>2121</v>
      </c>
      <c r="F4" s="3201"/>
      <c r="G4" s="3201"/>
      <c r="H4" s="3201"/>
      <c r="I4" s="3209"/>
      <c r="K4" s="2423" t="str">
        <f>IF(ISNUMBER(FIND("比较法",结果表!C4)),"比较法",IF(ISNUMBER(FIND("成本法",结果表!C4)),"成本法",IF(ISNUMBER(FIND("假设开发法",结果表!C4)),"假设开发法",IF(ISNUMBER(FIND("收益法",结果表!C4)),"收益法","基准地价系数修正法"))))</f>
        <v>收益法</v>
      </c>
      <c r="L4" s="2423" t="str">
        <f>IF(ISNUMBER(FIND("比较法",结果表!D4)),"比较法",IF(ISNUMBER(FIND("成本法",结果表!D4)),"成本法",IF(ISNUMBER(FIND("假设开发法",结果表!D4)),"假设开发法",IF(ISNUMBER(FIND("收益法",结果表!D4)),"收益法","基准地价系数修正法"))))</f>
        <v>比较法</v>
      </c>
    </row>
    <row r="5" spans="1:12" ht="12.75" hidden="1">
      <c r="A5" s="3183" t="s">
        <v>2122</v>
      </c>
      <c r="B5" s="3121">
        <v>25</v>
      </c>
      <c r="C5" s="3186"/>
      <c r="D5" s="3206"/>
      <c r="E5" s="140" t="s">
        <v>2123</v>
      </c>
      <c r="F5" s="2424"/>
      <c r="G5" s="2424"/>
      <c r="H5" s="2424"/>
      <c r="I5" s="1833"/>
    </row>
    <row r="6" spans="1:12" ht="12.75" hidden="1">
      <c r="A6" s="3183"/>
      <c r="B6" s="3121"/>
      <c r="C6" s="3187"/>
      <c r="D6" s="3206"/>
      <c r="E6" s="140" t="s">
        <v>2124</v>
      </c>
      <c r="F6" s="2424"/>
      <c r="G6" s="2424"/>
      <c r="H6" s="2424"/>
      <c r="I6" s="1833"/>
    </row>
    <row r="7" spans="1:12" ht="12.75" hidden="1">
      <c r="A7" s="3183"/>
      <c r="B7" s="3121"/>
      <c r="C7" s="3188"/>
      <c r="D7" s="3206"/>
      <c r="E7" s="140" t="s">
        <v>2125</v>
      </c>
      <c r="F7" s="2424"/>
      <c r="G7" s="2424"/>
      <c r="H7" s="2424"/>
      <c r="I7" s="1833"/>
    </row>
    <row r="8" spans="1:12" ht="12.75" hidden="1">
      <c r="A8" s="3183" t="s">
        <v>2126</v>
      </c>
      <c r="B8" s="3121">
        <v>15</v>
      </c>
      <c r="C8" s="3186"/>
      <c r="D8" s="3206"/>
      <c r="E8" s="140" t="s">
        <v>2127</v>
      </c>
      <c r="F8" s="2424"/>
      <c r="G8" s="2424"/>
      <c r="H8" s="2424"/>
      <c r="I8" s="1833"/>
      <c r="K8" s="794">
        <v>7149</v>
      </c>
    </row>
    <row r="9" spans="1:12" ht="12.75" hidden="1">
      <c r="A9" s="3183"/>
      <c r="B9" s="3121"/>
      <c r="C9" s="3188"/>
      <c r="D9" s="3206"/>
      <c r="E9" s="140" t="s">
        <v>2128</v>
      </c>
      <c r="F9" s="2424"/>
      <c r="G9" s="2424"/>
      <c r="H9" s="2424"/>
      <c r="I9" s="1833"/>
      <c r="K9" s="794">
        <f>'数据-基础表'!K13</f>
        <v>1553.07</v>
      </c>
    </row>
    <row r="10" spans="1:12" ht="12.75" hidden="1">
      <c r="A10" s="3183" t="s">
        <v>2129</v>
      </c>
      <c r="B10" s="3121">
        <v>15</v>
      </c>
      <c r="C10" s="3186"/>
      <c r="D10" s="3206"/>
      <c r="E10" s="140" t="s">
        <v>2130</v>
      </c>
      <c r="F10" s="2424"/>
      <c r="G10" s="2424"/>
      <c r="H10" s="2424"/>
      <c r="I10" s="1833"/>
      <c r="K10" s="794">
        <f>K8/K9</f>
        <v>4.6031408758137111</v>
      </c>
    </row>
    <row r="11" spans="1:12" ht="12.75" hidden="1">
      <c r="A11" s="3183"/>
      <c r="B11" s="3121"/>
      <c r="C11" s="3188"/>
      <c r="D11" s="3206"/>
      <c r="E11" s="140" t="s">
        <v>2131</v>
      </c>
      <c r="F11" s="2424"/>
      <c r="G11" s="2424"/>
      <c r="H11" s="2424"/>
      <c r="I11" s="1833"/>
    </row>
    <row r="12" spans="1:12" ht="12.75" hidden="1">
      <c r="A12" s="3183" t="s">
        <v>2132</v>
      </c>
      <c r="B12" s="3121">
        <v>15</v>
      </c>
      <c r="C12" s="3186"/>
      <c r="D12" s="3206"/>
      <c r="E12" s="140" t="s">
        <v>2133</v>
      </c>
      <c r="F12" s="2424"/>
      <c r="G12" s="2424"/>
      <c r="H12" s="2424"/>
      <c r="I12" s="1833"/>
    </row>
    <row r="13" spans="1:12" ht="12.75" hidden="1">
      <c r="A13" s="3183"/>
      <c r="B13" s="3121"/>
      <c r="C13" s="3188"/>
      <c r="D13" s="3206"/>
      <c r="E13" s="140" t="s">
        <v>2134</v>
      </c>
      <c r="F13" s="2424"/>
      <c r="G13" s="2424"/>
      <c r="H13" s="2424"/>
      <c r="I13" s="1833"/>
    </row>
    <row r="14" spans="1:12" ht="12.75" hidden="1">
      <c r="A14" s="3183" t="s">
        <v>2135</v>
      </c>
      <c r="B14" s="3121">
        <v>30</v>
      </c>
      <c r="C14" s="3186">
        <v>3</v>
      </c>
      <c r="D14" s="3206">
        <f>10-C14</f>
        <v>7</v>
      </c>
      <c r="E14" s="140" t="s">
        <v>2136</v>
      </c>
      <c r="F14" s="2424"/>
      <c r="G14" s="2424"/>
      <c r="H14" s="2424"/>
      <c r="I14" s="1833"/>
    </row>
    <row r="15" spans="1:12" ht="12.75" hidden="1">
      <c r="A15" s="3183"/>
      <c r="B15" s="3121"/>
      <c r="C15" s="3187"/>
      <c r="D15" s="3206"/>
      <c r="E15" s="140" t="s">
        <v>2137</v>
      </c>
      <c r="F15" s="2424"/>
      <c r="G15" s="2424"/>
      <c r="H15" s="2424"/>
      <c r="I15" s="1833"/>
    </row>
    <row r="16" spans="1:12" ht="12.75">
      <c r="A16" s="3183"/>
      <c r="B16" s="3121"/>
      <c r="C16" s="3188"/>
      <c r="D16" s="3206"/>
      <c r="E16" s="140" t="s">
        <v>2138</v>
      </c>
      <c r="F16" s="2424"/>
      <c r="G16" s="2424"/>
      <c r="H16" s="2424"/>
      <c r="I16" s="1833"/>
    </row>
    <row r="17" spans="1:35" ht="15">
      <c r="A17" s="2425" t="s">
        <v>2139</v>
      </c>
      <c r="B17" s="64"/>
      <c r="C17" s="141">
        <f>SUM(C5:C16)</f>
        <v>3</v>
      </c>
      <c r="D17" s="141">
        <f>SUM(D5:D16)</f>
        <v>7</v>
      </c>
      <c r="E17" s="138"/>
      <c r="F17" s="138"/>
      <c r="G17" s="138"/>
      <c r="H17" s="138"/>
      <c r="I17" s="138"/>
      <c r="K17" s="2423"/>
      <c r="L17" s="2426" t="s">
        <v>2140</v>
      </c>
      <c r="M17" s="2426" t="s">
        <v>2141</v>
      </c>
    </row>
    <row r="18" spans="1:35" ht="15.75" thickBot="1">
      <c r="A18" s="2427" t="s">
        <v>2142</v>
      </c>
      <c r="B18" s="2428"/>
      <c r="C18" s="142">
        <f>ROUND(C17/SUM(C17:D17),2)</f>
        <v>0.3</v>
      </c>
      <c r="D18" s="142">
        <f>1-C18</f>
        <v>0.7</v>
      </c>
      <c r="E18" s="138"/>
      <c r="F18" s="138"/>
      <c r="G18" s="138"/>
      <c r="H18" s="138"/>
      <c r="I18" s="138"/>
      <c r="K18" s="2423" t="s">
        <v>2143</v>
      </c>
      <c r="L18" s="2423">
        <f>IF(C1="",'数据-汇总表'!E3,SUMIF(项目类型,C1,'数据-汇总表'!E17:E26)+SUMIF(项目类型,C1,'数据-汇总表'!I17:I26))</f>
        <v>7765.3499999999995</v>
      </c>
      <c r="M18" s="2423">
        <f>IF(C1="",'数据-汇总表'!E3,SUMIF(项目类型,C1,'数据-汇总表'!E17:E26))</f>
        <v>7765.3499999999995</v>
      </c>
    </row>
    <row r="19" spans="1:35" ht="15">
      <c r="A19" s="2429" t="s">
        <v>2144</v>
      </c>
      <c r="B19" s="2430" t="s">
        <v>2145</v>
      </c>
      <c r="C19" s="143">
        <f ca="1">SUMIF(INDIRECT("'"&amp;C4&amp;"'"&amp;"!A:A"),结果表!B19,INDIRECT("'"&amp;C4&amp;"'"&amp;"!B:B"))</f>
        <v>533</v>
      </c>
      <c r="D19" s="144">
        <f ca="1">SUMIF(INDIRECT("'"&amp;D4&amp;"'"&amp;"!A:A"),结果表!B19,INDIRECT("'"&amp;D4&amp;"'"&amp;"!B:B"))</f>
        <v>2858</v>
      </c>
      <c r="E19" s="2429" t="s">
        <v>2146</v>
      </c>
      <c r="F19" s="2430" t="s">
        <v>2145</v>
      </c>
      <c r="G19" s="145">
        <f ca="1">ROUND(C19*$C$18+D19*$D$18,0)</f>
        <v>2161</v>
      </c>
      <c r="H19" s="2431" t="s">
        <v>2147</v>
      </c>
      <c r="I19" s="138"/>
      <c r="K19" s="2423" t="s">
        <v>2148</v>
      </c>
      <c r="L19" s="2423">
        <f>IF(C1="",'数据-汇总表'!D3,SUMIF(项目类型,C1,'数据-汇总表'!D17:D26)+SUMIF(项目类型,C1,'数据-汇总表'!H17:H27))</f>
        <v>2218.67</v>
      </c>
      <c r="M19" s="2423">
        <f>IF(C1="",'数据-汇总表'!D3,SUMIF(项目类型,C1,'数据-汇总表'!D17:D26))</f>
        <v>2218.67</v>
      </c>
    </row>
    <row r="20" spans="1:35" ht="15">
      <c r="A20" s="2432"/>
      <c r="B20" s="1249" t="s">
        <v>2149</v>
      </c>
      <c r="C20" s="146">
        <f ca="1">SUMIF(INDIRECT("'"&amp;C4&amp;"'"&amp;"!A:A"),结果表!B20,INDIRECT("'"&amp;C4&amp;"'"&amp;"!B:B"))</f>
        <v>3432</v>
      </c>
      <c r="D20" s="147">
        <f ca="1">SUMIF(INDIRECT("'"&amp;D4&amp;"'"&amp;"!A:A"),结果表!B20,INDIRECT("'"&amp;D4&amp;"'"&amp;"!B:B"))</f>
        <v>18403</v>
      </c>
      <c r="E20" s="2432"/>
      <c r="F20" s="1249" t="s">
        <v>2149</v>
      </c>
      <c r="G20" s="148">
        <f ca="1">ROUND(C20*$C$18+D20*$D$18,0)</f>
        <v>13912</v>
      </c>
      <c r="H20" s="982" t="s">
        <v>2150</v>
      </c>
      <c r="I20" s="138"/>
    </row>
    <row r="21" spans="1:35" ht="15" customHeight="1" thickBot="1">
      <c r="A21" s="1002"/>
      <c r="B21" s="2433" t="s">
        <v>2151</v>
      </c>
      <c r="C21" s="788">
        <f ca="1">ROUND(C19*10000/L19,0)</f>
        <v>2402</v>
      </c>
      <c r="D21" s="789">
        <f ca="1">ROUND(D19*10000/L19,0)</f>
        <v>12882</v>
      </c>
      <c r="E21" s="1002"/>
      <c r="F21" s="2433" t="s">
        <v>2151</v>
      </c>
      <c r="G21" s="149">
        <f ca="1">ROUND(G19*10000/L19,0)</f>
        <v>9740</v>
      </c>
      <c r="H21" s="2434" t="s">
        <v>2150</v>
      </c>
      <c r="I21" s="138"/>
    </row>
    <row r="22" spans="1:35" ht="15" thickBot="1">
      <c r="A22" s="2277" t="s">
        <v>2152</v>
      </c>
      <c r="B22" s="2435"/>
      <c r="C22" s="2436"/>
      <c r="D22" s="790">
        <f ca="1">IF(C19&lt;D19,D19/C19-1,C19/D19-1)</f>
        <v>4.3621013133208253</v>
      </c>
      <c r="E22" s="138"/>
      <c r="F22" s="138"/>
      <c r="G22" s="138"/>
      <c r="H22" s="138"/>
      <c r="I22" s="138"/>
    </row>
    <row r="23" spans="1:35" ht="13.5" thickBot="1">
      <c r="A23" s="2414"/>
      <c r="B23" s="2414"/>
      <c r="C23" s="2414"/>
      <c r="D23" s="2414"/>
      <c r="E23" s="138"/>
      <c r="F23" s="138"/>
      <c r="G23" s="138"/>
      <c r="H23" s="138"/>
      <c r="I23" s="138"/>
    </row>
    <row r="24" spans="1:35" ht="14.25">
      <c r="A24" s="3177" t="s">
        <v>2153</v>
      </c>
      <c r="B24" s="2430" t="s">
        <v>2145</v>
      </c>
      <c r="C24" s="145">
        <f>IF(B30=0,0,D30)</f>
        <v>0</v>
      </c>
      <c r="D24" s="2437"/>
      <c r="E24" s="138"/>
      <c r="F24" s="138"/>
      <c r="G24" s="138"/>
      <c r="H24" s="138"/>
      <c r="I24" s="138"/>
    </row>
    <row r="25" spans="1:35" ht="14.25">
      <c r="A25" s="3178"/>
      <c r="B25" s="1249" t="s">
        <v>2149</v>
      </c>
      <c r="C25" s="150">
        <f>IF(B30=0,0,C30)</f>
        <v>0</v>
      </c>
      <c r="D25" s="2438"/>
      <c r="E25" s="138"/>
      <c r="F25" s="138"/>
      <c r="G25" s="138"/>
      <c r="H25" s="138"/>
      <c r="I25" s="138"/>
    </row>
    <row r="26" spans="1:35" ht="13.5" customHeight="1">
      <c r="A26" s="2439" t="s">
        <v>2154</v>
      </c>
      <c r="B26" s="151" t="s">
        <v>2155</v>
      </c>
      <c r="C26" s="151" t="s">
        <v>2156</v>
      </c>
      <c r="D26" s="152" t="s">
        <v>2157</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3" t="s">
        <v>2158</v>
      </c>
      <c r="B30" s="153">
        <f>SUM(B27:B29)</f>
        <v>0</v>
      </c>
      <c r="C30" s="153" t="e">
        <f>ROUND(D30*10000/B30,0)</f>
        <v>#DIV/0!</v>
      </c>
      <c r="D30" s="153">
        <f>SUM(D27:D29)</f>
        <v>0</v>
      </c>
      <c r="E30" s="138"/>
      <c r="F30" s="138"/>
      <c r="G30" s="138"/>
      <c r="H30" s="138"/>
      <c r="I30" s="138"/>
    </row>
    <row r="31" spans="1:35" s="2441" customFormat="1" ht="15" thickBot="1">
      <c r="A31" s="2440"/>
      <c r="B31" s="2440"/>
      <c r="C31" s="2440"/>
      <c r="D31" s="2440"/>
      <c r="E31" s="138"/>
      <c r="F31" s="138"/>
      <c r="G31" s="138"/>
      <c r="H31" s="138"/>
      <c r="I31" s="138"/>
      <c r="J31" s="794"/>
      <c r="K31" s="794"/>
      <c r="L31" s="794"/>
      <c r="M31" s="794"/>
      <c r="N31" s="794"/>
      <c r="O31" s="794"/>
      <c r="P31" s="794"/>
      <c r="Q31" s="794"/>
      <c r="R31" s="794"/>
      <c r="S31" s="794"/>
      <c r="T31" s="794"/>
      <c r="U31" s="794"/>
      <c r="V31" s="794"/>
      <c r="W31" s="794"/>
      <c r="X31" s="794"/>
      <c r="Y31" s="794"/>
      <c r="Z31" s="794"/>
      <c r="AA31" s="2419"/>
      <c r="AB31" s="2419"/>
      <c r="AC31" s="2419"/>
      <c r="AD31" s="2419"/>
      <c r="AE31" s="2419"/>
      <c r="AF31" s="2419"/>
      <c r="AG31" s="2419"/>
      <c r="AH31" s="2419"/>
      <c r="AI31" s="2419"/>
    </row>
    <row r="32" spans="1:35" ht="15.75" thickBot="1">
      <c r="A32" s="2442" t="s">
        <v>2159</v>
      </c>
      <c r="B32" s="2443"/>
      <c r="C32" s="154">
        <f ca="1">IF(D32="总价",G19-C24,G20-C25)</f>
        <v>2161</v>
      </c>
      <c r="D32" s="2444" t="s">
        <v>2160</v>
      </c>
      <c r="E32" s="138"/>
      <c r="F32" s="138"/>
      <c r="G32" s="138"/>
      <c r="H32" s="138"/>
      <c r="I32" s="138"/>
    </row>
    <row r="33" spans="1:15" ht="15">
      <c r="A33" s="959" t="s">
        <v>2161</v>
      </c>
      <c r="B33" s="2445"/>
      <c r="C33" s="2446" t="s">
        <v>3193</v>
      </c>
      <c r="D33" s="2447" t="s">
        <v>3109</v>
      </c>
      <c r="E33" s="2448" t="s">
        <v>2162</v>
      </c>
      <c r="F33" s="2449" t="str">
        <f>IF(D32="楼面单价","取值（单价）","取值（总价）")</f>
        <v>取值（总价）</v>
      </c>
      <c r="G33" s="138"/>
      <c r="H33" s="138"/>
      <c r="I33" s="138"/>
    </row>
    <row r="34" spans="1:15" ht="15">
      <c r="A34" s="2450"/>
      <c r="B34" s="2451" t="s">
        <v>2163</v>
      </c>
      <c r="C34" s="158">
        <f ca="1">IF(C33="自定义",F34,C32-C35)</f>
        <v>873</v>
      </c>
      <c r="D34" s="1057">
        <f ca="1">IF(C33="自定义",ROUND(C34/C32,3),IF(C33="收益比率",SUMIF(INDIRECT("'"&amp;D33&amp;"'"&amp;"!b:b"),"土地收益比率",INDIRECT("'"&amp;D33&amp;"'"&amp;"!c:c")),SUMIF(INDIRECT("'"&amp;D33&amp;"'"&amp;"!b:b"),"土地成本比率",INDIRECT("'"&amp;D33&amp;"'"&amp;"!c:c"))))</f>
        <v>0.40400000000000003</v>
      </c>
      <c r="E34" s="2452" t="s">
        <v>2164</v>
      </c>
      <c r="F34" s="1739"/>
      <c r="G34" s="138"/>
      <c r="H34" s="138"/>
      <c r="I34" s="138"/>
    </row>
    <row r="35" spans="1:15" ht="15.75" thickBot="1">
      <c r="A35" s="2453"/>
      <c r="B35" s="2454" t="s">
        <v>2165</v>
      </c>
      <c r="C35" s="1443">
        <f ca="1">IF(C33="自定义",F35,ROUND(C32*D35,0))</f>
        <v>1288</v>
      </c>
      <c r="D35" s="1444">
        <f ca="1">IF(C33="自定义",ROUND(C35/C32,3),IF(C33="收益比率",SUMIF(INDIRECT("'"&amp;D33&amp;"'"&amp;"!b:b"),"建筑物收益比率",INDIRECT("'"&amp;D33&amp;"'"&amp;"!c:c")),SUMIF(INDIRECT("'"&amp;D33&amp;"'"&amp;"!b:b"),"建筑物成本比率",INDIRECT("'"&amp;D33&amp;"'"&amp;"!c:c"))))</f>
        <v>0.59599999999999997</v>
      </c>
      <c r="E35" s="2455" t="s">
        <v>2166</v>
      </c>
      <c r="F35" s="164"/>
      <c r="G35" s="138"/>
      <c r="H35" s="138"/>
      <c r="I35" s="138"/>
    </row>
    <row r="36" spans="1:15" ht="15.75" hidden="1" thickBot="1">
      <c r="A36" s="3195" t="s">
        <v>2167</v>
      </c>
      <c r="B36" s="2456" t="s">
        <v>2168</v>
      </c>
      <c r="C36" s="155"/>
      <c r="D36" s="2457"/>
      <c r="E36" s="2458"/>
      <c r="F36" s="2459"/>
      <c r="G36" s="138"/>
      <c r="H36" s="138"/>
      <c r="I36" s="138"/>
    </row>
    <row r="37" spans="1:15" ht="15.75" hidden="1" thickBot="1">
      <c r="A37" s="3196"/>
      <c r="B37" s="2263" t="s">
        <v>2169</v>
      </c>
      <c r="C37" s="157"/>
      <c r="D37" s="1394"/>
      <c r="E37" s="1394"/>
      <c r="F37" s="2459"/>
      <c r="G37" s="138"/>
      <c r="H37" s="138"/>
      <c r="I37" s="138"/>
    </row>
    <row r="38" spans="1:15" ht="15.75" hidden="1" thickBot="1">
      <c r="A38" s="3197"/>
      <c r="B38" s="2460" t="s">
        <v>2170</v>
      </c>
      <c r="C38" s="726"/>
      <c r="D38" s="2461" t="s">
        <v>2171</v>
      </c>
      <c r="E38" s="1394"/>
      <c r="F38" s="2459"/>
      <c r="G38" s="138"/>
      <c r="H38" s="138"/>
      <c r="I38" s="138"/>
    </row>
    <row r="39" spans="1:15" ht="15" hidden="1">
      <c r="A39" s="2432" t="s">
        <v>2172</v>
      </c>
      <c r="B39" s="2462" t="s">
        <v>2173</v>
      </c>
      <c r="C39" s="2463" t="s">
        <v>2174</v>
      </c>
      <c r="D39" s="2463" t="s">
        <v>2175</v>
      </c>
      <c r="E39" s="2464" t="s">
        <v>2176</v>
      </c>
      <c r="F39" s="2459"/>
      <c r="G39" s="138"/>
      <c r="H39" s="138"/>
      <c r="I39" s="138"/>
    </row>
    <row r="40" spans="1:15" ht="14.25" hidden="1">
      <c r="A40" s="2465" t="s">
        <v>2177</v>
      </c>
      <c r="B40" s="159"/>
      <c r="C40" s="160"/>
      <c r="D40" s="160"/>
      <c r="E40" s="161"/>
      <c r="F40" s="2459"/>
      <c r="G40" s="138"/>
      <c r="H40" s="138"/>
      <c r="I40" s="138"/>
    </row>
    <row r="41" spans="1:15" ht="14.25" hidden="1">
      <c r="A41" s="2465" t="s">
        <v>2178</v>
      </c>
      <c r="B41" s="159"/>
      <c r="C41" s="160"/>
      <c r="D41" s="160"/>
      <c r="E41" s="161"/>
      <c r="F41" s="2459"/>
      <c r="G41" s="138"/>
      <c r="H41" s="138"/>
      <c r="I41" s="138"/>
    </row>
    <row r="42" spans="1:15" ht="15" hidden="1" thickBot="1">
      <c r="A42" s="2466"/>
      <c r="B42" s="162"/>
      <c r="C42" s="163"/>
      <c r="D42" s="163"/>
      <c r="E42" s="164"/>
      <c r="F42" s="2459"/>
      <c r="G42" s="138"/>
      <c r="H42" s="138"/>
      <c r="I42" s="138"/>
    </row>
    <row r="43" spans="1:15" ht="12.75" hidden="1">
      <c r="A43" s="2162"/>
      <c r="B43" s="2162"/>
      <c r="C43" s="2162"/>
      <c r="D43" s="2162"/>
      <c r="E43" s="2162"/>
      <c r="F43" s="2467"/>
      <c r="G43" s="2467"/>
      <c r="H43" s="2467"/>
      <c r="I43" s="2468"/>
    </row>
    <row r="44" spans="1:15" ht="18.75" hidden="1">
      <c r="A44" s="2469" t="s">
        <v>2179</v>
      </c>
      <c r="B44" s="2470"/>
      <c r="C44" s="2470"/>
      <c r="D44" s="2471"/>
      <c r="E44" s="2471"/>
      <c r="F44" s="2472"/>
      <c r="G44" s="2472"/>
      <c r="H44" s="2472"/>
      <c r="I44" s="2472"/>
      <c r="J44" s="2473" t="s">
        <v>2180</v>
      </c>
      <c r="K44" s="2474"/>
      <c r="L44" s="2474"/>
      <c r="M44" s="2474"/>
      <c r="N44" s="2474"/>
      <c r="O44" s="2474"/>
    </row>
    <row r="45" spans="1:15" ht="14.25" hidden="1" customHeight="1" thickBot="1">
      <c r="A45" s="3174" t="s">
        <v>2181</v>
      </c>
      <c r="B45" s="3175"/>
      <c r="C45" s="3176"/>
      <c r="D45" s="165">
        <f ca="1">ROUND(H101*F45,0)</f>
        <v>2161</v>
      </c>
      <c r="E45" s="166" t="s">
        <v>2182</v>
      </c>
      <c r="F45" s="167">
        <v>1</v>
      </c>
      <c r="G45" s="168" t="s">
        <v>2183</v>
      </c>
      <c r="H45" s="138"/>
      <c r="I45" s="138"/>
      <c r="J45" s="3234" t="s">
        <v>2184</v>
      </c>
      <c r="K45" s="3234"/>
      <c r="L45" s="3234"/>
      <c r="M45" s="3234"/>
      <c r="N45" s="3234"/>
      <c r="O45" s="3234"/>
    </row>
    <row r="46" spans="1:15" ht="14.25" hidden="1" customHeight="1">
      <c r="A46" s="3171" t="s">
        <v>2185</v>
      </c>
      <c r="B46" s="3172"/>
      <c r="C46" s="3172"/>
      <c r="D46" s="3172"/>
      <c r="E46" s="3172"/>
      <c r="F46" s="3172"/>
      <c r="G46" s="3173"/>
      <c r="H46" s="2475"/>
      <c r="I46" s="169"/>
      <c r="J46" s="1812">
        <v>1</v>
      </c>
      <c r="K46" s="3234" t="s">
        <v>2186</v>
      </c>
      <c r="L46" s="3234"/>
      <c r="M46" s="3254"/>
      <c r="N46" s="3254"/>
      <c r="O46" s="3254"/>
    </row>
    <row r="47" spans="1:15" ht="12" hidden="1" customHeight="1">
      <c r="A47" s="170" t="s">
        <v>2187</v>
      </c>
      <c r="B47" s="171"/>
      <c r="C47" s="172"/>
      <c r="D47" s="173" t="s">
        <v>2188</v>
      </c>
      <c r="E47" s="24" t="s">
        <v>2189</v>
      </c>
      <c r="F47" s="174" t="s">
        <v>2190</v>
      </c>
      <c r="G47" s="175" t="s">
        <v>2191</v>
      </c>
      <c r="H47" s="2475"/>
      <c r="I47" s="169"/>
      <c r="J47" s="1812">
        <v>2</v>
      </c>
      <c r="K47" s="3234" t="s">
        <v>2192</v>
      </c>
      <c r="L47" s="3234"/>
      <c r="M47" s="3255">
        <f>'数据-取费表'!B2</f>
        <v>43049</v>
      </c>
      <c r="N47" s="3255"/>
      <c r="O47" s="3255"/>
    </row>
    <row r="48" spans="1:15" ht="25.5" hidden="1">
      <c r="A48" s="3202" t="s">
        <v>2193</v>
      </c>
      <c r="B48" s="3185"/>
      <c r="C48" s="3185"/>
      <c r="D48" s="140">
        <f>IF(H48="情况1",0,IF(H48="情况2",D52,IF(H48="情况3",D53,IF(H48="情况4",D54))))</f>
        <v>0</v>
      </c>
      <c r="E48" s="1801" t="str">
        <f>IF(H48="情况4","(销售额-原购置价)×税（费）率","销售额×税（费）率")</f>
        <v>销售额×税（费）率</v>
      </c>
      <c r="F48" s="176" t="str">
        <f>IF(H48="情况1","免征",'数据-取费表'!B41)</f>
        <v>免征</v>
      </c>
      <c r="G48" s="2476" t="s">
        <v>2194</v>
      </c>
      <c r="H48" s="2477" t="s">
        <v>2195</v>
      </c>
      <c r="I48" s="2475"/>
      <c r="J48" s="1812">
        <v>3</v>
      </c>
      <c r="K48" s="3234" t="s">
        <v>2196</v>
      </c>
      <c r="L48" s="3234"/>
      <c r="M48" s="3256">
        <f ca="1">H101</f>
        <v>2161</v>
      </c>
      <c r="N48" s="3256"/>
      <c r="O48" s="3256"/>
    </row>
    <row r="49" spans="1:35" ht="25.5" hidden="1" customHeight="1">
      <c r="A49" s="177" t="s">
        <v>2197</v>
      </c>
      <c r="B49" s="3170" t="s">
        <v>2198</v>
      </c>
      <c r="C49" s="3170"/>
      <c r="D49" s="178">
        <v>0</v>
      </c>
      <c r="E49" s="23" t="s">
        <v>2199</v>
      </c>
      <c r="F49" s="28" t="s">
        <v>34</v>
      </c>
      <c r="G49" s="3240"/>
      <c r="H49" s="138"/>
      <c r="I49" s="2478"/>
      <c r="J49" s="1812">
        <v>4</v>
      </c>
      <c r="K49" s="3234" t="str">
        <f>IF(项目基本情况!E8="房地产抵押价值","房地产抵押价值","抵押担保权已注销时的房地产抵押价值")</f>
        <v>房地产抵押价值</v>
      </c>
      <c r="L49" s="3234"/>
      <c r="M49" s="3256">
        <f ca="1">IF(项目基本情况!E8="房地产抵押价值",H107,H109)</f>
        <v>2161</v>
      </c>
      <c r="N49" s="3256"/>
      <c r="O49" s="3256"/>
    </row>
    <row r="50" spans="1:35" ht="25.5" hidden="1" customHeight="1">
      <c r="A50" s="179"/>
      <c r="B50" s="3170" t="s">
        <v>2200</v>
      </c>
      <c r="C50" s="3170"/>
      <c r="D50" s="180"/>
      <c r="E50" s="31"/>
      <c r="F50" s="181"/>
      <c r="G50" s="3241"/>
      <c r="H50" s="138"/>
      <c r="I50" s="2478"/>
      <c r="J50" s="3234" t="s">
        <v>2201</v>
      </c>
      <c r="K50" s="3234"/>
      <c r="L50" s="3234"/>
      <c r="M50" s="3234"/>
      <c r="N50" s="3234"/>
      <c r="O50" s="3234"/>
    </row>
    <row r="51" spans="1:35" ht="12" hidden="1" customHeight="1">
      <c r="A51" s="182"/>
      <c r="B51" s="3170" t="s">
        <v>2202</v>
      </c>
      <c r="C51" s="3170"/>
      <c r="D51" s="183"/>
      <c r="E51" s="30"/>
      <c r="F51" s="181"/>
      <c r="G51" s="3242"/>
      <c r="H51" s="138"/>
      <c r="I51" s="2478"/>
      <c r="J51" s="2479" t="s">
        <v>2203</v>
      </c>
      <c r="K51" s="3234" t="s">
        <v>2204</v>
      </c>
      <c r="L51" s="3234"/>
      <c r="M51" s="2479" t="s">
        <v>2205</v>
      </c>
      <c r="N51" s="2479" t="s">
        <v>2206</v>
      </c>
      <c r="O51" s="2479" t="s">
        <v>2207</v>
      </c>
    </row>
    <row r="52" spans="1:35" ht="24" hidden="1" customHeight="1">
      <c r="A52" s="184" t="s">
        <v>2208</v>
      </c>
      <c r="B52" s="3170" t="s">
        <v>2209</v>
      </c>
      <c r="C52" s="3170"/>
      <c r="D52" s="183">
        <f ca="1">ROUND(D45*'数据-取费表'!B41/(1+'数据-取费表'!C42),0)</f>
        <v>126</v>
      </c>
      <c r="E52" s="11" t="s">
        <v>2210</v>
      </c>
      <c r="F52" s="185">
        <f>'数据-取费表'!B41</f>
        <v>6.1600000000000002E-2</v>
      </c>
      <c r="G52" s="2480"/>
      <c r="H52" s="138"/>
      <c r="I52" s="2478"/>
      <c r="J52" s="1812">
        <v>1</v>
      </c>
      <c r="K52" s="3235" t="s">
        <v>2211</v>
      </c>
      <c r="L52" s="3235"/>
      <c r="M52" s="1754">
        <f>D48</f>
        <v>0</v>
      </c>
      <c r="N52" s="1812" t="str">
        <f>E48</f>
        <v>销售额×税（费）率</v>
      </c>
      <c r="O52" s="1755" t="str">
        <f>F48</f>
        <v>免征</v>
      </c>
    </row>
    <row r="53" spans="1:35" ht="12" hidden="1" customHeight="1">
      <c r="A53" s="184" t="s">
        <v>2212</v>
      </c>
      <c r="B53" s="3193" t="s">
        <v>2213</v>
      </c>
      <c r="C53" s="3194"/>
      <c r="D53" s="183">
        <f ca="1">ROUND(D45*'数据-取费表'!B41/(1+'数据-取费表'!C42),0)</f>
        <v>126</v>
      </c>
      <c r="E53" s="11" t="s">
        <v>2210</v>
      </c>
      <c r="F53" s="185">
        <f>'数据-取费表'!B41</f>
        <v>6.1600000000000002E-2</v>
      </c>
      <c r="G53" s="2480"/>
      <c r="H53" s="138"/>
      <c r="I53" s="2478"/>
      <c r="J53" s="1812">
        <v>2</v>
      </c>
      <c r="K53" s="3235" t="s">
        <v>2214</v>
      </c>
      <c r="L53" s="3235"/>
      <c r="M53" s="1754">
        <f t="shared" ref="M53:O54" ca="1" si="0">D55</f>
        <v>1</v>
      </c>
      <c r="N53" s="1812" t="str">
        <f t="shared" si="0"/>
        <v>销售额×税（费）率</v>
      </c>
      <c r="O53" s="1755">
        <f t="shared" si="0"/>
        <v>5.0000000000000001E-4</v>
      </c>
    </row>
    <row r="54" spans="1:35" ht="12" hidden="1" customHeight="1">
      <c r="A54" s="184" t="s">
        <v>2215</v>
      </c>
      <c r="B54" s="3193" t="s">
        <v>2216</v>
      </c>
      <c r="C54" s="3194"/>
      <c r="D54" s="183">
        <f ca="1">C68</f>
        <v>126</v>
      </c>
      <c r="E54" s="30" t="s">
        <v>2217</v>
      </c>
      <c r="F54" s="185">
        <f>'数据-取费表'!B41</f>
        <v>6.1600000000000002E-2</v>
      </c>
      <c r="G54" s="2480"/>
      <c r="H54" s="2481"/>
      <c r="I54" s="2478"/>
      <c r="J54" s="1812">
        <v>3</v>
      </c>
      <c r="K54" s="3235" t="s">
        <v>2218</v>
      </c>
      <c r="L54" s="3235"/>
      <c r="M54" s="1754">
        <f t="shared" ca="1" si="0"/>
        <v>1217</v>
      </c>
      <c r="N54" s="1812" t="str">
        <f t="shared" si="0"/>
        <v>增值额×税（费）率</v>
      </c>
      <c r="O54" s="1756" t="str">
        <f t="shared" si="0"/>
        <v>——</v>
      </c>
    </row>
    <row r="55" spans="1:35" ht="24" hidden="1" customHeight="1">
      <c r="A55" s="3184" t="s">
        <v>2219</v>
      </c>
      <c r="B55" s="3185"/>
      <c r="C55" s="3185"/>
      <c r="D55" s="186">
        <f ca="1">IF(H55="个人住宅",0,ROUND(D45*I55,0))</f>
        <v>1</v>
      </c>
      <c r="E55" s="11" t="s">
        <v>2220</v>
      </c>
      <c r="F55" s="185">
        <f>IF(H55="正常",I55,"免征")</f>
        <v>5.0000000000000001E-4</v>
      </c>
      <c r="G55" s="2480"/>
      <c r="H55" s="2477" t="s">
        <v>2221</v>
      </c>
      <c r="I55" s="187">
        <f>'数据-取费表'!B49</f>
        <v>5.0000000000000001E-4</v>
      </c>
      <c r="J55" s="1812" t="str">
        <f>IF(H59="非个人房产","",4)</f>
        <v/>
      </c>
      <c r="K55" s="3235" t="str">
        <f>IF(H59="非个人房产","——","个人所得税")</f>
        <v>——</v>
      </c>
      <c r="L55" s="3235"/>
      <c r="M55" s="1757" t="str">
        <f>D59</f>
        <v>——</v>
      </c>
      <c r="N55" s="1810" t="str">
        <f>E59</f>
        <v>——</v>
      </c>
      <c r="O55" s="1758" t="str">
        <f>F59</f>
        <v>——</v>
      </c>
    </row>
    <row r="56" spans="1:35" ht="24.75" hidden="1">
      <c r="A56" s="3184" t="s">
        <v>2222</v>
      </c>
      <c r="B56" s="3185"/>
      <c r="C56" s="3185"/>
      <c r="D56" s="186">
        <f ca="1">IF(H56="个人住宅",D57,D58)</f>
        <v>1217</v>
      </c>
      <c r="E56" s="11" t="s">
        <v>2223</v>
      </c>
      <c r="F56" s="185" t="str">
        <f>IF(H56="正常",F58,"免征")</f>
        <v>——</v>
      </c>
      <c r="G56" s="2482" t="s">
        <v>2224</v>
      </c>
      <c r="H56" s="2483" t="s">
        <v>2221</v>
      </c>
      <c r="I56" s="2484"/>
      <c r="J56" s="1812" t="str">
        <f>IF(项目基本情况!K6="上海银行",IF(J55="",4,J55+1),"")</f>
        <v/>
      </c>
      <c r="K56" s="3258" t="str">
        <f>IF(项目基本情况!K6="上海银行","其他处置费用","")</f>
        <v/>
      </c>
      <c r="L56" s="3259"/>
      <c r="M56" s="1754" t="str">
        <f>IF(项目基本情况!K6="上海银行",M69,"")</f>
        <v/>
      </c>
      <c r="N56" s="3261" t="str">
        <f>IF(项目基本情况!K6="上海银行","包含处置中涉及的律师、诉讼、拍卖、评估等费用","")</f>
        <v/>
      </c>
      <c r="O56" s="3262"/>
    </row>
    <row r="57" spans="1:35" ht="12.75" hidden="1">
      <c r="A57" s="184" t="s">
        <v>2197</v>
      </c>
      <c r="B57" s="3200" t="s">
        <v>2225</v>
      </c>
      <c r="C57" s="3209"/>
      <c r="D57" s="188">
        <v>0</v>
      </c>
      <c r="E57" s="23" t="s">
        <v>2199</v>
      </c>
      <c r="F57" s="156"/>
      <c r="G57" s="2480"/>
      <c r="H57" s="2484"/>
      <c r="I57" s="2484"/>
      <c r="J57" s="3235">
        <f>IF(AND(J55="",J56=""),4,IF(项目基本情况!K6="上海银行",结果表!J56+1,结果表!J55+1))</f>
        <v>4</v>
      </c>
      <c r="K57" s="3235" t="s">
        <v>2226</v>
      </c>
      <c r="L57" s="2485" t="s">
        <v>2227</v>
      </c>
      <c r="M57" s="1759"/>
      <c r="N57" s="1760">
        <f ca="1">SUMIF(M52:M56,"&lt;9e307")</f>
        <v>1218</v>
      </c>
      <c r="O57" s="2486"/>
      <c r="P57" s="1753">
        <f ca="1">N57/M49</f>
        <v>0.56362795002313748</v>
      </c>
    </row>
    <row r="58" spans="1:35" ht="24.75" hidden="1">
      <c r="A58" s="184" t="s">
        <v>2208</v>
      </c>
      <c r="B58" s="3200" t="s">
        <v>2228</v>
      </c>
      <c r="C58" s="3201"/>
      <c r="D58" s="186">
        <f ca="1">IF(H58="转让取得",C81,C97)</f>
        <v>1217</v>
      </c>
      <c r="E58" s="11" t="s">
        <v>2223</v>
      </c>
      <c r="F58" s="24" t="s">
        <v>34</v>
      </c>
      <c r="G58" s="2480"/>
      <c r="H58" s="2483" t="s">
        <v>2229</v>
      </c>
      <c r="I58" s="2484"/>
      <c r="J58" s="3235"/>
      <c r="K58" s="3235"/>
      <c r="L58" s="2485" t="s">
        <v>2230</v>
      </c>
      <c r="M58" s="1761"/>
      <c r="N58" s="2487" t="str">
        <f ca="1">NUMBERSTRING(INT(N57*10000),2)&amp;"元整"</f>
        <v>壹仟贰佰壹拾捌万元整</v>
      </c>
      <c r="O58" s="2488"/>
    </row>
    <row r="59" spans="1:35" ht="24.75" hidden="1" thickBot="1">
      <c r="A59" s="3238" t="s">
        <v>2231</v>
      </c>
      <c r="B59" s="3239"/>
      <c r="C59" s="3239"/>
      <c r="D59" s="189" t="str">
        <f>IF(H59="非个人房产","——",IF(H59="个人住宅",0,ROUND(D45*I59,0)))</f>
        <v>——</v>
      </c>
      <c r="E59" s="190" t="str">
        <f>IF(H59="非个人房产","——","销售额×税（费）率")</f>
        <v>——</v>
      </c>
      <c r="F59" s="191" t="str">
        <f>IF(H59="非个人房产","——",IF(H59="个人住宅","免征",I59))</f>
        <v>——</v>
      </c>
      <c r="G59" s="2489" t="s">
        <v>2224</v>
      </c>
      <c r="H59" s="2483" t="s">
        <v>2232</v>
      </c>
      <c r="I59" s="192">
        <v>0.01</v>
      </c>
      <c r="J59" s="3236">
        <f>J57+1</f>
        <v>5</v>
      </c>
      <c r="K59" s="3235" t="s">
        <v>2233</v>
      </c>
      <c r="L59" s="1812" t="s">
        <v>2227</v>
      </c>
      <c r="M59" s="1762"/>
      <c r="N59" s="1763">
        <f ca="1">M49-N57</f>
        <v>943</v>
      </c>
      <c r="O59" s="2490"/>
    </row>
    <row r="60" spans="1:35" ht="12" hidden="1" customHeight="1">
      <c r="A60" s="2491"/>
      <c r="B60" s="2414"/>
      <c r="C60" s="2414"/>
      <c r="D60" s="2414"/>
      <c r="E60" s="2163"/>
      <c r="F60" s="2484"/>
      <c r="G60" s="2484"/>
      <c r="H60" s="2492"/>
      <c r="I60" s="138"/>
      <c r="J60" s="3237"/>
      <c r="K60" s="3235"/>
      <c r="L60" s="2485" t="s">
        <v>2230</v>
      </c>
      <c r="M60" s="1761"/>
      <c r="N60" s="2487" t="str">
        <f ca="1">NUMBERSTRING(INT(N59*10000),2)&amp;"元整"</f>
        <v>玖佰肆拾叁万元整</v>
      </c>
      <c r="O60" s="2488"/>
    </row>
    <row r="61" spans="1:35" ht="13.5" hidden="1" thickBot="1">
      <c r="A61" s="3182" t="s">
        <v>2234</v>
      </c>
      <c r="B61" s="3182"/>
      <c r="C61" s="3182"/>
      <c r="D61" s="3182"/>
      <c r="E61" s="3182"/>
      <c r="F61" s="2484"/>
      <c r="G61" s="2484"/>
      <c r="H61" s="2492"/>
      <c r="I61" s="138"/>
      <c r="J61" s="1812">
        <f>J59+1</f>
        <v>6</v>
      </c>
      <c r="K61" s="3235" t="s">
        <v>2235</v>
      </c>
      <c r="L61" s="3235"/>
      <c r="M61" s="1764"/>
      <c r="N61" s="1765">
        <f ca="1">ROUND(N59*10000/'数据-汇总表'!E3,0)</f>
        <v>1214</v>
      </c>
      <c r="O61" s="2493"/>
    </row>
    <row r="62" spans="1:35" ht="12.75" hidden="1">
      <c r="A62" s="3198" t="s">
        <v>2236</v>
      </c>
      <c r="B62" s="3199"/>
      <c r="C62" s="1804"/>
      <c r="D62" s="1804" t="s">
        <v>2237</v>
      </c>
      <c r="E62" s="193" t="s">
        <v>2238</v>
      </c>
      <c r="F62" s="2484"/>
      <c r="G62" s="2484"/>
      <c r="H62" s="2492"/>
      <c r="I62" s="138"/>
    </row>
    <row r="63" spans="1:35" ht="12.75" hidden="1">
      <c r="A63" s="204" t="s">
        <v>775</v>
      </c>
      <c r="B63" s="194" t="s">
        <v>2239</v>
      </c>
      <c r="C63" s="195">
        <f ca="1">ROUND((C64+C65)/(1+'数据-取费表'!C42),0)</f>
        <v>2046</v>
      </c>
      <c r="D63" s="196"/>
      <c r="E63" s="197"/>
      <c r="F63" s="2484"/>
      <c r="G63" s="2484"/>
      <c r="H63" s="2492"/>
      <c r="I63" s="138"/>
      <c r="J63" s="3260" t="s">
        <v>2240</v>
      </c>
      <c r="K63" s="2494" t="s">
        <v>2241</v>
      </c>
      <c r="L63" s="1752">
        <f ca="1">IF(M49&gt;10000,M49*0.5%,IF(AND(M49&gt;1000,M49&lt;=10000),M49*1%,IF(AND(M49&gt;100,M49&lt;=1000),M49*3%,IF(AND(M49&gt;10,M49&lt;=100),M49*5%,M49*8%))))</f>
        <v>21.61</v>
      </c>
      <c r="M63" s="24">
        <f ca="1">ROUND(L63,1)</f>
        <v>21.6</v>
      </c>
      <c r="Z63" s="2419"/>
      <c r="AI63" s="2420"/>
    </row>
    <row r="64" spans="1:35" ht="14.25" hidden="1" customHeight="1">
      <c r="A64" s="198" t="s">
        <v>770</v>
      </c>
      <c r="B64" s="199" t="s">
        <v>2242</v>
      </c>
      <c r="C64" s="200">
        <f ca="1">D45</f>
        <v>2161</v>
      </c>
      <c r="D64" s="201" t="s">
        <v>32</v>
      </c>
      <c r="E64" s="202"/>
      <c r="F64" s="2484"/>
      <c r="G64" s="2484"/>
      <c r="H64" s="2492"/>
      <c r="I64" s="138"/>
      <c r="J64" s="3260"/>
      <c r="K64" s="2494" t="s">
        <v>2243</v>
      </c>
      <c r="L64" s="1752">
        <f ca="1">IF(M49&gt;2000,M49*0.5%,IF(AND(M49&gt;1000,M49&lt;=2000),M49*0.6%,IF(AND(M49&gt;500,M49&lt;=1000),M49*0.7%,IF(AND(M49&gt;200,M49&lt;=500),M49*0.8%,IF(AND(M49&gt;100,M49&lt;=200),M49*0.9%,IF(AND(M49&gt;50,M49&lt;=100),M49*1%,IF(AND(M49&gt;20,M49&lt;=50),M49*1.5%,IF(AND(M49&gt;10,M49&lt;=20),M49*2%,IF(AND(M49&gt;1,M49&lt;=10),M49*2.5%)))))))))</f>
        <v>10.805</v>
      </c>
      <c r="M64" s="24">
        <f t="shared" ref="M64:M65" ca="1" si="1">ROUND(L64,1)</f>
        <v>10.8</v>
      </c>
      <c r="N64" s="138" t="s">
        <v>2244</v>
      </c>
      <c r="Z64" s="2419"/>
      <c r="AI64" s="2420"/>
    </row>
    <row r="65" spans="1:35" ht="14.25" hidden="1" customHeight="1">
      <c r="A65" s="198" t="s">
        <v>771</v>
      </c>
      <c r="B65" s="199" t="s">
        <v>2245</v>
      </c>
      <c r="C65" s="203"/>
      <c r="D65" s="201"/>
      <c r="E65" s="202"/>
      <c r="F65" s="2484"/>
      <c r="G65" s="2484"/>
      <c r="H65" s="2492"/>
      <c r="I65" s="138"/>
      <c r="J65" s="3260"/>
      <c r="K65" s="2494" t="s">
        <v>2246</v>
      </c>
      <c r="L65" s="1752">
        <f ca="1">IF(M49&gt;1000,M49*0.1%,IF(AND(M49&gt;500,M49&lt;=1000),M49*0.5%,IF(AND(M49&gt;50,M49&lt;=500),M49*1%,IF(AND(M49&gt;1,M49&lt;=50),M49*1.5%))))</f>
        <v>2.161</v>
      </c>
      <c r="M65" s="24">
        <f t="shared" ca="1" si="1"/>
        <v>2.2000000000000002</v>
      </c>
      <c r="N65" s="138" t="s">
        <v>2244</v>
      </c>
      <c r="Z65" s="2419"/>
      <c r="AI65" s="2420"/>
    </row>
    <row r="66" spans="1:35" ht="14.25" hidden="1" customHeight="1">
      <c r="A66" s="204" t="s">
        <v>772</v>
      </c>
      <c r="B66" s="205" t="s">
        <v>2247</v>
      </c>
      <c r="C66" s="206"/>
      <c r="D66" s="207" t="s">
        <v>32</v>
      </c>
      <c r="E66" s="1776" t="s">
        <v>1372</v>
      </c>
      <c r="F66" s="2484"/>
      <c r="G66" s="2484"/>
      <c r="H66" s="2492"/>
      <c r="I66" s="138"/>
      <c r="J66" s="3260"/>
      <c r="K66" s="2494" t="s">
        <v>2248</v>
      </c>
      <c r="L66" s="1752">
        <f ca="1">M49*0.5%</f>
        <v>10.805</v>
      </c>
      <c r="M66" s="24">
        <f ca="1">IF(L66&gt;0.5,0.5,ROUND(L66,0))</f>
        <v>0.5</v>
      </c>
      <c r="N66" s="138" t="s">
        <v>2249</v>
      </c>
      <c r="Z66" s="2419"/>
      <c r="AI66" s="2420"/>
    </row>
    <row r="67" spans="1:35" ht="14.25" hidden="1" customHeight="1">
      <c r="A67" s="204" t="s">
        <v>773</v>
      </c>
      <c r="B67" s="205" t="s">
        <v>2250</v>
      </c>
      <c r="C67" s="208">
        <f ca="1">C63-C66</f>
        <v>2046</v>
      </c>
      <c r="D67" s="201" t="s">
        <v>32</v>
      </c>
      <c r="E67" s="202"/>
      <c r="F67" s="2484"/>
      <c r="G67" s="2484"/>
      <c r="H67" s="2492"/>
      <c r="I67" s="138"/>
      <c r="J67" s="3260"/>
      <c r="K67" s="2494" t="s">
        <v>2251</v>
      </c>
      <c r="L67" s="1752">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9"/>
      <c r="AI67" s="2420"/>
    </row>
    <row r="68" spans="1:35" ht="14.25" hidden="1" customHeight="1" thickBot="1">
      <c r="A68" s="209" t="s">
        <v>774</v>
      </c>
      <c r="B68" s="210" t="s">
        <v>2252</v>
      </c>
      <c r="C68" s="211">
        <f ca="1">IF(C67&lt;=0,0,ROUND(C67*D68,0))</f>
        <v>126</v>
      </c>
      <c r="D68" s="212">
        <f>'数据-取费表'!B41</f>
        <v>6.1600000000000002E-2</v>
      </c>
      <c r="E68" s="213"/>
      <c r="F68" s="2484"/>
      <c r="G68" s="2484"/>
      <c r="H68" s="2492"/>
      <c r="I68" s="138"/>
      <c r="J68" s="3260"/>
      <c r="K68" s="2494" t="s">
        <v>2253</v>
      </c>
      <c r="L68" s="1752">
        <f ca="1">IF(M49&gt;10000,M49*0.5%,IF(AND(M49&gt;5000,M49&lt;=10000),M49*1%,IF(AND(M49&gt;1000,M49&lt;=5000),M49*2%,IF(AND(M49&gt;200,M49&lt;=1000),M49*3%,M49*5%))))</f>
        <v>43.22</v>
      </c>
      <c r="M68" s="24">
        <f ca="1">ROUND(L68,1)</f>
        <v>43.2</v>
      </c>
      <c r="Z68" s="2419"/>
      <c r="AI68" s="2420"/>
    </row>
    <row r="69" spans="1:35" s="2441" customFormat="1" ht="16.5" hidden="1" customHeight="1">
      <c r="A69" s="2495"/>
      <c r="B69" s="2496"/>
      <c r="C69" s="2497"/>
      <c r="D69" s="2498"/>
      <c r="E69" s="2499"/>
      <c r="F69" s="2163"/>
      <c r="G69" s="2163"/>
      <c r="H69" s="2162"/>
      <c r="I69" s="2414"/>
      <c r="J69" s="3260"/>
      <c r="K69" s="2494" t="s">
        <v>2254</v>
      </c>
      <c r="L69" s="2500"/>
      <c r="M69" s="24">
        <f ca="1">ROUND(SUM(M63:M68),0)</f>
        <v>81</v>
      </c>
      <c r="N69" s="1753">
        <f ca="1">M69/M49</f>
        <v>3.7482646922720964E-2</v>
      </c>
      <c r="O69" s="794"/>
      <c r="P69" s="794"/>
      <c r="Q69" s="794"/>
      <c r="R69" s="794"/>
      <c r="S69" s="794"/>
      <c r="T69" s="794"/>
      <c r="U69" s="794"/>
      <c r="V69" s="794"/>
      <c r="W69" s="794"/>
      <c r="X69" s="794"/>
      <c r="Y69" s="794"/>
      <c r="Z69" s="2419"/>
      <c r="AA69" s="2419"/>
      <c r="AB69" s="2419"/>
      <c r="AC69" s="2419"/>
      <c r="AD69" s="2419"/>
      <c r="AE69" s="2419"/>
      <c r="AF69" s="2419"/>
      <c r="AG69" s="2419"/>
      <c r="AH69" s="2419"/>
    </row>
    <row r="70" spans="1:35" s="2502" customFormat="1" ht="15" hidden="1" thickBot="1">
      <c r="A70" s="3219" t="s">
        <v>2255</v>
      </c>
      <c r="B70" s="3220"/>
      <c r="C70" s="3220"/>
      <c r="D70" s="3220"/>
      <c r="E70" s="3220"/>
      <c r="F70" s="3220"/>
      <c r="G70" s="3220"/>
      <c r="H70" s="3220"/>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hidden="1">
      <c r="A71" s="3198" t="s">
        <v>2236</v>
      </c>
      <c r="B71" s="3199"/>
      <c r="C71" s="1804"/>
      <c r="D71" s="1804" t="s">
        <v>2237</v>
      </c>
      <c r="E71" s="214" t="s">
        <v>2238</v>
      </c>
      <c r="F71" s="215"/>
      <c r="G71" s="215"/>
      <c r="H71" s="216"/>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hidden="1">
      <c r="A72" s="204" t="s">
        <v>775</v>
      </c>
      <c r="B72" s="205" t="s">
        <v>2256</v>
      </c>
      <c r="C72" s="208">
        <f ca="1">ROUND(D45/(1+'数据-取费表'!C42),0)</f>
        <v>2046</v>
      </c>
      <c r="D72" s="201" t="s">
        <v>32</v>
      </c>
      <c r="E72" s="1803"/>
      <c r="F72" s="1797"/>
      <c r="G72" s="1797"/>
      <c r="H72" s="217"/>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hidden="1">
      <c r="A73" s="204" t="s">
        <v>772</v>
      </c>
      <c r="B73" s="174" t="s">
        <v>2257</v>
      </c>
      <c r="C73" s="208">
        <f ca="1">C74+C78</f>
        <v>11</v>
      </c>
      <c r="D73" s="201" t="s">
        <v>32</v>
      </c>
      <c r="E73" s="1803"/>
      <c r="F73" s="1797"/>
      <c r="G73" s="1797"/>
      <c r="H73" s="217"/>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hidden="1">
      <c r="A74" s="218" t="s">
        <v>770</v>
      </c>
      <c r="B74" s="199" t="s">
        <v>2258</v>
      </c>
      <c r="C74" s="201">
        <f>ROUND(IF(G77="2016年5月1日后购买",C75/(1+'数据-取费表'!C42)+C76+C77,C75+C76+C77),0)</f>
        <v>0</v>
      </c>
      <c r="D74" s="201" t="s">
        <v>32</v>
      </c>
      <c r="E74" s="1803"/>
      <c r="F74" s="1797"/>
      <c r="G74" s="1797"/>
      <c r="H74" s="217"/>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hidden="1">
      <c r="A75" s="218" t="s">
        <v>776</v>
      </c>
      <c r="B75" s="199" t="s">
        <v>2259</v>
      </c>
      <c r="C75" s="219"/>
      <c r="D75" s="201" t="s">
        <v>32</v>
      </c>
      <c r="E75" s="220" t="s">
        <v>2260</v>
      </c>
      <c r="F75" s="2506" t="s">
        <v>2261</v>
      </c>
      <c r="G75" s="220" t="s">
        <v>2262</v>
      </c>
      <c r="H75" s="221"/>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hidden="1" customHeight="1">
      <c r="A76" s="218" t="s">
        <v>777</v>
      </c>
      <c r="B76" s="222" t="s">
        <v>2263</v>
      </c>
      <c r="C76" s="201">
        <f>IF(F75="购房发票",ROUND(C75*H75*D76,0),0)</f>
        <v>0</v>
      </c>
      <c r="D76" s="223">
        <v>0.05</v>
      </c>
      <c r="E76" s="3193" t="s">
        <v>2264</v>
      </c>
      <c r="F76" s="3170"/>
      <c r="G76" s="3170"/>
      <c r="H76" s="3218"/>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hidden="1" customHeight="1">
      <c r="A77" s="218" t="s">
        <v>778</v>
      </c>
      <c r="B77" s="199" t="s">
        <v>2265</v>
      </c>
      <c r="C77" s="201">
        <f>ROUND(IF(G77="个人住宅",0,IF(G77="2016年5月1日前购买",C75*D77,C75*D77/(1+'数据-取费表'!C42))),0)</f>
        <v>0</v>
      </c>
      <c r="D77" s="224">
        <f>'数据-取费表'!B48+'数据-取费表'!B49</f>
        <v>3.0499999999999999E-2</v>
      </c>
      <c r="E77" s="15" t="s">
        <v>2266</v>
      </c>
      <c r="F77" s="225"/>
      <c r="G77" s="2508" t="s">
        <v>2267</v>
      </c>
      <c r="H77" s="1808"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hidden="1" customHeight="1">
      <c r="A78" s="218" t="s">
        <v>771</v>
      </c>
      <c r="B78" s="199" t="s">
        <v>2268</v>
      </c>
      <c r="C78" s="226">
        <f ca="1">ROUND(D45*D78/(1+'数据-取费表'!C42),0)</f>
        <v>11</v>
      </c>
      <c r="D78" s="227">
        <f>'数据-取费表'!B43</f>
        <v>5.6000000000000008E-3</v>
      </c>
      <c r="E78" s="3179" t="s">
        <v>2269</v>
      </c>
      <c r="F78" s="3180"/>
      <c r="G78" s="3180"/>
      <c r="H78" s="3189"/>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hidden="1">
      <c r="A79" s="2510" t="s">
        <v>779</v>
      </c>
      <c r="B79" s="205" t="s">
        <v>2270</v>
      </c>
      <c r="C79" s="208">
        <f ca="1">C72-C73</f>
        <v>2035</v>
      </c>
      <c r="D79" s="201" t="s">
        <v>32</v>
      </c>
      <c r="E79" s="1803"/>
      <c r="F79" s="1797"/>
      <c r="G79" s="1797"/>
      <c r="H79" s="217"/>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hidden="1">
      <c r="A80" s="2510" t="s">
        <v>780</v>
      </c>
      <c r="B80" s="205" t="s">
        <v>2271</v>
      </c>
      <c r="C80" s="228">
        <f ca="1">IF(C79&lt;=0,0,C79/C73)</f>
        <v>185</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7"/>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hidden="1" thickBot="1">
      <c r="A81" s="2511" t="s">
        <v>781</v>
      </c>
      <c r="B81" s="210" t="s">
        <v>2272</v>
      </c>
      <c r="C81" s="229">
        <f ca="1">ROUND(IF(C79&lt;=0,0,IF(C80&gt;=200%,C79*60%-C73*35%,IF(C80&gt;=100%,C79*50%-C73*15%,IF(C80&gt;=50%,C79*40%-C73*5%,IF(C80&lt;50%,C79*30%,0))))),0)</f>
        <v>1217</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hidden="1"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hidden="1" thickBot="1">
      <c r="A83" s="3219" t="s">
        <v>2273</v>
      </c>
      <c r="B83" s="3220"/>
      <c r="C83" s="3220"/>
      <c r="D83" s="3220"/>
      <c r="E83" s="3220"/>
      <c r="F83" s="3220"/>
      <c r="G83" s="3220"/>
      <c r="H83" s="3220"/>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hidden="1">
      <c r="A84" s="3198" t="s">
        <v>2236</v>
      </c>
      <c r="B84" s="3199"/>
      <c r="C84" s="1804"/>
      <c r="D84" s="1804" t="s">
        <v>2237</v>
      </c>
      <c r="E84" s="214" t="s">
        <v>2238</v>
      </c>
      <c r="F84" s="215"/>
      <c r="G84" s="215"/>
      <c r="H84" s="234"/>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hidden="1">
      <c r="A85" s="204" t="s">
        <v>775</v>
      </c>
      <c r="B85" s="205" t="s">
        <v>2256</v>
      </c>
      <c r="C85" s="208">
        <f ca="1">ROUND(D45/(1+'数据-取费表'!C42),0)</f>
        <v>2046</v>
      </c>
      <c r="D85" s="201" t="s">
        <v>32</v>
      </c>
      <c r="E85" s="1803"/>
      <c r="F85" s="1797"/>
      <c r="G85" s="1797"/>
      <c r="H85" s="235"/>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hidden="1">
      <c r="A86" s="204" t="s">
        <v>772</v>
      </c>
      <c r="B86" s="174" t="s">
        <v>2257</v>
      </c>
      <c r="C86" s="208">
        <f ca="1">IF(H88="仅含出让金",C87+C90+C91+C92+C93+C94,C87+C91+C92+C93+C94)</f>
        <v>11</v>
      </c>
      <c r="D86" s="236"/>
      <c r="E86" s="1803"/>
      <c r="F86" s="1797"/>
      <c r="G86" s="1797"/>
      <c r="H86" s="235"/>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hidden="1">
      <c r="A87" s="218" t="s">
        <v>770</v>
      </c>
      <c r="B87" s="199" t="s">
        <v>2274</v>
      </c>
      <c r="C87" s="226">
        <f>C88+C89</f>
        <v>0</v>
      </c>
      <c r="D87" s="227"/>
      <c r="E87" s="1799"/>
      <c r="F87" s="1800"/>
      <c r="G87" s="1800"/>
      <c r="H87" s="1802"/>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hidden="1">
      <c r="A88" s="218" t="s">
        <v>776</v>
      </c>
      <c r="B88" s="199" t="s">
        <v>2275</v>
      </c>
      <c r="C88" s="237"/>
      <c r="D88" s="227"/>
      <c r="E88" s="238" t="s">
        <v>2276</v>
      </c>
      <c r="F88" s="1800"/>
      <c r="G88" s="239" t="s">
        <v>2277</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hidden="1">
      <c r="A89" s="218" t="s">
        <v>777</v>
      </c>
      <c r="B89" s="199" t="s">
        <v>2265</v>
      </c>
      <c r="C89" s="226">
        <f>ROUND(C88*D89,0)</f>
        <v>0</v>
      </c>
      <c r="D89" s="227">
        <f>'数据-取费表'!B48+'数据-取费表'!B49</f>
        <v>3.0499999999999999E-2</v>
      </c>
      <c r="E89" s="238" t="s">
        <v>2278</v>
      </c>
      <c r="F89" s="1800"/>
      <c r="G89" s="1800"/>
      <c r="H89" s="1802"/>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hidden="1">
      <c r="A90" s="218" t="s">
        <v>771</v>
      </c>
      <c r="B90" s="199" t="s">
        <v>2279</v>
      </c>
      <c r="C90" s="237"/>
      <c r="D90" s="227"/>
      <c r="E90" s="238" t="str">
        <f>IF(H88="-","土地取得成本中已包含该笔费用"," ")</f>
        <v xml:space="preserve"> </v>
      </c>
      <c r="F90" s="1800"/>
      <c r="G90" s="1800"/>
      <c r="H90" s="1802"/>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hidden="1" customHeight="1">
      <c r="A91" s="218" t="s">
        <v>2280</v>
      </c>
      <c r="B91" s="199" t="s">
        <v>2281</v>
      </c>
      <c r="C91" s="226">
        <f>IF(H91="——",成本法!C33,I91)</f>
        <v>0</v>
      </c>
      <c r="D91" s="227"/>
      <c r="E91" s="3179" t="s">
        <v>2282</v>
      </c>
      <c r="F91" s="3180"/>
      <c r="G91" s="3180"/>
      <c r="H91" s="2513" t="s">
        <v>2283</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hidden="1" customHeight="1">
      <c r="A92" s="218" t="s">
        <v>2284</v>
      </c>
      <c r="B92" s="199" t="s">
        <v>2285</v>
      </c>
      <c r="C92" s="226">
        <f>ROUND((C87+C90+C91)*D92,0)</f>
        <v>0</v>
      </c>
      <c r="D92" s="227">
        <v>0.1</v>
      </c>
      <c r="E92" s="3179" t="s">
        <v>2286</v>
      </c>
      <c r="F92" s="3180"/>
      <c r="G92" s="3180"/>
      <c r="H92" s="3189"/>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hidden="1" customHeight="1">
      <c r="A93" s="218" t="s">
        <v>2287</v>
      </c>
      <c r="B93" s="199" t="s">
        <v>2268</v>
      </c>
      <c r="C93" s="226">
        <f ca="1">ROUND(D45*D93/(1+'数据-取费表'!C42),0)</f>
        <v>11</v>
      </c>
      <c r="D93" s="227">
        <f>'数据-取费表'!B43</f>
        <v>5.6000000000000008E-3</v>
      </c>
      <c r="E93" s="3179" t="s">
        <v>2269</v>
      </c>
      <c r="F93" s="3180"/>
      <c r="G93" s="3180"/>
      <c r="H93" s="3189"/>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hidden="1" customHeight="1">
      <c r="A94" s="218" t="s">
        <v>2288</v>
      </c>
      <c r="B94" s="199" t="s">
        <v>2289</v>
      </c>
      <c r="C94" s="237">
        <f>ROUND((C87+C90+C91)*D94,0)</f>
        <v>0</v>
      </c>
      <c r="D94" s="227">
        <v>0.2</v>
      </c>
      <c r="E94" s="3190" t="s">
        <v>2290</v>
      </c>
      <c r="F94" s="3191"/>
      <c r="G94" s="3191"/>
      <c r="H94" s="3192"/>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hidden="1">
      <c r="A95" s="2510" t="s">
        <v>779</v>
      </c>
      <c r="B95" s="205" t="s">
        <v>2270</v>
      </c>
      <c r="C95" s="208">
        <f ca="1">ROUND(C85-C86,0)</f>
        <v>2035</v>
      </c>
      <c r="D95" s="201" t="s">
        <v>32</v>
      </c>
      <c r="E95" s="1803"/>
      <c r="F95" s="1797"/>
      <c r="G95" s="1797"/>
      <c r="H95" s="235"/>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hidden="1">
      <c r="A96" s="2510" t="s">
        <v>780</v>
      </c>
      <c r="B96" s="205" t="s">
        <v>2271</v>
      </c>
      <c r="C96" s="228">
        <f ca="1">IF(C95&lt;=0,0,C95/C86)</f>
        <v>185</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5"/>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hidden="1" thickBot="1">
      <c r="A97" s="2511" t="s">
        <v>781</v>
      </c>
      <c r="B97" s="210" t="s">
        <v>2272</v>
      </c>
      <c r="C97" s="229">
        <f ca="1">ROUND(IF(C95&lt;=0,0,IF(C96&gt;=200%,C95*60%-C86*35%,IF(C96&gt;=100%,C95*50%-C86*15%,IF(C96&gt;=50%,C95*40%-C86*5%,IF(C96&lt;50%,C95*30%,0))))),0)</f>
        <v>1217</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4"/>
      <c r="C98" s="2414"/>
      <c r="D98" s="2414"/>
      <c r="E98" s="2163"/>
      <c r="F98" s="2163"/>
      <c r="G98" s="2163"/>
      <c r="H98" s="2162"/>
      <c r="I98" s="138"/>
    </row>
    <row r="99" spans="1:35" ht="21.75" customHeight="1" thickBot="1">
      <c r="A99" s="2469" t="s">
        <v>2291</v>
      </c>
      <c r="B99" s="2414"/>
      <c r="C99" s="2414"/>
      <c r="D99" s="2414"/>
      <c r="E99" s="2163"/>
      <c r="F99" s="2163"/>
      <c r="G99" s="2163"/>
      <c r="H99" s="2162"/>
      <c r="I99" s="138"/>
    </row>
    <row r="100" spans="1:35" ht="18.75" customHeight="1">
      <c r="A100" s="3164" t="s">
        <v>2292</v>
      </c>
      <c r="B100" s="3165"/>
      <c r="C100" s="3165"/>
      <c r="D100" s="3181"/>
      <c r="E100" s="3165" t="s">
        <v>2293</v>
      </c>
      <c r="F100" s="3165"/>
      <c r="G100" s="3165"/>
      <c r="H100" s="3181"/>
      <c r="I100" s="138"/>
    </row>
    <row r="101" spans="1:35" ht="18.75" customHeight="1">
      <c r="A101" s="3243" t="s">
        <v>2294</v>
      </c>
      <c r="B101" s="3244"/>
      <c r="C101" s="735" t="str">
        <f>C4</f>
        <v>收益法</v>
      </c>
      <c r="D101" s="736" t="str">
        <f>D4</f>
        <v>比较法-商业</v>
      </c>
      <c r="E101" s="3257" t="s">
        <v>2295</v>
      </c>
      <c r="F101" s="3211"/>
      <c r="G101" s="2515" t="s">
        <v>2296</v>
      </c>
      <c r="H101" s="1047">
        <f ca="1">H118</f>
        <v>2161</v>
      </c>
      <c r="I101" s="138"/>
    </row>
    <row r="102" spans="1:35" ht="18.75" customHeight="1">
      <c r="A102" s="3213" t="s">
        <v>2297</v>
      </c>
      <c r="B102" s="2515" t="s">
        <v>2296</v>
      </c>
      <c r="C102" s="735">
        <f ca="1">C19</f>
        <v>533</v>
      </c>
      <c r="D102" s="736">
        <f ca="1">D19</f>
        <v>2858</v>
      </c>
      <c r="E102" s="3257"/>
      <c r="F102" s="3211"/>
      <c r="G102" s="2515" t="s">
        <v>2298</v>
      </c>
      <c r="H102" s="372">
        <f ca="1">I118</f>
        <v>2783</v>
      </c>
      <c r="I102" s="138"/>
    </row>
    <row r="103" spans="1:35" ht="42.75" customHeight="1">
      <c r="A103" s="3213"/>
      <c r="B103" s="2515" t="s">
        <v>2298</v>
      </c>
      <c r="C103" s="737">
        <f ca="1">C20</f>
        <v>3432</v>
      </c>
      <c r="D103" s="738">
        <f ca="1">D20</f>
        <v>18403</v>
      </c>
      <c r="E103" s="3252" t="s">
        <v>2299</v>
      </c>
      <c r="F103" s="3253"/>
      <c r="G103" s="2516" t="s">
        <v>2300</v>
      </c>
      <c r="H103" s="1047">
        <f>IF(D36="正常操作",H104+H105+H106,H105+H106)</f>
        <v>0</v>
      </c>
      <c r="I103" s="138"/>
    </row>
    <row r="104" spans="1:35" ht="18.75" customHeight="1">
      <c r="A104" s="3213" t="s">
        <v>2301</v>
      </c>
      <c r="B104" s="2517" t="s">
        <v>2296</v>
      </c>
      <c r="C104" s="739">
        <f ca="1">H118</f>
        <v>2161</v>
      </c>
      <c r="D104" s="740"/>
      <c r="E104" s="2263" t="s">
        <v>2302</v>
      </c>
      <c r="F104" s="2255"/>
      <c r="G104" s="2516" t="s">
        <v>2300</v>
      </c>
      <c r="H104" s="1048">
        <f>IF(D36="同一抵押权人同一抵押物续贷",C36&amp;"（未扣减，详见特别提示）",C36)</f>
        <v>0</v>
      </c>
      <c r="I104" s="138"/>
    </row>
    <row r="105" spans="1:35" ht="18.75" customHeight="1" thickBot="1">
      <c r="A105" s="3214"/>
      <c r="B105" s="2518" t="s">
        <v>2298</v>
      </c>
      <c r="C105" s="741">
        <f ca="1">I118</f>
        <v>2783</v>
      </c>
      <c r="D105" s="742"/>
      <c r="E105" s="2263" t="s">
        <v>2303</v>
      </c>
      <c r="F105" s="2255"/>
      <c r="G105" s="2516" t="s">
        <v>2300</v>
      </c>
      <c r="H105" s="1048">
        <f>C37</f>
        <v>0</v>
      </c>
      <c r="I105" s="138"/>
    </row>
    <row r="106" spans="1:35" ht="18.75" customHeight="1">
      <c r="A106" s="2414" t="s">
        <v>2304</v>
      </c>
      <c r="B106" s="2414"/>
      <c r="C106" s="2414"/>
      <c r="D106" s="2414"/>
      <c r="E106" s="2519" t="s">
        <v>2305</v>
      </c>
      <c r="F106" s="2255"/>
      <c r="G106" s="2516" t="s">
        <v>2300</v>
      </c>
      <c r="H106" s="1048">
        <f>C38</f>
        <v>0</v>
      </c>
      <c r="I106" s="138"/>
    </row>
    <row r="107" spans="1:35" ht="18.75" customHeight="1">
      <c r="A107" s="138"/>
      <c r="B107" s="138"/>
      <c r="C107" s="138"/>
      <c r="D107" s="138"/>
      <c r="E107" s="3210" t="str">
        <f>IF(项目基本情况!E8="已注销","——","3.房地产抵押价值")</f>
        <v>3.房地产抵押价值</v>
      </c>
      <c r="F107" s="3211"/>
      <c r="G107" s="2515" t="s">
        <v>2296</v>
      </c>
      <c r="H107" s="1047">
        <f ca="1">IF(E107="——","——",H101-H103)</f>
        <v>2161</v>
      </c>
      <c r="I107" s="138"/>
    </row>
    <row r="108" spans="1:35" ht="18.75" customHeight="1" thickBot="1">
      <c r="A108" s="138"/>
      <c r="B108" s="138"/>
      <c r="C108" s="138"/>
      <c r="D108" s="138"/>
      <c r="E108" s="3210"/>
      <c r="F108" s="3211"/>
      <c r="G108" s="2515" t="s">
        <v>2298</v>
      </c>
      <c r="H108" s="372">
        <f ca="1">ROUND(H107*10000/'数据-汇总表'!E3,0)</f>
        <v>2783</v>
      </c>
      <c r="I108" s="138"/>
    </row>
    <row r="109" spans="1:35" ht="18.75" hidden="1" customHeight="1">
      <c r="A109" s="138"/>
      <c r="B109" s="138"/>
      <c r="C109" s="138"/>
      <c r="D109" s="138"/>
      <c r="E109" s="3210" t="str">
        <f>IF(项目基本情况!E8="已注销及未注销","4.抵押担保权已注销时的房地产抵押价值",IF(项目基本情况!E8="已注销","3.抵押担保权已注销时的房地产抵押价值","——"))</f>
        <v>——</v>
      </c>
      <c r="F109" s="3211"/>
      <c r="G109" s="2515" t="s">
        <v>2296</v>
      </c>
      <c r="H109" s="349" t="str">
        <f>IF(E109="——","——",H101-H105-H106)</f>
        <v>——</v>
      </c>
      <c r="I109" s="138"/>
    </row>
    <row r="110" spans="1:35" ht="18.75" hidden="1" customHeight="1">
      <c r="A110" s="138"/>
      <c r="B110" s="138"/>
      <c r="C110" s="138"/>
      <c r="D110" s="138"/>
      <c r="E110" s="3210"/>
      <c r="F110" s="3211"/>
      <c r="G110" s="2515" t="s">
        <v>2298</v>
      </c>
      <c r="H110" s="372" t="str">
        <f>IF(H109="——","——",ROUND(H109*10000/'数据-汇总表'!E3,0))</f>
        <v>——</v>
      </c>
      <c r="I110" s="138"/>
    </row>
    <row r="111" spans="1:35" ht="18.75" hidden="1" customHeight="1">
      <c r="A111" s="138"/>
      <c r="B111" s="138"/>
      <c r="C111" s="138"/>
      <c r="D111" s="138"/>
      <c r="E111" s="3245" t="str">
        <f>IF(项目基本情况!E9="抵押净值",IF(OR(项目基本情况!E8="已注销",项目基本情况!E8="房地产抵押价值"),"4.抵押净值","5.抵押净值"),"——")</f>
        <v>——</v>
      </c>
      <c r="F111" s="3246"/>
      <c r="G111" s="2515" t="s">
        <v>2296</v>
      </c>
      <c r="H111" s="1047" t="str">
        <f>IF(E111="——","——",N59)</f>
        <v>——</v>
      </c>
      <c r="I111" s="138"/>
    </row>
    <row r="112" spans="1:35" ht="18.75" hidden="1" customHeight="1" thickBot="1">
      <c r="A112" s="138"/>
      <c r="B112" s="138"/>
      <c r="C112" s="138"/>
      <c r="D112" s="138"/>
      <c r="E112" s="3247"/>
      <c r="F112" s="3248"/>
      <c r="G112" s="2520" t="s">
        <v>2298</v>
      </c>
      <c r="H112" s="789" t="str">
        <f>IF(E111="——","——",N61)</f>
        <v>——</v>
      </c>
      <c r="I112" s="138"/>
    </row>
    <row r="113" spans="1:11" ht="18.75" customHeight="1">
      <c r="A113" s="138"/>
      <c r="B113" s="138"/>
      <c r="C113" s="138"/>
      <c r="D113" s="138"/>
      <c r="E113" s="3215" t="s">
        <v>2304</v>
      </c>
      <c r="F113" s="3215"/>
      <c r="G113" s="3215"/>
      <c r="H113" s="3215"/>
      <c r="I113" s="138"/>
    </row>
    <row r="114" spans="1:11" ht="3.75" customHeight="1">
      <c r="A114" s="2414"/>
      <c r="B114" s="2414"/>
      <c r="C114" s="2414"/>
      <c r="D114" s="2414"/>
      <c r="E114" s="2491"/>
      <c r="F114" s="2491"/>
      <c r="G114" s="2491"/>
      <c r="H114" s="2491"/>
      <c r="I114" s="2414"/>
    </row>
    <row r="115" spans="1:11" ht="18.75" customHeight="1">
      <c r="A115" s="3228" t="s">
        <v>2306</v>
      </c>
      <c r="B115" s="3229"/>
      <c r="C115" s="3229"/>
      <c r="D115" s="3229"/>
      <c r="E115" s="3229"/>
      <c r="F115" s="3229"/>
      <c r="G115" s="3229"/>
      <c r="H115" s="3229"/>
      <c r="I115" s="3230"/>
    </row>
    <row r="116" spans="1:11" ht="27" customHeight="1">
      <c r="A116" s="3121" t="s">
        <v>2307</v>
      </c>
      <c r="B116" s="3216" t="s">
        <v>2308</v>
      </c>
      <c r="C116" s="3216" t="s">
        <v>2309</v>
      </c>
      <c r="D116" s="3232" t="s">
        <v>2310</v>
      </c>
      <c r="E116" s="3233"/>
      <c r="F116" s="3224" t="s">
        <v>2311</v>
      </c>
      <c r="G116" s="3224"/>
      <c r="H116" s="3121" t="s">
        <v>2312</v>
      </c>
      <c r="I116" s="3121"/>
    </row>
    <row r="117" spans="1:11" ht="18.75" customHeight="1">
      <c r="A117" s="3121"/>
      <c r="B117" s="3217"/>
      <c r="C117" s="3217"/>
      <c r="D117" s="1798" t="s">
        <v>2313</v>
      </c>
      <c r="E117" s="1798" t="s">
        <v>2314</v>
      </c>
      <c r="F117" s="1798" t="s">
        <v>2313</v>
      </c>
      <c r="G117" s="1798" t="s">
        <v>2315</v>
      </c>
      <c r="H117" s="1798" t="s">
        <v>2313</v>
      </c>
      <c r="I117" s="1798" t="s">
        <v>2315</v>
      </c>
    </row>
    <row r="118" spans="1:11" ht="24.75" customHeight="1">
      <c r="A118" s="2521" t="str">
        <f>项目基本情况!S2</f>
        <v>河北省保定市涞水县涞水镇府前街2号桥北侧6A#房地产</v>
      </c>
      <c r="B118" s="1798">
        <f>M18</f>
        <v>7765.3499999999995</v>
      </c>
      <c r="C118" s="1798">
        <f>M19</f>
        <v>2218.67</v>
      </c>
      <c r="D118" s="1798">
        <f ca="1">ROUND(IF(D32="总价",C34,E118*B118/10000),0)</f>
        <v>873</v>
      </c>
      <c r="E118" s="1798">
        <f ca="1">ROUND(IF(C33="自定义",IF(D32="楼面单价",C34,D118*10000/B118),I118-G118),0)</f>
        <v>1124</v>
      </c>
      <c r="F118" s="1798">
        <f ca="1">ROUND(IF(D32="总价",C35,G118*B118/10000),0)</f>
        <v>1288</v>
      </c>
      <c r="G118" s="1798">
        <f ca="1">ROUND(IF(D32="楼面单价",C35,F118*10000/B118),0)</f>
        <v>1659</v>
      </c>
      <c r="H118" s="1798">
        <f ca="1">ROUND(IF(D32="总价",C32,I118*B118/10000),0)</f>
        <v>2161</v>
      </c>
      <c r="I118" s="1798">
        <f ca="1">ROUND(IF(D32="楼面单价",C32,H118*10000/B118),0)</f>
        <v>2783</v>
      </c>
    </row>
    <row r="119" spans="1:11" ht="18.75" customHeight="1">
      <c r="A119" s="3121" t="s">
        <v>2316</v>
      </c>
      <c r="B119" s="3121"/>
      <c r="C119" s="3121"/>
      <c r="D119" s="3221" t="str">
        <f ca="1">NUMBERSTRING(INT(D118*10000),2)&amp;"元整"</f>
        <v>捌佰柒拾叁万元整</v>
      </c>
      <c r="E119" s="3223"/>
      <c r="F119" s="3221" t="str">
        <f ca="1">NUMBERSTRING(INT(F118*10000),2)&amp;"元整"</f>
        <v>壹仟贰佰捌拾捌万元整</v>
      </c>
      <c r="G119" s="3223"/>
      <c r="H119" s="3221" t="str">
        <f ca="1">NUMBERSTRING(INT(H118*10000),2)&amp;"元整"</f>
        <v>贰仟壹佰陆拾壹万元整</v>
      </c>
      <c r="I119" s="3223"/>
    </row>
    <row r="120" spans="1:11" ht="18.75" customHeight="1">
      <c r="A120" s="3249" t="str">
        <f>IF(项目基本情况!B9="房地产市场价值","",MID(E103,3,LEN(E103)-2))</f>
        <v>估价师知悉的法定优先受偿款</v>
      </c>
      <c r="B120" s="3250"/>
      <c r="C120" s="3251"/>
      <c r="D120" s="3249">
        <f>H103</f>
        <v>0</v>
      </c>
      <c r="E120" s="3250"/>
      <c r="F120" s="3250"/>
      <c r="G120" s="3250"/>
      <c r="H120" s="3250"/>
      <c r="I120" s="3251"/>
      <c r="K120" s="2419" t="str">
        <f>IF(D120=0,"故，本次评估不存在"&amp;A120,"故，本次评估"&amp;A120&amp;"为人民币"&amp;D120&amp;"万元整。")</f>
        <v>故，本次评估不存在估价师知悉的法定优先受偿款</v>
      </c>
    </row>
    <row r="121" spans="1:11" ht="18.75" customHeight="1">
      <c r="A121" s="3225" t="s">
        <v>2316</v>
      </c>
      <c r="B121" s="3226"/>
      <c r="C121" s="3227"/>
      <c r="D121" s="3221" t="str">
        <f>IF(D120=0,"零元整",NUMBERSTRING(INT(D120*10000),2)&amp;"元整")</f>
        <v>零元整</v>
      </c>
      <c r="E121" s="3222"/>
      <c r="F121" s="3222"/>
      <c r="G121" s="3222"/>
      <c r="H121" s="3222"/>
      <c r="I121" s="3223"/>
    </row>
    <row r="122" spans="1:11" ht="18.75" customHeight="1">
      <c r="A122" s="3212" t="str">
        <f>IF(项目基本情况!B9="房地产市场价值","",MID(E107,3,LEN(E107)-2))</f>
        <v>房地产抵押价值</v>
      </c>
      <c r="B122" s="3212"/>
      <c r="C122" s="3212"/>
      <c r="D122" s="3249">
        <f ca="1">H107</f>
        <v>2161</v>
      </c>
      <c r="E122" s="3250"/>
      <c r="F122" s="3250"/>
      <c r="G122" s="3250"/>
      <c r="H122" s="3250"/>
      <c r="I122" s="3251"/>
    </row>
    <row r="123" spans="1:11" ht="18.75" customHeight="1">
      <c r="A123" s="3121" t="s">
        <v>2316</v>
      </c>
      <c r="B123" s="3121"/>
      <c r="C123" s="3121"/>
      <c r="D123" s="3221" t="str">
        <f ca="1">NUMBERSTRING(INT(D122*10000),2)&amp;"元整"</f>
        <v>贰仟壹佰陆拾壹万元整</v>
      </c>
      <c r="E123" s="3222"/>
      <c r="F123" s="3222"/>
      <c r="G123" s="3222"/>
      <c r="H123" s="3222"/>
      <c r="I123" s="3223"/>
    </row>
    <row r="124" spans="1:11" ht="18.75" hidden="1" customHeight="1">
      <c r="A124" s="3212" t="str">
        <f>IF(项目基本情况!B9="房地产市场价值","",MID(E109,3,LEN(E109)-2))</f>
        <v/>
      </c>
      <c r="B124" s="3212"/>
      <c r="C124" s="3212"/>
      <c r="D124" s="3249" t="str">
        <f>H109</f>
        <v>——</v>
      </c>
      <c r="E124" s="3250"/>
      <c r="F124" s="3250"/>
      <c r="G124" s="3250"/>
      <c r="H124" s="3250"/>
      <c r="I124" s="3251"/>
    </row>
    <row r="125" spans="1:11" ht="18.75" hidden="1" customHeight="1">
      <c r="A125" s="3121" t="s">
        <v>2316</v>
      </c>
      <c r="B125" s="3121"/>
      <c r="C125" s="3121"/>
      <c r="D125" s="3221" t="e">
        <f>NUMBERSTRING(INT(D124*10000),2)&amp;"元整"</f>
        <v>#VALUE!</v>
      </c>
      <c r="E125" s="3222"/>
      <c r="F125" s="3222"/>
      <c r="G125" s="3222"/>
      <c r="H125" s="3222"/>
      <c r="I125" s="3223"/>
    </row>
    <row r="126" spans="1:11" ht="18.75" hidden="1" customHeight="1">
      <c r="A126" s="3212" t="str">
        <f>IF(项目基本情况!B9="房地产市场价值","",MID(E111,3,LEN(E111)-2))</f>
        <v/>
      </c>
      <c r="B126" s="3212"/>
      <c r="C126" s="3212"/>
      <c r="D126" s="3249" t="str">
        <f>H111</f>
        <v>——</v>
      </c>
      <c r="E126" s="3250"/>
      <c r="F126" s="3250"/>
      <c r="G126" s="3250"/>
      <c r="H126" s="3250"/>
      <c r="I126" s="3251"/>
    </row>
    <row r="127" spans="1:11" ht="18.75" hidden="1" customHeight="1">
      <c r="A127" s="3121" t="s">
        <v>2316</v>
      </c>
      <c r="B127" s="3121"/>
      <c r="C127" s="3121"/>
      <c r="D127" s="3221" t="e">
        <f>NUMBERSTRING(INT(D126*10000),2)&amp;"元整"</f>
        <v>#VALUE!</v>
      </c>
      <c r="E127" s="3222"/>
      <c r="F127" s="3222"/>
      <c r="G127" s="3222"/>
      <c r="H127" s="3222"/>
      <c r="I127" s="3223"/>
    </row>
    <row r="128" spans="1:11" ht="21.75" customHeight="1">
      <c r="A128" s="3231" t="s">
        <v>2317</v>
      </c>
      <c r="B128" s="3231"/>
      <c r="C128" s="3231"/>
      <c r="D128" s="3231"/>
      <c r="E128" s="3231"/>
      <c r="F128" s="3231"/>
      <c r="G128" s="3231"/>
      <c r="H128" s="3231"/>
      <c r="I128" s="3231"/>
    </row>
    <row r="129" spans="1:35" ht="21.75" customHeight="1">
      <c r="A129" s="2522" t="s">
        <v>2318</v>
      </c>
      <c r="B129" s="2523"/>
      <c r="C129" s="2524" t="s">
        <v>2319</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3037" t="s">
        <v>3227</v>
      </c>
      <c r="D134" s="2530"/>
      <c r="E134" s="2530"/>
      <c r="F134" s="2530"/>
      <c r="G134" s="2530"/>
      <c r="H134" s="2531"/>
      <c r="I134" s="794"/>
    </row>
    <row r="135" spans="1:35" ht="21.75" customHeight="1">
      <c r="A135" s="794"/>
      <c r="B135" s="794"/>
      <c r="C135" s="966" t="s">
        <v>3229</v>
      </c>
      <c r="D135" s="794"/>
      <c r="E135" s="794"/>
      <c r="F135" s="2538" t="s">
        <v>2320</v>
      </c>
      <c r="G135" s="2539"/>
      <c r="H135" s="2539"/>
      <c r="I135" s="2540" t="s">
        <v>2321</v>
      </c>
    </row>
    <row r="136" spans="1:35" ht="21.75" customHeight="1">
      <c r="A136" s="794"/>
      <c r="B136" s="2541" t="s">
        <v>2322</v>
      </c>
      <c r="C136" s="966" t="s">
        <v>3230</v>
      </c>
      <c r="D136" s="794"/>
      <c r="E136" s="794"/>
      <c r="F136" s="794"/>
      <c r="G136" s="794"/>
      <c r="H136" s="794"/>
      <c r="I136" s="794"/>
    </row>
    <row r="137" spans="1:35" ht="21.75" customHeight="1">
      <c r="A137" s="794"/>
      <c r="B137" s="794"/>
      <c r="C137" s="966"/>
      <c r="D137" s="794"/>
      <c r="E137" s="794"/>
      <c r="F137" s="794"/>
      <c r="G137" s="794"/>
      <c r="H137" s="794"/>
      <c r="I137" s="794"/>
    </row>
    <row r="138" spans="1:35" ht="21.75" customHeight="1">
      <c r="A138" s="794"/>
      <c r="B138" s="2539"/>
      <c r="C138" s="3038"/>
      <c r="D138" s="2539"/>
      <c r="E138" s="2539"/>
      <c r="F138" s="2539"/>
      <c r="G138" s="2539"/>
      <c r="H138" s="2539"/>
      <c r="I138" s="2540" t="s">
        <v>2323</v>
      </c>
    </row>
    <row r="139" spans="1:35" ht="21.75" customHeight="1">
      <c r="A139" s="794"/>
      <c r="B139" s="2541" t="s">
        <v>2324</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2323</v>
      </c>
    </row>
    <row r="142" spans="1:35" ht="21.75" customHeight="1">
      <c r="A142" s="794"/>
      <c r="B142" s="2541"/>
      <c r="C142" s="2542"/>
      <c r="D142" s="2543"/>
      <c r="E142" s="2543"/>
      <c r="F142" s="2336"/>
      <c r="G142" s="794"/>
      <c r="H142" s="794"/>
      <c r="I142" s="794"/>
    </row>
    <row r="143" spans="1:35" s="139" customFormat="1" ht="21.75" customHeight="1">
      <c r="A143" s="794"/>
      <c r="B143" s="2541"/>
      <c r="C143" s="2542"/>
      <c r="D143" s="2543"/>
      <c r="E143" s="2543"/>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9"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9"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9"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9"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9"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9"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9"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9"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9"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9"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9"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9"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9"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9"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9"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9"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9"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9"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9"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9"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9"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9"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9"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9"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9"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9"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9"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9"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9"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9"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9"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9"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9"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9"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9"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9"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9"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9"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9"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9"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9"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9"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9"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9"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9"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9"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9"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9"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9"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9"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9"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9"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9"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9"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9"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9"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9"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9"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9"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9"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9"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9"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9"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9"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9"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9"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9"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9"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9"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9"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9"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9"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9"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9"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9"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9"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9"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9"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9"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9"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9"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9"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9"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9"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9"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9"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9"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9"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9"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9"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9"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9"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9"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9"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9"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9"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9"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9"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9"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9"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9"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9"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9"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9"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9" workbookViewId="0">
      <selection activeCell="C7" sqref="C7"/>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2325</v>
      </c>
      <c r="B1" s="1939"/>
      <c r="C1" s="243"/>
      <c r="D1" s="243"/>
      <c r="E1" s="243"/>
      <c r="F1" s="243"/>
      <c r="G1" s="1381">
        <f>MATCH(B1,'数据-取费表'!A6:A16,0)+5</f>
        <v>8</v>
      </c>
    </row>
    <row r="2" spans="1:9" s="245" customFormat="1" ht="18" customHeight="1">
      <c r="A2" s="246" t="s">
        <v>2326</v>
      </c>
      <c r="B2" s="247">
        <f ca="1">IF(D2="——",C52,C52-E2)</f>
        <v>2805</v>
      </c>
      <c r="C2" s="244" t="s">
        <v>2327</v>
      </c>
      <c r="D2" s="2544" t="s">
        <v>70</v>
      </c>
      <c r="E2" s="1442" t="e">
        <f ca="1">SUMIF(INDIRECT("'"&amp;G2&amp;"'"&amp;"!A:A"),"承租人权益价值",INDIRECT("'"&amp;G2&amp;"'"&amp;"!c:c"))</f>
        <v>#REF!</v>
      </c>
      <c r="F2" s="2545" t="s">
        <v>2327</v>
      </c>
      <c r="G2" s="2546"/>
    </row>
    <row r="3" spans="1:9" s="245" customFormat="1" ht="18" customHeight="1" thickBot="1">
      <c r="A3" s="248" t="s">
        <v>2328</v>
      </c>
      <c r="B3" s="249">
        <f ca="1">ROUND(B2*10000/(IF(B1="",'数据-汇总表'!E3,INDIRECT("'数据-取费表'!k"&amp;$G$1))),0)</f>
        <v>3612</v>
      </c>
      <c r="C3" s="244" t="s">
        <v>2329</v>
      </c>
      <c r="D3" s="244"/>
      <c r="E3" s="244"/>
      <c r="F3" s="244"/>
      <c r="G3" s="244"/>
    </row>
    <row r="4" spans="1:9" s="253" customFormat="1" ht="15.75">
      <c r="A4" s="250" t="s">
        <v>2330</v>
      </c>
      <c r="B4" s="251"/>
      <c r="C4" s="251"/>
      <c r="D4" s="251"/>
      <c r="E4" s="251"/>
      <c r="F4" s="251"/>
      <c r="G4" s="252"/>
    </row>
    <row r="5" spans="1:9" s="259" customFormat="1" ht="13.5" customHeight="1">
      <c r="A5" s="300" t="s">
        <v>2331</v>
      </c>
      <c r="B5" s="255" t="s">
        <v>2332</v>
      </c>
      <c r="C5" s="256">
        <f>C6+C7+C8</f>
        <v>778</v>
      </c>
      <c r="D5" s="256" t="s">
        <v>2333</v>
      </c>
      <c r="E5" s="257" t="s">
        <v>2334</v>
      </c>
      <c r="F5" s="257" t="s">
        <v>2335</v>
      </c>
      <c r="G5" s="258"/>
    </row>
    <row r="6" spans="1:9" s="259" customFormat="1" ht="13.5" customHeight="1">
      <c r="A6" s="951" t="s">
        <v>2336</v>
      </c>
      <c r="B6" s="260" t="s">
        <v>2337</v>
      </c>
      <c r="C6" s="261">
        <f>'土地比较法-住宅、综合'!F66</f>
        <v>755</v>
      </c>
      <c r="D6" s="262"/>
      <c r="E6" s="263"/>
      <c r="F6" s="263"/>
      <c r="G6" s="264"/>
    </row>
    <row r="7" spans="1:9" s="259" customFormat="1" ht="13.5" customHeight="1">
      <c r="A7" s="951" t="s">
        <v>2338</v>
      </c>
      <c r="B7" s="260" t="s">
        <v>2339</v>
      </c>
      <c r="C7" s="265">
        <f>ROUND(C6*F7,0)</f>
        <v>23</v>
      </c>
      <c r="D7" s="265"/>
      <c r="E7" s="263"/>
      <c r="F7" s="266">
        <f>'数据-取费表'!B48+'数据-取费表'!B49</f>
        <v>3.0499999999999999E-2</v>
      </c>
      <c r="G7" s="264"/>
    </row>
    <row r="8" spans="1:9" s="268" customFormat="1">
      <c r="A8" s="951" t="s">
        <v>2340</v>
      </c>
      <c r="B8" s="260" t="s">
        <v>2341</v>
      </c>
      <c r="C8" s="265">
        <f>IF(G8="已包含在土地购买价格中","0",IF(B1="",'数据-取费表'!B29,IF(G9="全部缴纳",C9+C10,H9)))</f>
        <v>0</v>
      </c>
      <c r="D8" s="267"/>
      <c r="E8" s="265"/>
      <c r="F8" s="266"/>
      <c r="G8" s="2547"/>
    </row>
    <row r="9" spans="1:9" s="259" customFormat="1" ht="13.5" customHeight="1">
      <c r="A9" s="952" t="s">
        <v>800</v>
      </c>
      <c r="B9" s="269" t="s">
        <v>2342</v>
      </c>
      <c r="C9" s="270">
        <f ca="1">ROUND(D9*E9/10000,0)</f>
        <v>0</v>
      </c>
      <c r="D9" s="1034">
        <f ca="1">IF(B1="",'数据-汇总表'!E5,IF(INDIRECT("'数据-取费表'!c"&amp;$G$1)="住宅",INDIRECT("'数据-取费表'!k"&amp;$G$1),0))</f>
        <v>0</v>
      </c>
      <c r="E9" s="270">
        <f>'数据-取费表'!B27</f>
        <v>90</v>
      </c>
      <c r="F9" s="266"/>
      <c r="G9" s="2548"/>
      <c r="H9" s="1392"/>
      <c r="I9" s="2549" t="s">
        <v>2343</v>
      </c>
    </row>
    <row r="10" spans="1:9" s="259" customFormat="1" ht="13.5" customHeight="1">
      <c r="A10" s="952" t="s">
        <v>801</v>
      </c>
      <c r="B10" s="269" t="s">
        <v>2344</v>
      </c>
      <c r="C10" s="270">
        <f ca="1">ROUND(D10*E10/10000,0)</f>
        <v>70</v>
      </c>
      <c r="D10" s="1034">
        <f ca="1">IF(B1="",'数据-汇总表'!E6,IF(INDIRECT("'数据-取费表'!c"&amp;$G$1)="住宅",INDIRECT("'数据-取费表'!s"&amp;$G$1),INDIRECT("'数据-取费表'!k"&amp;$G$1)+INDIRECT("'数据-取费表'!s"&amp;$G$1)))</f>
        <v>7765.3499999999995</v>
      </c>
      <c r="E10" s="270">
        <f>'数据-取费表'!B28</f>
        <v>90</v>
      </c>
      <c r="F10" s="266"/>
      <c r="G10" s="271"/>
    </row>
    <row r="11" spans="1:9" s="259" customFormat="1" ht="13.5" hidden="1" customHeight="1">
      <c r="A11" s="272" t="s">
        <v>7</v>
      </c>
      <c r="B11" s="260" t="s">
        <v>2345</v>
      </c>
      <c r="C11" s="256"/>
      <c r="D11" s="1036"/>
      <c r="E11" s="263"/>
      <c r="F11" s="263"/>
      <c r="G11" s="264"/>
    </row>
    <row r="12" spans="1:9" s="259" customFormat="1" ht="13.5" hidden="1" customHeight="1">
      <c r="A12" s="272" t="s">
        <v>8</v>
      </c>
      <c r="B12" s="260" t="s">
        <v>2346</v>
      </c>
      <c r="C12" s="256">
        <v>0</v>
      </c>
      <c r="D12" s="1036"/>
      <c r="E12" s="273"/>
      <c r="F12" s="266">
        <v>3.0499999999999999E-2</v>
      </c>
      <c r="G12" s="264"/>
    </row>
    <row r="13" spans="1:9" s="259" customFormat="1" ht="13.5" hidden="1" customHeight="1">
      <c r="A13" s="272" t="s">
        <v>9</v>
      </c>
      <c r="B13" s="260" t="s">
        <v>2347</v>
      </c>
      <c r="C13" s="256"/>
      <c r="D13" s="1036"/>
      <c r="E13" s="263"/>
      <c r="F13" s="263"/>
      <c r="G13" s="264"/>
    </row>
    <row r="14" spans="1:9" s="259" customFormat="1" ht="13.5" hidden="1" customHeight="1">
      <c r="A14" s="272" t="s">
        <v>10</v>
      </c>
      <c r="B14" s="260" t="s">
        <v>2348</v>
      </c>
      <c r="C14" s="256"/>
      <c r="D14" s="1036"/>
      <c r="E14" s="263"/>
      <c r="F14" s="263"/>
      <c r="G14" s="264" t="s">
        <v>2349</v>
      </c>
    </row>
    <row r="15" spans="1:9" s="259" customFormat="1" ht="13.5" hidden="1" customHeight="1">
      <c r="A15" s="272" t="s">
        <v>11</v>
      </c>
      <c r="B15" s="260" t="s">
        <v>2350</v>
      </c>
      <c r="C15" s="265"/>
      <c r="D15" s="1036"/>
      <c r="E15" s="263"/>
      <c r="F15" s="263"/>
      <c r="G15" s="264" t="s">
        <v>2351</v>
      </c>
    </row>
    <row r="16" spans="1:9" s="259" customFormat="1" ht="13.5" hidden="1" customHeight="1">
      <c r="A16" s="272" t="s">
        <v>12</v>
      </c>
      <c r="B16" s="260" t="s">
        <v>2348</v>
      </c>
      <c r="C16" s="265"/>
      <c r="D16" s="1036"/>
      <c r="E16" s="263"/>
      <c r="F16" s="263"/>
      <c r="G16" s="264"/>
    </row>
    <row r="17" spans="1:7" s="259" customFormat="1" ht="13.5" hidden="1" customHeight="1">
      <c r="A17" s="272" t="s">
        <v>13</v>
      </c>
      <c r="B17" s="260" t="s">
        <v>2352</v>
      </c>
      <c r="C17" s="274"/>
      <c r="D17" s="1037"/>
      <c r="E17" s="274"/>
      <c r="F17" s="274"/>
      <c r="G17" s="264" t="s">
        <v>2351</v>
      </c>
    </row>
    <row r="18" spans="1:7" s="259" customFormat="1" ht="13.5" hidden="1" customHeight="1">
      <c r="A18" s="272" t="s">
        <v>14</v>
      </c>
      <c r="B18" s="260" t="s">
        <v>2353</v>
      </c>
      <c r="C18" s="265">
        <v>0</v>
      </c>
      <c r="D18" s="1036"/>
      <c r="E18" s="263"/>
      <c r="F18" s="266">
        <v>3.0499999999999999E-2</v>
      </c>
      <c r="G18" s="264" t="s">
        <v>2354</v>
      </c>
    </row>
    <row r="19" spans="1:7" s="268" customFormat="1" ht="13.5" customHeight="1">
      <c r="A19" s="300" t="s">
        <v>2355</v>
      </c>
      <c r="B19" s="255" t="s">
        <v>2356</v>
      </c>
      <c r="C19" s="256">
        <f ca="1">IF(G19="已包含在土地取得成本中","0",ROUND(D19*E19/10000,0))</f>
        <v>116</v>
      </c>
      <c r="D19" s="1038">
        <f ca="1">D9+D10</f>
        <v>7765.3499999999995</v>
      </c>
      <c r="E19" s="256">
        <f>'数据-取费表'!B31</f>
        <v>150</v>
      </c>
      <c r="F19" s="276"/>
      <c r="G19" s="2547"/>
    </row>
    <row r="20" spans="1:7" s="259" customFormat="1" ht="13.5" customHeight="1">
      <c r="A20" s="300" t="s">
        <v>2357</v>
      </c>
      <c r="B20" s="255" t="s">
        <v>2358</v>
      </c>
      <c r="C20" s="277">
        <f ca="1">ROUND((C5+C19)*F20,0)</f>
        <v>18</v>
      </c>
      <c r="D20" s="277"/>
      <c r="E20" s="277"/>
      <c r="F20" s="278">
        <f>'数据-取费表'!B37</f>
        <v>0.02</v>
      </c>
      <c r="G20" s="279" t="s">
        <v>2359</v>
      </c>
    </row>
    <row r="21" spans="1:7" s="259" customFormat="1" ht="13.5" customHeight="1">
      <c r="A21" s="300" t="s">
        <v>2360</v>
      </c>
      <c r="B21" s="255" t="s">
        <v>2361</v>
      </c>
      <c r="C21" s="280">
        <f>F21</f>
        <v>0.02</v>
      </c>
      <c r="D21" s="281" t="s">
        <v>2362</v>
      </c>
      <c r="E21" s="277"/>
      <c r="F21" s="278">
        <f>'数据-取费表'!B38</f>
        <v>0.02</v>
      </c>
      <c r="G21" s="279" t="s">
        <v>2363</v>
      </c>
    </row>
    <row r="22" spans="1:7" s="259" customFormat="1" ht="13.5" customHeight="1">
      <c r="A22" s="300" t="s">
        <v>2364</v>
      </c>
      <c r="B22" s="255" t="s">
        <v>2365</v>
      </c>
      <c r="C22" s="1356">
        <f ca="1">ROUND(SUM(C23:C25),0)</f>
        <v>39</v>
      </c>
      <c r="D22" s="280">
        <f ca="1">C26</f>
        <v>4.0000000000000002E-4</v>
      </c>
      <c r="E22" s="281" t="s">
        <v>2362</v>
      </c>
      <c r="F22" s="282">
        <f ca="1">'数据-取费表'!B40</f>
        <v>4.3499999999999997E-2</v>
      </c>
      <c r="G22" s="279" t="str">
        <f>IF('数据-取费表'!B22&lt;=1,"单利计息","复利计息")</f>
        <v>单利计息</v>
      </c>
    </row>
    <row r="23" spans="1:7" s="259" customFormat="1" ht="13.5" customHeight="1">
      <c r="A23" s="953" t="s">
        <v>2366</v>
      </c>
      <c r="B23" s="260" t="s">
        <v>2367</v>
      </c>
      <c r="C23" s="1357">
        <f ca="1">ROUND(IF('数据-取费表'!B22&lt;=1,C5*F22*'数据-取费表'!B23,C5*(POWER((1+F22),'数据-取费表'!B23)-1)),0)</f>
        <v>34</v>
      </c>
      <c r="D23" s="283"/>
      <c r="E23" s="283"/>
      <c r="F23" s="284"/>
      <c r="G23" s="285" t="s">
        <v>2368</v>
      </c>
    </row>
    <row r="24" spans="1:7" s="259" customFormat="1" ht="13.5" customHeight="1">
      <c r="A24" s="953" t="s">
        <v>2369</v>
      </c>
      <c r="B24" s="260" t="s">
        <v>2370</v>
      </c>
      <c r="C24" s="1357">
        <f ca="1">ROUND(IF('数据-取费表'!B22&lt;=1,C19*F22*('数据-取费表'!B19/2+'数据-取费表'!B21),C19*(POWER((1+F22),('数据-取费表'!B19/2+'数据-取费表'!B21))-1)),0)</f>
        <v>5</v>
      </c>
      <c r="D24" s="283"/>
      <c r="E24" s="283"/>
      <c r="F24" s="284"/>
      <c r="G24" s="285" t="s">
        <v>2371</v>
      </c>
    </row>
    <row r="25" spans="1:7" s="259" customFormat="1" ht="24">
      <c r="A25" s="953" t="s">
        <v>2372</v>
      </c>
      <c r="B25" s="260" t="s">
        <v>2373</v>
      </c>
      <c r="C25" s="1357">
        <f ca="1">ROUND(IF('数据-取费表'!B22&lt;=1,C20*F22*'数据-取费表'!B23/2,C20*(POWER((1+F22),'数据-取费表'!B23/2)-1)),0)</f>
        <v>0</v>
      </c>
      <c r="D25" s="283"/>
      <c r="E25" s="286"/>
      <c r="F25" s="284"/>
      <c r="G25" s="287" t="s">
        <v>2374</v>
      </c>
    </row>
    <row r="26" spans="1:7" s="259" customFormat="1">
      <c r="A26" s="953" t="s">
        <v>795</v>
      </c>
      <c r="B26" s="260" t="s">
        <v>2375</v>
      </c>
      <c r="C26" s="283">
        <f ca="1">ROUND(IF('数据-取费表'!B22&lt;=1,F21*F22*'数据-取费表'!B23/2,F21*(POWER((1+F22),'数据-取费表'!B23/2)-1)),4)</f>
        <v>4.0000000000000002E-4</v>
      </c>
      <c r="D26" s="283"/>
      <c r="E26" s="286"/>
      <c r="F26" s="284"/>
      <c r="G26" s="288"/>
    </row>
    <row r="27" spans="1:7" s="259" customFormat="1" ht="24.75">
      <c r="A27" s="300" t="s">
        <v>2376</v>
      </c>
      <c r="B27" s="289" t="s">
        <v>2377</v>
      </c>
      <c r="C27" s="290">
        <f ca="1">C28</f>
        <v>91</v>
      </c>
      <c r="D27" s="280">
        <f ca="1">C29</f>
        <v>2E-3</v>
      </c>
      <c r="E27" s="281" t="s">
        <v>2378</v>
      </c>
      <c r="F27" s="291">
        <f ca="1">IF(B1="",'数据-取费表'!Q16,INDIRECT("'数据-取费表'!q"&amp;$G$1))</f>
        <v>0.1</v>
      </c>
      <c r="G27" s="292" t="s">
        <v>2379</v>
      </c>
    </row>
    <row r="28" spans="1:7" s="259" customFormat="1" ht="13.5" customHeight="1">
      <c r="A28" s="953" t="s">
        <v>791</v>
      </c>
      <c r="B28" s="293" t="s">
        <v>2380</v>
      </c>
      <c r="C28" s="294">
        <f ca="1">ROUND((C5+C19+C20)*F27*'数据-取费表'!B21/'数据-取费表'!B20,0)</f>
        <v>91</v>
      </c>
      <c r="D28" s="280"/>
      <c r="E28" s="281"/>
      <c r="F28" s="291"/>
      <c r="G28" s="292"/>
    </row>
    <row r="29" spans="1:7" s="259" customFormat="1" ht="13.5" customHeight="1">
      <c r="A29" s="953" t="s">
        <v>792</v>
      </c>
      <c r="B29" s="293" t="s">
        <v>2381</v>
      </c>
      <c r="C29" s="283">
        <f ca="1">ROUND(C21*F27*'数据-取费表'!B21/'数据-取费表'!B20,4)</f>
        <v>2E-3</v>
      </c>
      <c r="D29" s="280"/>
      <c r="E29" s="281"/>
      <c r="F29" s="291"/>
      <c r="G29" s="292"/>
    </row>
    <row r="30" spans="1:7" s="259" customFormat="1" ht="13.5" customHeight="1">
      <c r="A30" s="300" t="s">
        <v>2382</v>
      </c>
      <c r="B30" s="255" t="s">
        <v>2383</v>
      </c>
      <c r="C30" s="280">
        <f>ROUND(F30/(1+'数据-取费表'!C42),4)</f>
        <v>5.8299999999999998E-2</v>
      </c>
      <c r="D30" s="281" t="s">
        <v>2378</v>
      </c>
      <c r="E30" s="286"/>
      <c r="F30" s="282">
        <f>'数据-取费表'!B41</f>
        <v>6.1600000000000002E-2</v>
      </c>
      <c r="G30" s="279" t="s">
        <v>2384</v>
      </c>
    </row>
    <row r="31" spans="1:7" ht="16.5" customHeight="1">
      <c r="A31" s="254">
        <v>1</v>
      </c>
      <c r="B31" s="255" t="s">
        <v>2385</v>
      </c>
      <c r="C31" s="256">
        <f ca="1">ROUND((C5+C19+C20+C22+C27)/(1-C21-D22-D27-C30),0)</f>
        <v>1133</v>
      </c>
      <c r="D31" s="275"/>
      <c r="E31" s="256"/>
      <c r="F31" s="295"/>
      <c r="G31" s="279" t="s">
        <v>2386</v>
      </c>
    </row>
    <row r="32" spans="1:7" s="253" customFormat="1" ht="15.75">
      <c r="A32" s="297" t="s">
        <v>2387</v>
      </c>
      <c r="B32" s="298"/>
      <c r="C32" s="298"/>
      <c r="D32" s="298"/>
      <c r="E32" s="298"/>
      <c r="F32" s="298"/>
      <c r="G32" s="299"/>
    </row>
    <row r="33" spans="1:7" s="259" customFormat="1" ht="13.5" customHeight="1">
      <c r="A33" s="300" t="s">
        <v>782</v>
      </c>
      <c r="B33" s="255" t="s">
        <v>2388</v>
      </c>
      <c r="C33" s="301">
        <f ca="1">SUM(C34:C38)</f>
        <v>1414</v>
      </c>
      <c r="D33" s="277"/>
      <c r="E33" s="257"/>
      <c r="F33" s="286"/>
      <c r="G33" s="279"/>
    </row>
    <row r="34" spans="1:7" s="303" customFormat="1" ht="13.5" customHeight="1">
      <c r="A34" s="953" t="s">
        <v>791</v>
      </c>
      <c r="B34" s="260" t="s">
        <v>2389</v>
      </c>
      <c r="C34" s="265">
        <f ca="1">IF(B1="",IF(F34=100%,'数据-取费表'!M16,'数据-取费表'!O16),IF(F34=100%,INDIRECT("'数据-取费表'!m"&amp;$G$1)+INDIRECT("'数据-取费表'!t"&amp;$G$1),INDIRECT("'数据-取费表'!o"&amp;$G$1)+INDIRECT("'数据-取费表'!aq"&amp;$G$1)))</f>
        <v>1242</v>
      </c>
      <c r="D34" s="262"/>
      <c r="E34" s="265"/>
      <c r="F34" s="302">
        <f ca="1">IF('数据-取费表'!B24=0,1,IF(B1="",'数据-取费表'!N16,INDIRECT("'数据-取费表'!n"&amp;$G$1)))</f>
        <v>1</v>
      </c>
      <c r="G34" s="264" t="s">
        <v>2390</v>
      </c>
    </row>
    <row r="35" spans="1:7" ht="13.5" customHeight="1">
      <c r="A35" s="953" t="s">
        <v>796</v>
      </c>
      <c r="B35" s="260" t="s">
        <v>2391</v>
      </c>
      <c r="C35" s="265">
        <f ca="1">ROUND(C34*F35,0)</f>
        <v>37</v>
      </c>
      <c r="D35" s="265"/>
      <c r="E35" s="265"/>
      <c r="F35" s="304">
        <f>'数据-取费表'!B33</f>
        <v>0.03</v>
      </c>
      <c r="G35" s="264" t="s">
        <v>2392</v>
      </c>
    </row>
    <row r="36" spans="1:7" ht="24">
      <c r="A36" s="953" t="s">
        <v>797</v>
      </c>
      <c r="B36" s="260" t="s">
        <v>2393</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0.05</v>
      </c>
      <c r="G36" s="305" t="s">
        <v>2394</v>
      </c>
    </row>
    <row r="37" spans="1:7" s="303" customFormat="1" ht="13.5" customHeight="1">
      <c r="A37" s="953" t="s">
        <v>798</v>
      </c>
      <c r="B37" s="260" t="s">
        <v>2395</v>
      </c>
      <c r="C37" s="294">
        <f ca="1">ROUND(E37*D37*F34/10000,0)</f>
        <v>116</v>
      </c>
      <c r="D37" s="262">
        <f ca="1">D19</f>
        <v>7765.3499999999995</v>
      </c>
      <c r="E37" s="294">
        <f>'数据-取费表'!B35</f>
        <v>150</v>
      </c>
      <c r="F37" s="304"/>
      <c r="G37" s="306" t="s">
        <v>2396</v>
      </c>
    </row>
    <row r="38" spans="1:7" ht="13.5" customHeight="1">
      <c r="A38" s="953" t="s">
        <v>799</v>
      </c>
      <c r="B38" s="260" t="s">
        <v>2397</v>
      </c>
      <c r="C38" s="265">
        <f ca="1">ROUND(C34*F38,0)</f>
        <v>19</v>
      </c>
      <c r="D38" s="265"/>
      <c r="E38" s="265"/>
      <c r="F38" s="304">
        <f>'数据-取费表'!B36</f>
        <v>1.4999999999999999E-2</v>
      </c>
      <c r="G38" s="264" t="s">
        <v>2392</v>
      </c>
    </row>
    <row r="39" spans="1:7" s="259" customFormat="1" ht="13.5" customHeight="1">
      <c r="A39" s="300" t="s">
        <v>2398</v>
      </c>
      <c r="B39" s="255" t="s">
        <v>2399</v>
      </c>
      <c r="C39" s="277">
        <f ca="1">ROUND(C33*F20,0)</f>
        <v>28</v>
      </c>
      <c r="D39" s="277"/>
      <c r="E39" s="277"/>
      <c r="F39" s="278"/>
      <c r="G39" s="279" t="s">
        <v>2400</v>
      </c>
    </row>
    <row r="40" spans="1:7" s="259" customFormat="1" ht="13.5" customHeight="1">
      <c r="A40" s="300" t="s">
        <v>2401</v>
      </c>
      <c r="B40" s="255" t="s">
        <v>2402</v>
      </c>
      <c r="C40" s="1731">
        <f>F21</f>
        <v>0.02</v>
      </c>
      <c r="D40" s="281" t="s">
        <v>2403</v>
      </c>
      <c r="E40" s="277"/>
      <c r="F40" s="278"/>
      <c r="G40" s="279" t="s">
        <v>2404</v>
      </c>
    </row>
    <row r="41" spans="1:7" s="259" customFormat="1" ht="13.5" customHeight="1">
      <c r="A41" s="300" t="s">
        <v>2405</v>
      </c>
      <c r="B41" s="255" t="s">
        <v>2406</v>
      </c>
      <c r="C41" s="277">
        <f ca="1">ROUND(SUM(C42:C43),0)</f>
        <v>32</v>
      </c>
      <c r="D41" s="280">
        <f ca="1">C44</f>
        <v>4.0000000000000002E-4</v>
      </c>
      <c r="E41" s="281" t="s">
        <v>2403</v>
      </c>
      <c r="F41" s="282"/>
      <c r="G41" s="279" t="str">
        <f>IF('数据-取费表'!B22&lt;=1,"单利计息","复利计息")</f>
        <v>单利计息</v>
      </c>
    </row>
    <row r="42" spans="1:7" ht="13.5" customHeight="1">
      <c r="A42" s="953" t="s">
        <v>791</v>
      </c>
      <c r="B42" s="260" t="s">
        <v>2407</v>
      </c>
      <c r="C42" s="283">
        <f ca="1">ROUND(IF('数据-取费表'!B22&lt;=1,C33*F22*'数据-取费表'!B21/2,C33*(POWER((1+F22),'数据-取费表'!B21/2)-1)),0)</f>
        <v>31</v>
      </c>
      <c r="D42" s="283"/>
      <c r="E42" s="283"/>
      <c r="F42" s="284"/>
      <c r="G42" s="3263" t="s">
        <v>2408</v>
      </c>
    </row>
    <row r="43" spans="1:7" ht="13.5" customHeight="1">
      <c r="A43" s="953" t="s">
        <v>792</v>
      </c>
      <c r="B43" s="260" t="s">
        <v>2409</v>
      </c>
      <c r="C43" s="283">
        <f ca="1">ROUND(IF('数据-取费表'!B22&lt;=1,C39*F22*'数据-取费表'!B21/2,C39*(POWER((1+F22),'数据-取费表'!B21/2)-1)),0)</f>
        <v>1</v>
      </c>
      <c r="D43" s="283"/>
      <c r="E43" s="283"/>
      <c r="F43" s="284"/>
      <c r="G43" s="3264"/>
    </row>
    <row r="44" spans="1:7" ht="13.5" customHeight="1">
      <c r="A44" s="953" t="s">
        <v>793</v>
      </c>
      <c r="B44" s="260" t="s">
        <v>2410</v>
      </c>
      <c r="C44" s="283">
        <f ca="1">ROUND(IF('数据-取费表'!B22&lt;=1,C40*F22*'数据-取费表'!B21/2,C40*(POWER((1+F22),'数据-取费表'!B21/2)-1)),4)</f>
        <v>4.0000000000000002E-4</v>
      </c>
      <c r="D44" s="283"/>
      <c r="E44" s="283"/>
      <c r="F44" s="284"/>
      <c r="G44" s="3265"/>
    </row>
    <row r="45" spans="1:7" s="259" customFormat="1" ht="13.5" customHeight="1">
      <c r="A45" s="300" t="s">
        <v>2411</v>
      </c>
      <c r="B45" s="289" t="s">
        <v>2377</v>
      </c>
      <c r="C45" s="290">
        <f ca="1">C46</f>
        <v>144</v>
      </c>
      <c r="D45" s="280">
        <f ca="1">C47</f>
        <v>2E-3</v>
      </c>
      <c r="E45" s="281" t="s">
        <v>2403</v>
      </c>
      <c r="F45" s="291"/>
      <c r="G45" s="292" t="s">
        <v>2412</v>
      </c>
    </row>
    <row r="46" spans="1:7" s="259" customFormat="1" ht="13.5" customHeight="1">
      <c r="A46" s="953" t="s">
        <v>791</v>
      </c>
      <c r="B46" s="293" t="s">
        <v>2413</v>
      </c>
      <c r="C46" s="294">
        <f ca="1">ROUND((C33+C39)*F27,0)</f>
        <v>144</v>
      </c>
      <c r="D46" s="308"/>
      <c r="E46" s="281"/>
      <c r="F46" s="291"/>
      <c r="G46" s="292"/>
    </row>
    <row r="47" spans="1:7" s="259" customFormat="1" ht="13.5" customHeight="1">
      <c r="A47" s="953" t="s">
        <v>792</v>
      </c>
      <c r="B47" s="293" t="s">
        <v>2414</v>
      </c>
      <c r="C47" s="283">
        <f ca="1">ROUND(C40*F27,4)</f>
        <v>2E-3</v>
      </c>
      <c r="D47" s="308"/>
      <c r="E47" s="281"/>
      <c r="F47" s="291"/>
      <c r="G47" s="292"/>
    </row>
    <row r="48" spans="1:7" s="259" customFormat="1" ht="13.5" customHeight="1">
      <c r="A48" s="300" t="s">
        <v>2376</v>
      </c>
      <c r="B48" s="255" t="s">
        <v>2415</v>
      </c>
      <c r="C48" s="1731">
        <f>ROUND(F30/(1+'数据-取费表'!C42),4)</f>
        <v>5.8299999999999998E-2</v>
      </c>
      <c r="D48" s="281" t="s">
        <v>2403</v>
      </c>
      <c r="E48" s="277"/>
      <c r="F48" s="282"/>
      <c r="G48" s="279" t="s">
        <v>2416</v>
      </c>
    </row>
    <row r="49" spans="1:7" ht="16.5" customHeight="1">
      <c r="A49" s="300" t="s">
        <v>2382</v>
      </c>
      <c r="B49" s="255" t="s">
        <v>2417</v>
      </c>
      <c r="C49" s="277">
        <f ca="1">ROUND((C33+C39+C41+C45)/(1-C40-D41-D45-C48),0)</f>
        <v>1760</v>
      </c>
      <c r="D49" s="277"/>
      <c r="E49" s="277"/>
      <c r="F49" s="309"/>
      <c r="G49" s="279" t="s">
        <v>2418</v>
      </c>
    </row>
    <row r="50" spans="1:7" s="303" customFormat="1" ht="24">
      <c r="A50" s="300" t="s">
        <v>2419</v>
      </c>
      <c r="B50" s="255" t="s">
        <v>2420</v>
      </c>
      <c r="C50" s="277"/>
      <c r="D50" s="277"/>
      <c r="E50" s="277"/>
      <c r="F50" s="309">
        <f>IF('数据-取费表'!B24=0,'数据-取费表'!N16,1)</f>
        <v>0.95</v>
      </c>
      <c r="G50" s="292" t="s">
        <v>2421</v>
      </c>
    </row>
    <row r="51" spans="1:7" ht="16.5" customHeight="1">
      <c r="A51" s="300" t="s">
        <v>2422</v>
      </c>
      <c r="B51" s="255" t="s">
        <v>2423</v>
      </c>
      <c r="C51" s="277">
        <f ca="1">ROUND(C49*F50,0)</f>
        <v>1672</v>
      </c>
      <c r="D51" s="277"/>
      <c r="E51" s="277"/>
      <c r="F51" s="309"/>
      <c r="G51" s="279" t="s">
        <v>2424</v>
      </c>
    </row>
    <row r="52" spans="1:7" s="253" customFormat="1" ht="16.5" thickBot="1">
      <c r="A52" s="310" t="s">
        <v>2425</v>
      </c>
      <c r="B52" s="311"/>
      <c r="C52" s="312">
        <f ca="1">C31+C51</f>
        <v>2805</v>
      </c>
      <c r="D52" s="311"/>
      <c r="E52" s="311"/>
      <c r="F52" s="311"/>
      <c r="G52" s="313"/>
    </row>
    <row r="55" spans="1:7" ht="15">
      <c r="B55" s="315" t="s">
        <v>2426</v>
      </c>
      <c r="C55" s="316"/>
    </row>
    <row r="56" spans="1:7">
      <c r="B56" s="318" t="s">
        <v>1514</v>
      </c>
      <c r="C56" s="320">
        <f ca="1">1-C57</f>
        <v>0.40400000000000003</v>
      </c>
    </row>
    <row r="57" spans="1:7">
      <c r="B57" s="318" t="s">
        <v>1515</v>
      </c>
      <c r="C57" s="319">
        <f ca="1">ROUND(C51/C52,3)</f>
        <v>0.59599999999999997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77" t="str">
        <f>项目基本情况!B1</f>
        <v>河北省保定市涞水县涞水镇府前街2号桥北侧6A#房地产抵押价值预评估</v>
      </c>
      <c r="C37" s="3077"/>
      <c r="D37" s="3077"/>
      <c r="E37" s="3077"/>
      <c r="F37" s="3077"/>
      <c r="G37" s="3077"/>
      <c r="H37" s="3077"/>
      <c r="I37" s="3077"/>
    </row>
    <row r="38" spans="1:9">
      <c r="A38" s="1018"/>
      <c r="B38" s="1018"/>
    </row>
    <row r="39" spans="1:9">
      <c r="A39" s="1016" t="s">
        <v>818</v>
      </c>
      <c r="B39" s="1016" t="s">
        <v>820</v>
      </c>
    </row>
    <row r="40" spans="1:9">
      <c r="A40" s="1016"/>
      <c r="B40" s="1944" t="str">
        <f>项目基本情况!B5</f>
        <v>河北旭嘉房地产开发有限公司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郑燚（注册号：1120070131)、王萌（注册号：1120130048)</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2325</v>
      </c>
      <c r="B1" s="1939"/>
      <c r="C1" s="2550" t="s">
        <v>2427</v>
      </c>
      <c r="D1" s="243"/>
      <c r="E1" s="243"/>
      <c r="F1" s="243"/>
      <c r="G1" s="1381">
        <f>MATCH(B1,'数据-取费表'!A6:A16,0)+5</f>
        <v>8</v>
      </c>
      <c r="H1" s="1284" t="str">
        <f>IF(ISERROR(FIND("住宅",B1)),"非住宅","住宅")</f>
        <v>非住宅</v>
      </c>
    </row>
    <row r="2" spans="1:8" s="245" customFormat="1" ht="18" customHeight="1">
      <c r="A2" s="246" t="s">
        <v>2326</v>
      </c>
      <c r="B2" s="247">
        <f ca="1">ROUND(IF(D2="——",C52/10000,C52/10000-E2),0)</f>
        <v>1909</v>
      </c>
      <c r="C2" s="244" t="s">
        <v>2327</v>
      </c>
      <c r="D2" s="2544" t="s">
        <v>70</v>
      </c>
      <c r="E2" s="1442" t="e">
        <f ca="1">SUMIF(INDIRECT("'"&amp;G2&amp;"'"&amp;"!A:A"),"承租人权益价值",INDIRECT("'"&amp;G2&amp;"'"&amp;"!c:c"))</f>
        <v>#REF!</v>
      </c>
      <c r="F2" s="2545" t="s">
        <v>2327</v>
      </c>
      <c r="G2" s="2546"/>
    </row>
    <row r="3" spans="1:8" s="245" customFormat="1" ht="18" customHeight="1" thickBot="1">
      <c r="A3" s="248" t="s">
        <v>2328</v>
      </c>
      <c r="B3" s="249">
        <f ca="1">ROUND(B2*10000/(IF(B1="",'数据-汇总表'!E3,INDIRECT("'数据-取费表'!k"&amp;$G$1))),0)</f>
        <v>2458</v>
      </c>
      <c r="C3" s="244" t="s">
        <v>2329</v>
      </c>
      <c r="D3" s="244"/>
      <c r="E3" s="244"/>
      <c r="F3" s="244"/>
      <c r="G3" s="244"/>
    </row>
    <row r="4" spans="1:8" s="253" customFormat="1" ht="15.75">
      <c r="A4" s="250" t="s">
        <v>2330</v>
      </c>
      <c r="B4" s="251"/>
      <c r="C4" s="251"/>
      <c r="D4" s="251"/>
      <c r="E4" s="251"/>
      <c r="F4" s="251"/>
      <c r="G4" s="252"/>
    </row>
    <row r="5" spans="1:8" s="259" customFormat="1" ht="13.5" customHeight="1">
      <c r="A5" s="300" t="s">
        <v>2331</v>
      </c>
      <c r="B5" s="255" t="s">
        <v>2332</v>
      </c>
      <c r="C5" s="256">
        <f ca="1">C6+C7+C8</f>
        <v>698882</v>
      </c>
      <c r="D5" s="256" t="s">
        <v>2333</v>
      </c>
      <c r="E5" s="257" t="s">
        <v>2334</v>
      </c>
      <c r="F5" s="257" t="s">
        <v>2335</v>
      </c>
      <c r="G5" s="258"/>
    </row>
    <row r="6" spans="1:8" s="259" customFormat="1" ht="13.5" customHeight="1">
      <c r="A6" s="951" t="s">
        <v>2336</v>
      </c>
      <c r="B6" s="260" t="s">
        <v>2337</v>
      </c>
      <c r="C6" s="261"/>
      <c r="D6" s="262"/>
      <c r="E6" s="263"/>
      <c r="F6" s="263"/>
      <c r="G6" s="264"/>
    </row>
    <row r="7" spans="1:8" s="259" customFormat="1" ht="13.5" customHeight="1">
      <c r="A7" s="951" t="s">
        <v>2338</v>
      </c>
      <c r="B7" s="260" t="s">
        <v>2339</v>
      </c>
      <c r="C7" s="265">
        <f>ROUND(C6*F7,0)</f>
        <v>0</v>
      </c>
      <c r="D7" s="265"/>
      <c r="E7" s="263"/>
      <c r="F7" s="266">
        <f>'数据-取费表'!B48+'数据-取费表'!B49</f>
        <v>3.0499999999999999E-2</v>
      </c>
      <c r="G7" s="264"/>
    </row>
    <row r="8" spans="1:8" s="268" customFormat="1">
      <c r="A8" s="951" t="s">
        <v>2340</v>
      </c>
      <c r="B8" s="260" t="s">
        <v>2341</v>
      </c>
      <c r="C8" s="265">
        <f ca="1">IF(G8="已包含在土地购买价格中",0,C9+C10)</f>
        <v>698882</v>
      </c>
      <c r="D8" s="267"/>
      <c r="E8" s="265"/>
      <c r="F8" s="266"/>
      <c r="G8" s="2547"/>
    </row>
    <row r="9" spans="1:8" s="259" customFormat="1" ht="13.5" customHeight="1">
      <c r="A9" s="952" t="s">
        <v>800</v>
      </c>
      <c r="B9" s="269" t="s">
        <v>2342</v>
      </c>
      <c r="C9" s="270">
        <f ca="1">ROUND(D9*E9,0)</f>
        <v>0</v>
      </c>
      <c r="D9" s="1034">
        <f ca="1">IF(B1="",'数据-汇总表'!E5,IF(INDIRECT("'数据-取费表'!c"&amp;$G$1)="住宅",INDIRECT("'数据-取费表'!k"&amp;$G$1),0))</f>
        <v>0</v>
      </c>
      <c r="E9" s="270">
        <f>'数据-取费表'!B27</f>
        <v>90</v>
      </c>
      <c r="F9" s="266"/>
      <c r="G9" s="271"/>
    </row>
    <row r="10" spans="1:8" s="259" customFormat="1" ht="13.5" customHeight="1">
      <c r="A10" s="952" t="s">
        <v>801</v>
      </c>
      <c r="B10" s="269" t="s">
        <v>2344</v>
      </c>
      <c r="C10" s="270">
        <f ca="1">ROUND(D10*E10,0)</f>
        <v>698882</v>
      </c>
      <c r="D10" s="1034">
        <f ca="1">IF(B1="",'数据-汇总表'!E6,IF(INDIRECT("'数据-取费表'!c"&amp;$G$1)="住宅",INDIRECT("'数据-取费表'!s"&amp;$G$1),INDIRECT("'数据-取费表'!k"&amp;$G$1)+INDIRECT("'数据-取费表'!s"&amp;$G$1)))</f>
        <v>7765.3499999999995</v>
      </c>
      <c r="E10" s="270">
        <f>'数据-取费表'!B28</f>
        <v>90</v>
      </c>
      <c r="F10" s="266"/>
      <c r="G10" s="271"/>
    </row>
    <row r="11" spans="1:8" s="259" customFormat="1" ht="13.5" hidden="1" customHeight="1">
      <c r="A11" s="272" t="s">
        <v>7</v>
      </c>
      <c r="B11" s="260" t="s">
        <v>2345</v>
      </c>
      <c r="C11" s="256"/>
      <c r="D11" s="1036"/>
      <c r="E11" s="263"/>
      <c r="F11" s="263"/>
      <c r="G11" s="264"/>
    </row>
    <row r="12" spans="1:8" s="259" customFormat="1" ht="13.5" hidden="1" customHeight="1">
      <c r="A12" s="272" t="s">
        <v>8</v>
      </c>
      <c r="B12" s="260" t="s">
        <v>2428</v>
      </c>
      <c r="C12" s="256">
        <v>0</v>
      </c>
      <c r="D12" s="1036"/>
      <c r="E12" s="273"/>
      <c r="F12" s="266">
        <v>3.0499999999999999E-2</v>
      </c>
      <c r="G12" s="264"/>
    </row>
    <row r="13" spans="1:8" s="259" customFormat="1" ht="13.5" hidden="1" customHeight="1">
      <c r="A13" s="272" t="s">
        <v>9</v>
      </c>
      <c r="B13" s="260" t="s">
        <v>2429</v>
      </c>
      <c r="C13" s="256"/>
      <c r="D13" s="1036"/>
      <c r="E13" s="263"/>
      <c r="F13" s="263"/>
      <c r="G13" s="264"/>
    </row>
    <row r="14" spans="1:8" s="259" customFormat="1" ht="13.5" hidden="1" customHeight="1">
      <c r="A14" s="272" t="s">
        <v>10</v>
      </c>
      <c r="B14" s="260" t="s">
        <v>2341</v>
      </c>
      <c r="C14" s="256"/>
      <c r="D14" s="1036"/>
      <c r="E14" s="263"/>
      <c r="F14" s="263"/>
      <c r="G14" s="264" t="s">
        <v>2430</v>
      </c>
    </row>
    <row r="15" spans="1:8" s="259" customFormat="1" ht="13.5" hidden="1" customHeight="1">
      <c r="A15" s="272" t="s">
        <v>11</v>
      </c>
      <c r="B15" s="260" t="s">
        <v>2431</v>
      </c>
      <c r="C15" s="265"/>
      <c r="D15" s="1036"/>
      <c r="E15" s="263"/>
      <c r="F15" s="263"/>
      <c r="G15" s="264" t="s">
        <v>2432</v>
      </c>
    </row>
    <row r="16" spans="1:8" s="259" customFormat="1" ht="13.5" hidden="1" customHeight="1">
      <c r="A16" s="272" t="s">
        <v>12</v>
      </c>
      <c r="B16" s="260" t="s">
        <v>2341</v>
      </c>
      <c r="C16" s="265"/>
      <c r="D16" s="1036"/>
      <c r="E16" s="263"/>
      <c r="F16" s="263"/>
      <c r="G16" s="264"/>
    </row>
    <row r="17" spans="1:7" s="259" customFormat="1" ht="13.5" hidden="1" customHeight="1">
      <c r="A17" s="272" t="s">
        <v>13</v>
      </c>
      <c r="B17" s="260" t="s">
        <v>2433</v>
      </c>
      <c r="C17" s="274"/>
      <c r="D17" s="1037"/>
      <c r="E17" s="274"/>
      <c r="F17" s="274"/>
      <c r="G17" s="264" t="s">
        <v>2432</v>
      </c>
    </row>
    <row r="18" spans="1:7" s="259" customFormat="1" ht="13.5" hidden="1" customHeight="1">
      <c r="A18" s="272" t="s">
        <v>14</v>
      </c>
      <c r="B18" s="260" t="s">
        <v>2434</v>
      </c>
      <c r="C18" s="265">
        <v>0</v>
      </c>
      <c r="D18" s="1036"/>
      <c r="E18" s="263"/>
      <c r="F18" s="266">
        <v>3.0499999999999999E-2</v>
      </c>
      <c r="G18" s="264" t="s">
        <v>2435</v>
      </c>
    </row>
    <row r="19" spans="1:7" s="268" customFormat="1" ht="13.5" customHeight="1">
      <c r="A19" s="300" t="s">
        <v>2436</v>
      </c>
      <c r="B19" s="255" t="s">
        <v>2437</v>
      </c>
      <c r="C19" s="256">
        <f ca="1">IF(G19="已包含在土地取得成本中","0",ROUND(D19*E19,0))</f>
        <v>1164803</v>
      </c>
      <c r="D19" s="1038">
        <f ca="1">D9+D10</f>
        <v>7765.3499999999995</v>
      </c>
      <c r="E19" s="256">
        <f>'数据-取费表'!B31</f>
        <v>150</v>
      </c>
      <c r="F19" s="276"/>
      <c r="G19" s="2547"/>
    </row>
    <row r="20" spans="1:7" s="259" customFormat="1" ht="13.5" customHeight="1">
      <c r="A20" s="300" t="s">
        <v>2438</v>
      </c>
      <c r="B20" s="255" t="s">
        <v>2439</v>
      </c>
      <c r="C20" s="277">
        <f ca="1">ROUND((C5+C19)*F20,0)</f>
        <v>37274</v>
      </c>
      <c r="D20" s="277"/>
      <c r="E20" s="277"/>
      <c r="F20" s="278">
        <f>'数据-取费表'!B37</f>
        <v>0.02</v>
      </c>
      <c r="G20" s="279" t="s">
        <v>2440</v>
      </c>
    </row>
    <row r="21" spans="1:7" s="259" customFormat="1" ht="13.5" customHeight="1">
      <c r="A21" s="300" t="s">
        <v>2441</v>
      </c>
      <c r="B21" s="255" t="s">
        <v>2442</v>
      </c>
      <c r="C21" s="280">
        <f>F21</f>
        <v>0.02</v>
      </c>
      <c r="D21" s="281" t="s">
        <v>2443</v>
      </c>
      <c r="E21" s="277"/>
      <c r="F21" s="278">
        <f>'数据-取费表'!B38</f>
        <v>0.02</v>
      </c>
      <c r="G21" s="279" t="s">
        <v>2444</v>
      </c>
    </row>
    <row r="22" spans="1:7" s="259" customFormat="1" ht="13.5" customHeight="1">
      <c r="A22" s="300" t="s">
        <v>2445</v>
      </c>
      <c r="B22" s="255" t="s">
        <v>2446</v>
      </c>
      <c r="C22" s="1382">
        <f ca="1">ROUND(SUM(C23:C25),0)</f>
        <v>81881</v>
      </c>
      <c r="D22" s="280">
        <f ca="1">C26</f>
        <v>4.0000000000000002E-4</v>
      </c>
      <c r="E22" s="281" t="s">
        <v>2443</v>
      </c>
      <c r="F22" s="282">
        <f ca="1">'数据-取费表'!B40</f>
        <v>4.3499999999999997E-2</v>
      </c>
      <c r="G22" s="279" t="str">
        <f>IF('数据-取费表'!B22&lt;=1,"单利计息","复利计息")</f>
        <v>单利计息</v>
      </c>
    </row>
    <row r="23" spans="1:7" s="259" customFormat="1" ht="13.5" customHeight="1">
      <c r="A23" s="953" t="s">
        <v>2336</v>
      </c>
      <c r="B23" s="260" t="s">
        <v>2447</v>
      </c>
      <c r="C23" s="1383">
        <f ca="1">ROUND(IF('数据-取费表'!B22&lt;=1,C5*F22*'数据-取费表'!B22,C5*(POWER((1+F22),'数据-取费表'!B22)-1)),0)</f>
        <v>30401</v>
      </c>
      <c r="D23" s="283"/>
      <c r="E23" s="283"/>
      <c r="F23" s="284"/>
      <c r="G23" s="285" t="s">
        <v>2448</v>
      </c>
    </row>
    <row r="24" spans="1:7" s="259" customFormat="1" ht="13.5" customHeight="1">
      <c r="A24" s="953" t="s">
        <v>2338</v>
      </c>
      <c r="B24" s="260" t="s">
        <v>2449</v>
      </c>
      <c r="C24" s="1383">
        <f ca="1">ROUND(IF('数据-取费表'!B22&lt;=1,C19*F22*('数据-取费表'!B19/2+'数据-取费表'!B20),C19*(POWER((1+F22),('数据-取费表'!B19/2+'数据-取费表'!B20))-1)),0)</f>
        <v>50669</v>
      </c>
      <c r="D24" s="283"/>
      <c r="E24" s="283"/>
      <c r="F24" s="284"/>
      <c r="G24" s="285" t="s">
        <v>2450</v>
      </c>
    </row>
    <row r="25" spans="1:7" s="259" customFormat="1" ht="24">
      <c r="A25" s="953" t="s">
        <v>2340</v>
      </c>
      <c r="B25" s="260" t="s">
        <v>2451</v>
      </c>
      <c r="C25" s="1383">
        <f ca="1">ROUND(IF('数据-取费表'!B22&lt;=1,C20*F22*'数据-取费表'!B22/2,C20*(POWER((1+F22),'数据-取费表'!B22/2)-1)),0)</f>
        <v>811</v>
      </c>
      <c r="D25" s="283"/>
      <c r="E25" s="286"/>
      <c r="F25" s="284"/>
      <c r="G25" s="287" t="s">
        <v>2452</v>
      </c>
    </row>
    <row r="26" spans="1:7" s="259" customFormat="1">
      <c r="A26" s="953" t="s">
        <v>795</v>
      </c>
      <c r="B26" s="260" t="s">
        <v>2375</v>
      </c>
      <c r="C26" s="283">
        <f ca="1">ROUND(IF('数据-取费表'!B22&lt;=1,F21*F22*'数据-取费表'!B22/2,F21*(POWER((1+F22),'数据-取费表'!B22/2)-1)),4)</f>
        <v>4.0000000000000002E-4</v>
      </c>
      <c r="D26" s="283"/>
      <c r="E26" s="286"/>
      <c r="F26" s="284"/>
      <c r="G26" s="288"/>
    </row>
    <row r="27" spans="1:7" s="259" customFormat="1" ht="24.75">
      <c r="A27" s="300" t="s">
        <v>2376</v>
      </c>
      <c r="B27" s="289" t="s">
        <v>2377</v>
      </c>
      <c r="C27" s="290">
        <f ca="1">C28</f>
        <v>190096</v>
      </c>
      <c r="D27" s="280">
        <f ca="1">C29</f>
        <v>2E-3</v>
      </c>
      <c r="E27" s="281" t="s">
        <v>2378</v>
      </c>
      <c r="F27" s="291">
        <f ca="1">IF(B1="",'数据-取费表'!Q16,INDIRECT("'数据-取费表'!q"&amp;$G$1))</f>
        <v>0.1</v>
      </c>
      <c r="G27" s="292" t="s">
        <v>2379</v>
      </c>
    </row>
    <row r="28" spans="1:7" s="259" customFormat="1" ht="13.5" customHeight="1">
      <c r="A28" s="953" t="s">
        <v>791</v>
      </c>
      <c r="B28" s="293" t="s">
        <v>2380</v>
      </c>
      <c r="C28" s="294">
        <f ca="1">ROUND((C5+C19+C20)*F27,0)</f>
        <v>190096</v>
      </c>
      <c r="D28" s="280"/>
      <c r="E28" s="281"/>
      <c r="F28" s="291"/>
      <c r="G28" s="292"/>
    </row>
    <row r="29" spans="1:7" s="259" customFormat="1" ht="13.5" customHeight="1">
      <c r="A29" s="953" t="s">
        <v>792</v>
      </c>
      <c r="B29" s="293" t="s">
        <v>2381</v>
      </c>
      <c r="C29" s="283">
        <f ca="1">ROUND(C21*F27,4)</f>
        <v>2E-3</v>
      </c>
      <c r="D29" s="280"/>
      <c r="E29" s="281"/>
      <c r="F29" s="291"/>
      <c r="G29" s="292"/>
    </row>
    <row r="30" spans="1:7" s="259" customFormat="1" ht="13.5" customHeight="1">
      <c r="A30" s="300" t="s">
        <v>2382</v>
      </c>
      <c r="B30" s="255" t="s">
        <v>2383</v>
      </c>
      <c r="C30" s="280">
        <f>ROUND(F30/(1+'数据-取费表'!C42),4)</f>
        <v>5.8299999999999998E-2</v>
      </c>
      <c r="D30" s="281" t="s">
        <v>2378</v>
      </c>
      <c r="E30" s="286"/>
      <c r="F30" s="282">
        <f>'数据-取费表'!B41</f>
        <v>6.1600000000000002E-2</v>
      </c>
      <c r="G30" s="279" t="s">
        <v>2384</v>
      </c>
    </row>
    <row r="31" spans="1:7" ht="16.5" customHeight="1">
      <c r="A31" s="254">
        <v>1</v>
      </c>
      <c r="B31" s="255" t="s">
        <v>2385</v>
      </c>
      <c r="C31" s="256">
        <f ca="1">ROUND((C5+C19+C20+C22+C27)/(1-C21-D22-D27-C30),0)</f>
        <v>2363685</v>
      </c>
      <c r="D31" s="275"/>
      <c r="E31" s="256"/>
      <c r="F31" s="295"/>
      <c r="G31" s="279" t="s">
        <v>2386</v>
      </c>
    </row>
    <row r="32" spans="1:7" s="253" customFormat="1" ht="15.75">
      <c r="A32" s="297" t="s">
        <v>2453</v>
      </c>
      <c r="B32" s="298"/>
      <c r="C32" s="298"/>
      <c r="D32" s="298"/>
      <c r="E32" s="298"/>
      <c r="F32" s="298"/>
      <c r="G32" s="299"/>
    </row>
    <row r="33" spans="1:7" s="259" customFormat="1" ht="13.5" customHeight="1">
      <c r="A33" s="300" t="s">
        <v>782</v>
      </c>
      <c r="B33" s="255" t="s">
        <v>2454</v>
      </c>
      <c r="C33" s="301">
        <f ca="1">SUM(C34:C38)</f>
        <v>14148468</v>
      </c>
      <c r="D33" s="277"/>
      <c r="E33" s="257"/>
      <c r="F33" s="286"/>
      <c r="G33" s="279"/>
    </row>
    <row r="34" spans="1:7" s="303" customFormat="1" ht="13.5" customHeight="1">
      <c r="A34" s="953" t="s">
        <v>791</v>
      </c>
      <c r="B34" s="260" t="s">
        <v>2389</v>
      </c>
      <c r="C34" s="265">
        <f ca="1">ROUND(IF(B1="",SUMPRODUCT('数据-取费表'!K6:K14,'数据-取费表'!L6:L14),INDIRECT("'数据-取费表'!l"&amp;$G$1)*INDIRECT("'数据-取费表'!k"&amp;$G$1)+'数据-取费表'!L14*INDIRECT("'数据-取费表'!S"&amp;$G$1)),0)</f>
        <v>12424560</v>
      </c>
      <c r="D34" s="262"/>
      <c r="E34" s="265"/>
      <c r="F34" s="302"/>
      <c r="G34" s="264"/>
    </row>
    <row r="35" spans="1:7" ht="13.5" customHeight="1">
      <c r="A35" s="953" t="s">
        <v>796</v>
      </c>
      <c r="B35" s="260" t="s">
        <v>2391</v>
      </c>
      <c r="C35" s="265">
        <f ca="1">ROUND(C34*F35,0)</f>
        <v>372737</v>
      </c>
      <c r="D35" s="265"/>
      <c r="E35" s="265"/>
      <c r="F35" s="304">
        <f>'数据-取费表'!B33</f>
        <v>0.03</v>
      </c>
      <c r="G35" s="264" t="s">
        <v>2392</v>
      </c>
    </row>
    <row r="36" spans="1:7" ht="24">
      <c r="A36" s="953" t="s">
        <v>797</v>
      </c>
      <c r="B36" s="260" t="s">
        <v>2393</v>
      </c>
      <c r="C36" s="265">
        <f ca="1">ROUND(IF(B1="",SUM('数据-取费表'!AP6:AP13)*F36,IF(INDIRECT("'数据-取费表'!c"&amp;$G$1)="住宅",INDIRECT("'数据-取费表'!k"&amp;$G$1)*INDIRECT("'数据-取费表'!l"&amp;$G$1)*F36,0)),0)</f>
        <v>0</v>
      </c>
      <c r="D36" s="265"/>
      <c r="E36" s="265"/>
      <c r="F36" s="304">
        <f>'数据-取费表'!B34</f>
        <v>0.05</v>
      </c>
      <c r="G36" s="305" t="s">
        <v>2394</v>
      </c>
    </row>
    <row r="37" spans="1:7" s="303" customFormat="1" ht="13.5" customHeight="1">
      <c r="A37" s="953" t="s">
        <v>798</v>
      </c>
      <c r="B37" s="260" t="s">
        <v>2395</v>
      </c>
      <c r="C37" s="294">
        <f ca="1">ROUND(E37*D37,0)</f>
        <v>1164803</v>
      </c>
      <c r="D37" s="262">
        <f ca="1">D19</f>
        <v>7765.3499999999995</v>
      </c>
      <c r="E37" s="294">
        <f>'数据-取费表'!B35</f>
        <v>150</v>
      </c>
      <c r="F37" s="304"/>
      <c r="G37" s="306"/>
    </row>
    <row r="38" spans="1:7" ht="13.5" customHeight="1">
      <c r="A38" s="953" t="s">
        <v>799</v>
      </c>
      <c r="B38" s="260" t="s">
        <v>2397</v>
      </c>
      <c r="C38" s="265">
        <f ca="1">ROUND(C34*F38,0)</f>
        <v>186368</v>
      </c>
      <c r="D38" s="265"/>
      <c r="E38" s="265"/>
      <c r="F38" s="304">
        <f>'数据-取费表'!B36</f>
        <v>1.4999999999999999E-2</v>
      </c>
      <c r="G38" s="264" t="s">
        <v>2392</v>
      </c>
    </row>
    <row r="39" spans="1:7" s="259" customFormat="1" ht="13.5" customHeight="1">
      <c r="A39" s="300" t="s">
        <v>2398</v>
      </c>
      <c r="B39" s="255" t="s">
        <v>2399</v>
      </c>
      <c r="C39" s="277">
        <f ca="1">ROUND(C33*F20,0)</f>
        <v>282969</v>
      </c>
      <c r="D39" s="277"/>
      <c r="E39" s="277"/>
      <c r="F39" s="278"/>
      <c r="G39" s="279" t="s">
        <v>2400</v>
      </c>
    </row>
    <row r="40" spans="1:7" s="259" customFormat="1" ht="13.5" customHeight="1">
      <c r="A40" s="300" t="s">
        <v>2401</v>
      </c>
      <c r="B40" s="255" t="s">
        <v>2402</v>
      </c>
      <c r="C40" s="1731">
        <f>F21</f>
        <v>0.02</v>
      </c>
      <c r="D40" s="281" t="s">
        <v>2403</v>
      </c>
      <c r="E40" s="277"/>
      <c r="F40" s="278"/>
      <c r="G40" s="279" t="s">
        <v>2404</v>
      </c>
    </row>
    <row r="41" spans="1:7" s="259" customFormat="1" ht="13.5" customHeight="1">
      <c r="A41" s="300" t="s">
        <v>2405</v>
      </c>
      <c r="B41" s="255" t="s">
        <v>2406</v>
      </c>
      <c r="C41" s="277">
        <f ca="1">ROUND(SUM(C42:C43),0)</f>
        <v>313884</v>
      </c>
      <c r="D41" s="280">
        <f ca="1">C44</f>
        <v>4.0000000000000002E-4</v>
      </c>
      <c r="E41" s="281" t="s">
        <v>2403</v>
      </c>
      <c r="F41" s="282"/>
      <c r="G41" s="279" t="str">
        <f>IF('数据-取费表'!B22&lt;=1,"单利计息","复利计息")</f>
        <v>单利计息</v>
      </c>
    </row>
    <row r="42" spans="1:7" ht="13.5" customHeight="1">
      <c r="A42" s="953" t="s">
        <v>791</v>
      </c>
      <c r="B42" s="260" t="s">
        <v>2407</v>
      </c>
      <c r="C42" s="283">
        <f ca="1">ROUND(IF('数据-取费表'!B22&lt;=1,C33*F22*'数据-取费表'!B20/2,C33*(POWER((1+F22),'数据-取费表'!B20/2)-1)),0)</f>
        <v>307729</v>
      </c>
      <c r="D42" s="283"/>
      <c r="E42" s="283"/>
      <c r="F42" s="284"/>
      <c r="G42" s="3263" t="s">
        <v>2455</v>
      </c>
    </row>
    <row r="43" spans="1:7" ht="13.5" customHeight="1">
      <c r="A43" s="953" t="s">
        <v>792</v>
      </c>
      <c r="B43" s="260" t="s">
        <v>2409</v>
      </c>
      <c r="C43" s="283">
        <f ca="1">ROUND(IF('数据-取费表'!B22&lt;=1,C39*F22*'数据-取费表'!B20/2,C39*(POWER((1+F22),'数据-取费表'!B20/2)-1)),0)</f>
        <v>6155</v>
      </c>
      <c r="D43" s="283"/>
      <c r="E43" s="283"/>
      <c r="F43" s="284"/>
      <c r="G43" s="3264"/>
    </row>
    <row r="44" spans="1:7" ht="13.5" customHeight="1">
      <c r="A44" s="953" t="s">
        <v>793</v>
      </c>
      <c r="B44" s="260" t="s">
        <v>2410</v>
      </c>
      <c r="C44" s="283">
        <f ca="1">ROUND(IF('数据-取费表'!B22&lt;=1,C40*F22*'数据-取费表'!B20/2,C40*(POWER((1+F22),'数据-取费表'!B20/2)-1)),4)</f>
        <v>4.0000000000000002E-4</v>
      </c>
      <c r="D44" s="283"/>
      <c r="E44" s="283"/>
      <c r="F44" s="284"/>
      <c r="G44" s="3265"/>
    </row>
    <row r="45" spans="1:7" s="259" customFormat="1" ht="13.5" customHeight="1">
      <c r="A45" s="300" t="s">
        <v>2411</v>
      </c>
      <c r="B45" s="289" t="s">
        <v>2377</v>
      </c>
      <c r="C45" s="290">
        <f ca="1">C46</f>
        <v>1443144</v>
      </c>
      <c r="D45" s="280">
        <f ca="1">C47</f>
        <v>2E-3</v>
      </c>
      <c r="E45" s="281" t="s">
        <v>2403</v>
      </c>
      <c r="F45" s="291"/>
      <c r="G45" s="292" t="s">
        <v>2412</v>
      </c>
    </row>
    <row r="46" spans="1:7" s="259" customFormat="1" ht="13.5" customHeight="1">
      <c r="A46" s="953" t="s">
        <v>791</v>
      </c>
      <c r="B46" s="293" t="s">
        <v>2413</v>
      </c>
      <c r="C46" s="294">
        <f ca="1">ROUND((C33+C39)*F27,0)</f>
        <v>1443144</v>
      </c>
      <c r="D46" s="308"/>
      <c r="E46" s="281"/>
      <c r="F46" s="291"/>
      <c r="G46" s="292"/>
    </row>
    <row r="47" spans="1:7" s="259" customFormat="1" ht="13.5" customHeight="1">
      <c r="A47" s="953" t="s">
        <v>792</v>
      </c>
      <c r="B47" s="293" t="s">
        <v>2414</v>
      </c>
      <c r="C47" s="283">
        <f ca="1">ROUND(C40*F27,4)</f>
        <v>2E-3</v>
      </c>
      <c r="D47" s="308"/>
      <c r="E47" s="281"/>
      <c r="F47" s="291"/>
      <c r="G47" s="292"/>
    </row>
    <row r="48" spans="1:7" s="259" customFormat="1" ht="13.5" customHeight="1">
      <c r="A48" s="300" t="s">
        <v>2376</v>
      </c>
      <c r="B48" s="255" t="s">
        <v>2415</v>
      </c>
      <c r="C48" s="307">
        <f>ROUND(F30/(1+'数据-取费表'!C42),4)</f>
        <v>5.8299999999999998E-2</v>
      </c>
      <c r="D48" s="281" t="s">
        <v>2403</v>
      </c>
      <c r="E48" s="277"/>
      <c r="F48" s="282"/>
      <c r="G48" s="279" t="s">
        <v>2416</v>
      </c>
    </row>
    <row r="49" spans="1:7" ht="16.5" customHeight="1">
      <c r="A49" s="300" t="s">
        <v>2382</v>
      </c>
      <c r="B49" s="255" t="s">
        <v>2456</v>
      </c>
      <c r="C49" s="277">
        <f ca="1">ROUND((C33+C39+C41+C45)/(1-C40-D41-D45-C48),0)</f>
        <v>17609556</v>
      </c>
      <c r="D49" s="277"/>
      <c r="E49" s="277"/>
      <c r="F49" s="309"/>
      <c r="G49" s="279" t="s">
        <v>2418</v>
      </c>
    </row>
    <row r="50" spans="1:7" s="303" customFormat="1">
      <c r="A50" s="300" t="s">
        <v>2419</v>
      </c>
      <c r="B50" s="255" t="s">
        <v>2420</v>
      </c>
      <c r="C50" s="277"/>
      <c r="D50" s="277"/>
      <c r="E50" s="277"/>
      <c r="F50" s="309">
        <f>IF('数据-取费表'!B24=0,'数据-取费表'!N16,1)</f>
        <v>0.95</v>
      </c>
      <c r="G50" s="292"/>
    </row>
    <row r="51" spans="1:7" ht="16.5" customHeight="1">
      <c r="A51" s="300" t="s">
        <v>2422</v>
      </c>
      <c r="B51" s="255" t="s">
        <v>2457</v>
      </c>
      <c r="C51" s="277">
        <f ca="1">ROUND(C49*F50,0)</f>
        <v>16729078</v>
      </c>
      <c r="D51" s="277"/>
      <c r="E51" s="277"/>
      <c r="F51" s="309"/>
      <c r="G51" s="279" t="s">
        <v>2424</v>
      </c>
    </row>
    <row r="52" spans="1:7" s="253" customFormat="1" ht="16.5" thickBot="1">
      <c r="A52" s="310" t="s">
        <v>2425</v>
      </c>
      <c r="B52" s="311"/>
      <c r="C52" s="312">
        <f ca="1">C31+C51</f>
        <v>19092763</v>
      </c>
      <c r="D52" s="311"/>
      <c r="E52" s="311"/>
      <c r="F52" s="311"/>
      <c r="G52" s="313"/>
    </row>
    <row r="55" spans="1:7" ht="15">
      <c r="B55" s="315" t="s">
        <v>2426</v>
      </c>
      <c r="C55" s="316"/>
    </row>
    <row r="56" spans="1:7">
      <c r="B56" s="318" t="s">
        <v>1514</v>
      </c>
      <c r="C56" s="320">
        <f ca="1">1-C57</f>
        <v>0.124</v>
      </c>
    </row>
    <row r="57" spans="1:7">
      <c r="B57" s="318" t="s">
        <v>1515</v>
      </c>
      <c r="C57" s="319">
        <f ca="1">ROUND(C51/C52,3)</f>
        <v>0.876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zoomScale="80" zoomScaleNormal="80" workbookViewId="0">
      <selection activeCell="C104" sqref="C104:F104"/>
    </sheetView>
  </sheetViews>
  <sheetFormatPr defaultRowHeight="14.25"/>
  <cols>
    <col min="1" max="1" width="14.375" style="404" customWidth="1"/>
    <col min="2" max="2" width="15.75" style="404" customWidth="1"/>
    <col min="3" max="3" width="16.12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2739</v>
      </c>
      <c r="B1" s="396"/>
      <c r="C1" s="397" t="s">
        <v>2740</v>
      </c>
      <c r="D1" s="754"/>
      <c r="E1" s="754"/>
      <c r="F1" s="753" t="s">
        <v>2639</v>
      </c>
      <c r="G1" s="754"/>
      <c r="H1" s="754"/>
      <c r="I1" s="754"/>
      <c r="J1" s="754"/>
      <c r="K1" s="755"/>
      <c r="L1" s="756"/>
      <c r="M1" s="757"/>
      <c r="N1" s="757"/>
      <c r="O1" s="757"/>
      <c r="P1" s="767"/>
      <c r="Q1" s="767"/>
      <c r="R1" s="767"/>
      <c r="S1" s="767"/>
      <c r="T1" s="767"/>
      <c r="U1" s="767"/>
      <c r="V1" s="767"/>
      <c r="W1" s="767"/>
      <c r="X1" s="767"/>
      <c r="Y1" s="767"/>
      <c r="Z1" s="767"/>
      <c r="AA1" s="767"/>
      <c r="AB1" s="767"/>
      <c r="AC1" s="768"/>
      <c r="AD1" s="398"/>
    </row>
    <row r="2" spans="1:30" s="399" customFormat="1" ht="28.5" customHeight="1">
      <c r="A2" s="246" t="s">
        <v>2326</v>
      </c>
      <c r="B2" s="671">
        <f>F66</f>
        <v>755</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8"/>
    </row>
    <row r="3" spans="1:30" s="399" customFormat="1" ht="28.5" customHeight="1" thickBot="1">
      <c r="A3" s="248" t="s">
        <v>2328</v>
      </c>
      <c r="B3" s="610">
        <f>ROUND(IF(D3="",B2*10000/'数据-汇总表'!E3,B2*10000/D3),0)</f>
        <v>972</v>
      </c>
      <c r="C3" s="248" t="s">
        <v>2741</v>
      </c>
      <c r="D3" s="1586">
        <f>'数据-汇总表'!E8</f>
        <v>7765.3499999999995</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2" t="s">
        <v>2641</v>
      </c>
      <c r="B4" s="403"/>
      <c r="C4" s="3270" t="s">
        <v>2642</v>
      </c>
      <c r="D4" s="3283"/>
      <c r="E4" s="3284" t="s">
        <v>2643</v>
      </c>
      <c r="F4" s="3285"/>
      <c r="G4" s="3270" t="s">
        <v>2644</v>
      </c>
      <c r="H4" s="3283"/>
      <c r="I4" s="3270" t="s">
        <v>2645</v>
      </c>
      <c r="J4" s="3283"/>
      <c r="K4" s="611" t="s">
        <v>2646</v>
      </c>
      <c r="L4" s="1132"/>
      <c r="M4" s="1133"/>
      <c r="N4" s="1133"/>
      <c r="O4" s="1133"/>
      <c r="P4" s="3286" t="s">
        <v>2647</v>
      </c>
      <c r="Q4" s="3287"/>
      <c r="R4" s="3292" t="s">
        <v>2643</v>
      </c>
      <c r="S4" s="3293"/>
      <c r="T4" s="3292" t="s">
        <v>2644</v>
      </c>
      <c r="U4" s="3293"/>
      <c r="V4" s="3279" t="s">
        <v>2645</v>
      </c>
      <c r="W4" s="3279"/>
      <c r="X4" s="1816"/>
      <c r="Y4" s="3292" t="s">
        <v>2647</v>
      </c>
      <c r="Z4" s="3293"/>
      <c r="AA4" s="3280" t="s">
        <v>2643</v>
      </c>
      <c r="AB4" s="3281" t="s">
        <v>2644</v>
      </c>
      <c r="AC4" s="3280" t="s">
        <v>2645</v>
      </c>
    </row>
    <row r="5" spans="1:30" ht="15">
      <c r="A5" s="405"/>
      <c r="B5" s="406"/>
      <c r="C5" s="3305" t="str">
        <f>项目基本情况!F10</f>
        <v>府前街2号桥北侧6A#</v>
      </c>
      <c r="D5" s="3301"/>
      <c r="E5" s="3309" t="s">
        <v>3095</v>
      </c>
      <c r="F5" s="3310"/>
      <c r="G5" s="3300" t="s">
        <v>3107</v>
      </c>
      <c r="H5" s="3301"/>
      <c r="I5" s="3300" t="s">
        <v>3105</v>
      </c>
      <c r="J5" s="3301"/>
      <c r="K5" s="611"/>
      <c r="L5" s="1132"/>
      <c r="M5" s="1133"/>
      <c r="N5" s="1133"/>
      <c r="O5" s="1133"/>
      <c r="P5" s="3288"/>
      <c r="Q5" s="3289"/>
      <c r="R5" s="3294"/>
      <c r="S5" s="3295"/>
      <c r="T5" s="3294"/>
      <c r="U5" s="3295"/>
      <c r="V5" s="3279"/>
      <c r="W5" s="3279"/>
      <c r="X5" s="1816"/>
      <c r="Y5" s="3294"/>
      <c r="Z5" s="3295"/>
      <c r="AA5" s="3281"/>
      <c r="AB5" s="3281"/>
      <c r="AC5" s="3281"/>
    </row>
    <row r="6" spans="1:30" ht="15.75" thickBot="1">
      <c r="A6" s="407"/>
      <c r="B6" s="408"/>
      <c r="C6" s="3306" t="str">
        <f>C5</f>
        <v>府前街2号桥北侧6A#</v>
      </c>
      <c r="D6" s="3299"/>
      <c r="E6" s="3307" t="s">
        <v>3096</v>
      </c>
      <c r="F6" s="3308"/>
      <c r="G6" s="3298" t="s">
        <v>3108</v>
      </c>
      <c r="H6" s="3299"/>
      <c r="I6" s="3298" t="s">
        <v>3106</v>
      </c>
      <c r="J6" s="3299"/>
      <c r="K6" s="611" t="s">
        <v>2543</v>
      </c>
      <c r="L6" s="1132"/>
      <c r="M6" s="1133"/>
      <c r="N6" s="1133"/>
      <c r="O6" s="1133"/>
      <c r="P6" s="3290"/>
      <c r="Q6" s="3291"/>
      <c r="R6" s="3294"/>
      <c r="S6" s="3295"/>
      <c r="T6" s="3296"/>
      <c r="U6" s="3297"/>
      <c r="V6" s="3279"/>
      <c r="W6" s="3279"/>
      <c r="X6" s="1816"/>
      <c r="Y6" s="3296"/>
      <c r="Z6" s="3297"/>
      <c r="AA6" s="3282"/>
      <c r="AB6" s="3282"/>
      <c r="AC6" s="3282"/>
    </row>
    <row r="7" spans="1:30" s="117" customFormat="1" ht="15.75" thickBot="1">
      <c r="A7" s="409" t="s">
        <v>2544</v>
      </c>
      <c r="B7" s="410"/>
      <c r="C7" s="411">
        <f>'数据-取费表'!B2</f>
        <v>43049</v>
      </c>
      <c r="D7" s="412">
        <v>100</v>
      </c>
      <c r="E7" s="413">
        <v>42956</v>
      </c>
      <c r="F7" s="414">
        <f>SUMIF(70:70,YEAR(E7)&amp;"-"&amp;INT((MONTH(E7)+2)/3),71:71)</f>
        <v>98.5</v>
      </c>
      <c r="G7" s="2693">
        <v>42863</v>
      </c>
      <c r="H7" s="412">
        <f>SUMIF(70:70,YEAR(G7)&amp;"-"&amp;INT((MONTH(G7)+2)/3),71:71)</f>
        <v>97</v>
      </c>
      <c r="I7" s="2693">
        <v>42863</v>
      </c>
      <c r="J7" s="412">
        <f>SUMIF(70:70,YEAR(I7)&amp;"-"&amp;INT((MONTH(I7)+2)/3),71:71)</f>
        <v>97</v>
      </c>
      <c r="K7" s="612"/>
      <c r="L7" s="1134"/>
      <c r="M7" s="1135"/>
      <c r="N7" s="1135"/>
      <c r="O7" s="1135"/>
      <c r="P7" s="3302" t="s">
        <v>2545</v>
      </c>
      <c r="Q7" s="3304"/>
      <c r="R7" s="769" t="s">
        <v>17</v>
      </c>
      <c r="S7" s="770">
        <f t="shared" ref="S7:S15" si="0">F7</f>
        <v>98.5</v>
      </c>
      <c r="T7" s="769" t="s">
        <v>17</v>
      </c>
      <c r="U7" s="770">
        <f t="shared" ref="U7:U15" si="1">H7</f>
        <v>97</v>
      </c>
      <c r="V7" s="769" t="s">
        <v>17</v>
      </c>
      <c r="W7" s="770">
        <f t="shared" ref="W7:W15" si="2">J7</f>
        <v>97</v>
      </c>
      <c r="X7" s="771"/>
      <c r="Y7" s="3302" t="s">
        <v>2545</v>
      </c>
      <c r="Z7" s="3303"/>
      <c r="AA7" s="772">
        <f>D7/F7</f>
        <v>1.015228426395939</v>
      </c>
      <c r="AB7" s="772">
        <f>D7/H7</f>
        <v>1.0309278350515463</v>
      </c>
      <c r="AC7" s="772">
        <f>D7/J7</f>
        <v>1.0309278350515463</v>
      </c>
    </row>
    <row r="8" spans="1:30" s="117" customFormat="1" ht="15.75" thickBot="1">
      <c r="A8" s="409" t="s">
        <v>2546</v>
      </c>
      <c r="B8" s="410"/>
      <c r="C8" s="415" t="s">
        <v>2547</v>
      </c>
      <c r="D8" s="412">
        <v>100</v>
      </c>
      <c r="E8" s="415" t="s">
        <v>3097</v>
      </c>
      <c r="F8" s="414">
        <f>SUMIF(73:73,E8,74:74)-SUMIF(73:73,C8,74:74)+100</f>
        <v>100</v>
      </c>
      <c r="G8" s="415" t="s">
        <v>3097</v>
      </c>
      <c r="H8" s="412">
        <f>SUMIF(73:73,G8,74:74)-SUMIF(73:73,C8,74:74)+100</f>
        <v>100</v>
      </c>
      <c r="I8" s="415" t="s">
        <v>3097</v>
      </c>
      <c r="J8" s="412">
        <f>SUMIF(73:73,I8,74:74)-SUMIF(73:73,C8,74:74)+100</f>
        <v>100</v>
      </c>
      <c r="K8" s="612"/>
      <c r="L8" s="1134"/>
      <c r="M8" s="1135"/>
      <c r="N8" s="1135"/>
      <c r="O8" s="1135"/>
      <c r="P8" s="3302" t="s">
        <v>2548</v>
      </c>
      <c r="Q8" s="3303"/>
      <c r="R8" s="769" t="s">
        <v>17</v>
      </c>
      <c r="S8" s="770">
        <f t="shared" si="0"/>
        <v>100</v>
      </c>
      <c r="T8" s="769" t="s">
        <v>17</v>
      </c>
      <c r="U8" s="770">
        <f t="shared" si="1"/>
        <v>100</v>
      </c>
      <c r="V8" s="769" t="s">
        <v>17</v>
      </c>
      <c r="W8" s="770">
        <f t="shared" si="2"/>
        <v>100</v>
      </c>
      <c r="X8" s="771"/>
      <c r="Y8" s="3302" t="s">
        <v>2548</v>
      </c>
      <c r="Z8" s="3303"/>
      <c r="AA8" s="772">
        <f t="shared" ref="AA8:AA45" si="3">D8/F8</f>
        <v>1</v>
      </c>
      <c r="AB8" s="772">
        <f t="shared" ref="AB8:AB45" si="4">D8/H8</f>
        <v>1</v>
      </c>
      <c r="AC8" s="772">
        <f t="shared" ref="AC8:AC45" si="5">D8/J8</f>
        <v>1</v>
      </c>
    </row>
    <row r="9" spans="1:30" s="117" customFormat="1" ht="28.5">
      <c r="A9" s="416" t="s">
        <v>2549</v>
      </c>
      <c r="B9" s="71" t="s">
        <v>2550</v>
      </c>
      <c r="C9" s="2696" t="s">
        <v>3065</v>
      </c>
      <c r="D9" s="135">
        <v>100</v>
      </c>
      <c r="E9" s="2696" t="s">
        <v>3065</v>
      </c>
      <c r="F9" s="135">
        <f>SUMIF(75:75,E9,76:76)-SUMIF(75:75,C9,76:76)+100</f>
        <v>100</v>
      </c>
      <c r="G9" s="2696" t="s">
        <v>3065</v>
      </c>
      <c r="H9" s="135">
        <f>SUMIF(75:75,G9,76:76)-SUMIF(75:75,C9,76:76)+100</f>
        <v>100</v>
      </c>
      <c r="I9" s="2696" t="s">
        <v>3065</v>
      </c>
      <c r="J9" s="135">
        <f>SUMIF(75:75,I9,76:76)-SUMIF(75:75,C9,76:76)+100</f>
        <v>100</v>
      </c>
      <c r="K9" s="612"/>
      <c r="L9" s="1134"/>
      <c r="M9" s="1135"/>
      <c r="N9" s="1135"/>
      <c r="O9" s="1136"/>
      <c r="P9" s="3273" t="s">
        <v>2551</v>
      </c>
      <c r="Q9" s="1798" t="str">
        <f t="shared" ref="Q9:Q15" si="6">B9</f>
        <v>用途</v>
      </c>
      <c r="R9" s="769" t="s">
        <v>17</v>
      </c>
      <c r="S9" s="770">
        <f t="shared" si="0"/>
        <v>100</v>
      </c>
      <c r="T9" s="769" t="s">
        <v>17</v>
      </c>
      <c r="U9" s="770">
        <f t="shared" si="1"/>
        <v>100</v>
      </c>
      <c r="V9" s="769" t="s">
        <v>17</v>
      </c>
      <c r="W9" s="770">
        <f t="shared" si="2"/>
        <v>100</v>
      </c>
      <c r="X9" s="771"/>
      <c r="Y9" s="3121" t="s">
        <v>2552</v>
      </c>
      <c r="Z9" s="55" t="str">
        <f t="shared" ref="Z9:Z15" si="7">Q9</f>
        <v>用途</v>
      </c>
      <c r="AA9" s="772">
        <f t="shared" si="3"/>
        <v>1</v>
      </c>
      <c r="AB9" s="772">
        <f t="shared" si="4"/>
        <v>1</v>
      </c>
      <c r="AC9" s="772">
        <f t="shared" si="5"/>
        <v>1</v>
      </c>
    </row>
    <row r="10" spans="1:30" s="428" customFormat="1" ht="28.5">
      <c r="A10" s="422"/>
      <c r="B10" s="423" t="s">
        <v>2553</v>
      </c>
      <c r="C10" s="433" t="str">
        <f>项目基本情况!F16</f>
        <v>商业34.44年</v>
      </c>
      <c r="D10" s="136">
        <v>100</v>
      </c>
      <c r="E10" s="466" t="s">
        <v>3094</v>
      </c>
      <c r="F10" s="136">
        <f>ROUND(100/'数据-取费表'!G16,0)</f>
        <v>106</v>
      </c>
      <c r="G10" s="464" t="s">
        <v>3094</v>
      </c>
      <c r="H10" s="136">
        <f>ROUND(100/'数据-取费表'!G16,0)</f>
        <v>106</v>
      </c>
      <c r="I10" s="464" t="s">
        <v>3094</v>
      </c>
      <c r="J10" s="136">
        <f>ROUND(100/'数据-取费表'!G16,0)</f>
        <v>106</v>
      </c>
      <c r="K10" s="672"/>
      <c r="L10" s="1137"/>
      <c r="M10" s="1138"/>
      <c r="N10" s="1138"/>
      <c r="O10" s="1139"/>
      <c r="P10" s="3273"/>
      <c r="Q10" s="1798" t="str">
        <f t="shared" si="6"/>
        <v>土地使用年限（年）</v>
      </c>
      <c r="R10" s="769" t="s">
        <v>17</v>
      </c>
      <c r="S10" s="770">
        <f t="shared" si="0"/>
        <v>106</v>
      </c>
      <c r="T10" s="769" t="s">
        <v>17</v>
      </c>
      <c r="U10" s="770">
        <f t="shared" si="1"/>
        <v>106</v>
      </c>
      <c r="V10" s="769" t="s">
        <v>17</v>
      </c>
      <c r="W10" s="770">
        <f t="shared" si="2"/>
        <v>106</v>
      </c>
      <c r="X10" s="771"/>
      <c r="Y10" s="3121"/>
      <c r="Z10" s="55" t="str">
        <f t="shared" si="7"/>
        <v>土地使用年限（年）</v>
      </c>
      <c r="AA10" s="772">
        <f t="shared" si="3"/>
        <v>0.94339622641509435</v>
      </c>
      <c r="AB10" s="772">
        <f t="shared" si="4"/>
        <v>0.94339622641509435</v>
      </c>
      <c r="AC10" s="772">
        <f t="shared" si="5"/>
        <v>0.94339622641509435</v>
      </c>
    </row>
    <row r="11" spans="1:30" ht="15.75" thickBot="1">
      <c r="A11" s="429"/>
      <c r="B11" s="423" t="s">
        <v>2554</v>
      </c>
      <c r="C11" s="430">
        <f>'数据-汇总表'!I4</f>
        <v>3.5</v>
      </c>
      <c r="D11" s="136">
        <v>100</v>
      </c>
      <c r="E11" s="430">
        <v>2</v>
      </c>
      <c r="F11" s="136">
        <f>LOOKUP(E11,80:80,81:81)-LOOKUP(C11,80:80,81:81)+100</f>
        <v>100</v>
      </c>
      <c r="G11" s="431">
        <v>2</v>
      </c>
      <c r="H11" s="136">
        <f>LOOKUP(G11,80:80,81:81)-LOOKUP(C11,80:80,81:81)+100</f>
        <v>100</v>
      </c>
      <c r="I11" s="430">
        <v>2</v>
      </c>
      <c r="J11" s="136">
        <f>LOOKUP(I11,80:80,81:81)-LOOKUP(C11,80:80,81:81)+100</f>
        <v>100</v>
      </c>
      <c r="K11" s="673">
        <v>1</v>
      </c>
      <c r="L11" s="1140"/>
      <c r="M11" s="1133"/>
      <c r="N11" s="1133"/>
      <c r="O11" s="1141"/>
      <c r="P11" s="3273"/>
      <c r="Q11" s="1798" t="str">
        <f t="shared" si="6"/>
        <v>容积率</v>
      </c>
      <c r="R11" s="769" t="s">
        <v>17</v>
      </c>
      <c r="S11" s="770">
        <f t="shared" si="0"/>
        <v>100</v>
      </c>
      <c r="T11" s="769" t="s">
        <v>17</v>
      </c>
      <c r="U11" s="770">
        <f t="shared" si="1"/>
        <v>100</v>
      </c>
      <c r="V11" s="769" t="s">
        <v>17</v>
      </c>
      <c r="W11" s="770">
        <f t="shared" si="2"/>
        <v>100</v>
      </c>
      <c r="X11" s="771"/>
      <c r="Y11" s="3121"/>
      <c r="Z11" s="55" t="str">
        <f t="shared" si="7"/>
        <v>容积率</v>
      </c>
      <c r="AA11" s="772">
        <f t="shared" si="3"/>
        <v>1</v>
      </c>
      <c r="AB11" s="772">
        <f t="shared" si="4"/>
        <v>1</v>
      </c>
      <c r="AC11" s="772">
        <f t="shared" si="5"/>
        <v>1</v>
      </c>
    </row>
    <row r="12" spans="1:30" s="117" customFormat="1" ht="15" hidden="1">
      <c r="A12" s="432"/>
      <c r="B12" s="2597" t="s">
        <v>2742</v>
      </c>
      <c r="C12" s="433"/>
      <c r="D12" s="434">
        <v>100</v>
      </c>
      <c r="E12" s="466"/>
      <c r="F12" s="136">
        <f>SUMIF(82:82,E12,83:83)-SUMIF(82:82,C12,83:83)+100</f>
        <v>100</v>
      </c>
      <c r="G12" s="464"/>
      <c r="H12" s="136">
        <f>SUMIF(82:82,G12,83:83)-SUMIF(82:82,C12,83:83)+100</f>
        <v>100</v>
      </c>
      <c r="I12" s="466"/>
      <c r="J12" s="136">
        <f>SUMIF(82:82,I12,83:83)-SUMIF(82:82,C12,83:83)+100</f>
        <v>100</v>
      </c>
      <c r="K12" s="672"/>
      <c r="L12" s="1134"/>
      <c r="M12" s="1135"/>
      <c r="N12" s="1135"/>
      <c r="O12" s="1136"/>
      <c r="P12" s="3273"/>
      <c r="Q12" s="1798" t="str">
        <f t="shared" si="6"/>
        <v>配建</v>
      </c>
      <c r="R12" s="769" t="s">
        <v>17</v>
      </c>
      <c r="S12" s="770">
        <f t="shared" si="0"/>
        <v>100</v>
      </c>
      <c r="T12" s="769" t="s">
        <v>17</v>
      </c>
      <c r="U12" s="770">
        <f t="shared" si="1"/>
        <v>100</v>
      </c>
      <c r="V12" s="769" t="s">
        <v>17</v>
      </c>
      <c r="W12" s="770">
        <f t="shared" si="2"/>
        <v>100</v>
      </c>
      <c r="X12" s="771"/>
      <c r="Y12" s="3121"/>
      <c r="Z12" s="55" t="str">
        <f t="shared" si="7"/>
        <v>配建</v>
      </c>
      <c r="AA12" s="772">
        <f>D12/F12</f>
        <v>1</v>
      </c>
      <c r="AB12" s="772">
        <f>D12/H12</f>
        <v>1</v>
      </c>
      <c r="AC12" s="772">
        <f>D12/J12</f>
        <v>1</v>
      </c>
    </row>
    <row r="13" spans="1:30" ht="15" hidden="1">
      <c r="A13" s="429"/>
      <c r="B13" s="2597">
        <v>111</v>
      </c>
      <c r="C13" s="435"/>
      <c r="D13" s="436">
        <v>100</v>
      </c>
      <c r="E13" s="550"/>
      <c r="F13" s="136">
        <f>SUMIF(84:84,E13,85:85)-SUMIF(84:84,C13,85:85)+100</f>
        <v>100</v>
      </c>
      <c r="G13" s="674"/>
      <c r="H13" s="436">
        <f>SUMIF(84:84,G13,85:85)-SUMIF(84:84,C13,85:85)+100</f>
        <v>100</v>
      </c>
      <c r="I13" s="674"/>
      <c r="J13" s="436">
        <f>SUMIF(84:84,I13,85:85)-SUMIF(84:84,C13,85:85)+100</f>
        <v>100</v>
      </c>
      <c r="K13" s="672"/>
      <c r="L13" s="1142"/>
      <c r="M13" s="1133"/>
      <c r="N13" s="1133"/>
      <c r="O13" s="1141"/>
      <c r="P13" s="3273"/>
      <c r="Q13" s="1798">
        <f t="shared" si="6"/>
        <v>111</v>
      </c>
      <c r="R13" s="769" t="s">
        <v>17</v>
      </c>
      <c r="S13" s="770">
        <f t="shared" si="0"/>
        <v>100</v>
      </c>
      <c r="T13" s="769" t="s">
        <v>17</v>
      </c>
      <c r="U13" s="770">
        <f t="shared" si="1"/>
        <v>100</v>
      </c>
      <c r="V13" s="769" t="s">
        <v>17</v>
      </c>
      <c r="W13" s="770">
        <f t="shared" si="2"/>
        <v>100</v>
      </c>
      <c r="X13" s="771"/>
      <c r="Y13" s="3121"/>
      <c r="Z13" s="55">
        <f t="shared" si="7"/>
        <v>111</v>
      </c>
      <c r="AA13" s="772">
        <f>D13/F13</f>
        <v>1</v>
      </c>
      <c r="AB13" s="772">
        <f>D13/H13</f>
        <v>1</v>
      </c>
      <c r="AC13" s="772">
        <f>D13/J13</f>
        <v>1</v>
      </c>
    </row>
    <row r="14" spans="1:30" ht="15.75" hidden="1" thickBot="1">
      <c r="A14" s="437"/>
      <c r="B14" s="2599">
        <v>111</v>
      </c>
      <c r="C14" s="438"/>
      <c r="D14" s="439">
        <v>100</v>
      </c>
      <c r="E14" s="550"/>
      <c r="F14" s="439">
        <f>SUMIF(86:86,E14,87:87)-SUMIF(86:86,C14,87:87)+100</f>
        <v>100</v>
      </c>
      <c r="G14" s="674"/>
      <c r="H14" s="439">
        <f>SUMIF(86:86,G14,87:87)-SUMIF(86:86,C14,87:87)+100</f>
        <v>100</v>
      </c>
      <c r="I14" s="674"/>
      <c r="J14" s="439">
        <f>SUMIF(86:86,I14,87:87)-SUMIF(86:86,C14,87:87)+100</f>
        <v>100</v>
      </c>
      <c r="K14" s="672"/>
      <c r="L14" s="1142"/>
      <c r="M14" s="1133"/>
      <c r="N14" s="1133"/>
      <c r="O14" s="1141"/>
      <c r="P14" s="3273"/>
      <c r="Q14" s="1798">
        <f t="shared" si="6"/>
        <v>111</v>
      </c>
      <c r="R14" s="769" t="s">
        <v>17</v>
      </c>
      <c r="S14" s="770">
        <f t="shared" si="0"/>
        <v>100</v>
      </c>
      <c r="T14" s="769" t="s">
        <v>17</v>
      </c>
      <c r="U14" s="770">
        <f t="shared" si="1"/>
        <v>100</v>
      </c>
      <c r="V14" s="769" t="s">
        <v>17</v>
      </c>
      <c r="W14" s="770">
        <f t="shared" si="2"/>
        <v>100</v>
      </c>
      <c r="X14" s="771"/>
      <c r="Y14" s="3121"/>
      <c r="Z14" s="55">
        <f t="shared" si="7"/>
        <v>111</v>
      </c>
      <c r="AA14" s="772">
        <f>D14/F14</f>
        <v>1</v>
      </c>
      <c r="AB14" s="772">
        <f>D14/H14</f>
        <v>1</v>
      </c>
      <c r="AC14" s="772">
        <f>D14/J14</f>
        <v>1</v>
      </c>
    </row>
    <row r="15" spans="1:30" ht="85.5">
      <c r="A15" s="441" t="s">
        <v>2555</v>
      </c>
      <c r="B15" s="69" t="s">
        <v>2083</v>
      </c>
      <c r="C15" s="2600"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3"/>
      <c r="L15" s="1142"/>
      <c r="M15" s="1133"/>
      <c r="N15" s="1133"/>
      <c r="O15" s="1141"/>
      <c r="P15" s="3275" t="s">
        <v>2556</v>
      </c>
      <c r="Q15" s="1813" t="str">
        <f t="shared" si="6"/>
        <v>居住社区成熟度</v>
      </c>
      <c r="R15" s="773" t="s">
        <v>17</v>
      </c>
      <c r="S15" s="774">
        <f t="shared" si="0"/>
        <v>100</v>
      </c>
      <c r="T15" s="773" t="s">
        <v>17</v>
      </c>
      <c r="U15" s="774">
        <f t="shared" si="1"/>
        <v>100</v>
      </c>
      <c r="V15" s="773" t="s">
        <v>17</v>
      </c>
      <c r="W15" s="774">
        <f t="shared" si="2"/>
        <v>100</v>
      </c>
      <c r="X15" s="1816"/>
      <c r="Y15" s="3275" t="s">
        <v>2556</v>
      </c>
      <c r="Z15" s="1817" t="str">
        <f t="shared" si="7"/>
        <v>居住社区成熟度</v>
      </c>
      <c r="AA15" s="1814">
        <f t="shared" si="3"/>
        <v>1</v>
      </c>
      <c r="AB15" s="1814">
        <f t="shared" si="4"/>
        <v>1</v>
      </c>
      <c r="AC15" s="1814">
        <f t="shared" si="5"/>
        <v>1</v>
      </c>
    </row>
    <row r="16" spans="1:30" ht="15">
      <c r="A16" s="429"/>
      <c r="B16" s="447"/>
      <c r="C16" s="448" t="s">
        <v>3080</v>
      </c>
      <c r="D16" s="449"/>
      <c r="E16" s="2602" t="s">
        <v>3080</v>
      </c>
      <c r="F16" s="449"/>
      <c r="G16" s="2602" t="s">
        <v>3080</v>
      </c>
      <c r="H16" s="451"/>
      <c r="I16" s="2601" t="s">
        <v>3080</v>
      </c>
      <c r="J16" s="449"/>
      <c r="K16" s="672"/>
      <c r="L16" s="1142"/>
      <c r="M16" s="1133"/>
      <c r="N16" s="1133"/>
      <c r="O16" s="1141"/>
      <c r="P16" s="3276"/>
      <c r="Q16" s="1813"/>
      <c r="R16" s="773"/>
      <c r="S16" s="774"/>
      <c r="T16" s="773"/>
      <c r="U16" s="774"/>
      <c r="V16" s="773"/>
      <c r="W16" s="774"/>
      <c r="X16" s="1816"/>
      <c r="Y16" s="3276"/>
      <c r="Z16" s="1817"/>
      <c r="AA16" s="1814">
        <v>1</v>
      </c>
      <c r="AB16" s="1814">
        <v>1</v>
      </c>
      <c r="AC16" s="1814">
        <v>1</v>
      </c>
    </row>
    <row r="17" spans="1:29" ht="57">
      <c r="A17" s="429"/>
      <c r="B17" s="452" t="s">
        <v>2649</v>
      </c>
      <c r="C17" s="2661"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3"/>
      <c r="L17" s="1142"/>
      <c r="M17" s="1133"/>
      <c r="N17" s="1133"/>
      <c r="O17" s="1141"/>
      <c r="P17" s="3276"/>
      <c r="Q17" s="1813" t="str">
        <f>B17</f>
        <v>商业繁华度</v>
      </c>
      <c r="R17" s="773" t="s">
        <v>17</v>
      </c>
      <c r="S17" s="774">
        <f>F17</f>
        <v>100</v>
      </c>
      <c r="T17" s="773" t="s">
        <v>17</v>
      </c>
      <c r="U17" s="774">
        <f>H17</f>
        <v>100</v>
      </c>
      <c r="V17" s="773" t="s">
        <v>17</v>
      </c>
      <c r="W17" s="774">
        <f>J17</f>
        <v>100</v>
      </c>
      <c r="X17" s="1816"/>
      <c r="Y17" s="3276"/>
      <c r="Z17" s="1817" t="str">
        <f>Q17</f>
        <v>商业繁华度</v>
      </c>
      <c r="AA17" s="1814">
        <f t="shared" si="3"/>
        <v>1</v>
      </c>
      <c r="AB17" s="1814">
        <f t="shared" si="4"/>
        <v>1</v>
      </c>
      <c r="AC17" s="1814">
        <f t="shared" si="5"/>
        <v>1</v>
      </c>
    </row>
    <row r="18" spans="1:29" ht="15">
      <c r="A18" s="429"/>
      <c r="B18" s="457"/>
      <c r="C18" s="2605" t="s">
        <v>3082</v>
      </c>
      <c r="D18" s="451"/>
      <c r="E18" s="2607" t="s">
        <v>3082</v>
      </c>
      <c r="F18" s="451"/>
      <c r="G18" s="2607" t="s">
        <v>3082</v>
      </c>
      <c r="H18" s="449"/>
      <c r="I18" s="2606" t="s">
        <v>3082</v>
      </c>
      <c r="J18" s="449"/>
      <c r="K18" s="672"/>
      <c r="L18" s="1142"/>
      <c r="M18" s="1133"/>
      <c r="N18" s="1133"/>
      <c r="O18" s="1141"/>
      <c r="P18" s="3276"/>
      <c r="Q18" s="1813"/>
      <c r="R18" s="773"/>
      <c r="S18" s="774"/>
      <c r="T18" s="773"/>
      <c r="U18" s="774"/>
      <c r="V18" s="773"/>
      <c r="W18" s="774"/>
      <c r="X18" s="1816"/>
      <c r="Y18" s="3276"/>
      <c r="Z18" s="1817"/>
      <c r="AA18" s="1814">
        <v>1</v>
      </c>
      <c r="AB18" s="1814">
        <v>1</v>
      </c>
      <c r="AC18" s="1814">
        <v>1</v>
      </c>
    </row>
    <row r="19" spans="1:29" ht="71.25" hidden="1">
      <c r="A19" s="429"/>
      <c r="B19" s="452" t="s">
        <v>2682</v>
      </c>
      <c r="C19" s="2661"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3"/>
      <c r="L19" s="1142"/>
      <c r="M19" s="1133"/>
      <c r="N19" s="1133"/>
      <c r="O19" s="1141"/>
      <c r="P19" s="3276"/>
      <c r="Q19" s="1813" t="str">
        <f>B19</f>
        <v>办公集聚程度</v>
      </c>
      <c r="R19" s="773" t="s">
        <v>17</v>
      </c>
      <c r="S19" s="774">
        <f>F19</f>
        <v>100</v>
      </c>
      <c r="T19" s="773" t="s">
        <v>17</v>
      </c>
      <c r="U19" s="774">
        <f>H19</f>
        <v>100</v>
      </c>
      <c r="V19" s="773" t="s">
        <v>17</v>
      </c>
      <c r="W19" s="774">
        <f>J19</f>
        <v>100</v>
      </c>
      <c r="X19" s="1816"/>
      <c r="Y19" s="3276"/>
      <c r="Z19" s="1817" t="str">
        <f>Q19</f>
        <v>办公集聚程度</v>
      </c>
      <c r="AA19" s="1814">
        <f t="shared" si="3"/>
        <v>1</v>
      </c>
      <c r="AB19" s="1814">
        <f t="shared" si="4"/>
        <v>1</v>
      </c>
      <c r="AC19" s="1814">
        <f t="shared" si="5"/>
        <v>1</v>
      </c>
    </row>
    <row r="20" spans="1:29" ht="15" hidden="1">
      <c r="A20" s="429"/>
      <c r="B20" s="457"/>
      <c r="C20" s="448"/>
      <c r="D20" s="449"/>
      <c r="E20" s="2602"/>
      <c r="F20" s="449"/>
      <c r="G20" s="2602"/>
      <c r="H20" s="449"/>
      <c r="I20" s="2601"/>
      <c r="J20" s="449"/>
      <c r="K20" s="672"/>
      <c r="L20" s="1142"/>
      <c r="M20" s="1133"/>
      <c r="N20" s="1133"/>
      <c r="O20" s="1141"/>
      <c r="P20" s="3276"/>
      <c r="Q20" s="1813"/>
      <c r="R20" s="773"/>
      <c r="S20" s="774"/>
      <c r="T20" s="773"/>
      <c r="U20" s="774"/>
      <c r="V20" s="773"/>
      <c r="W20" s="774"/>
      <c r="X20" s="1816"/>
      <c r="Y20" s="3276"/>
      <c r="Z20" s="1817"/>
      <c r="AA20" s="1814">
        <v>1</v>
      </c>
      <c r="AB20" s="1814">
        <v>1</v>
      </c>
      <c r="AC20" s="1814">
        <v>1</v>
      </c>
    </row>
    <row r="21" spans="1:29" ht="71.25">
      <c r="A21" s="429"/>
      <c r="B21" s="452" t="s">
        <v>2704</v>
      </c>
      <c r="C21" s="2604" t="str">
        <f>估价对象房地状况!C18</f>
        <v>估价对象周边道路状况、公共交通通达情况、停车便捷程度，综合评价交通便捷度较好</v>
      </c>
      <c r="D21" s="451">
        <v>100</v>
      </c>
      <c r="E21" s="453"/>
      <c r="F21" s="456">
        <f>SUMIF(94:94,E22,95:95)-SUMIF(94:94,C22,95:95)+100</f>
        <v>100</v>
      </c>
      <c r="G21" s="453"/>
      <c r="H21" s="451">
        <f>SUMIF(94:94,G22,95:95)-SUMIF(94:94,C22,95:95)+100</f>
        <v>100</v>
      </c>
      <c r="I21" s="455"/>
      <c r="J21" s="451">
        <f>SUMIF(94:94,I22,95:95)-SUMIF(94:94,C22,95:95)+100</f>
        <v>100</v>
      </c>
      <c r="K21" s="673"/>
      <c r="L21" s="1142"/>
      <c r="M21" s="1133"/>
      <c r="N21" s="1133"/>
      <c r="O21" s="1141"/>
      <c r="P21" s="3276"/>
      <c r="Q21" s="1813" t="str">
        <f>B21</f>
        <v>交通便捷度</v>
      </c>
      <c r="R21" s="773" t="s">
        <v>17</v>
      </c>
      <c r="S21" s="774">
        <f>F21</f>
        <v>100</v>
      </c>
      <c r="T21" s="773" t="s">
        <v>17</v>
      </c>
      <c r="U21" s="774">
        <f>H21</f>
        <v>100</v>
      </c>
      <c r="V21" s="773" t="s">
        <v>17</v>
      </c>
      <c r="W21" s="774">
        <f>J21</f>
        <v>100</v>
      </c>
      <c r="X21" s="1816"/>
      <c r="Y21" s="3276"/>
      <c r="Z21" s="1817" t="str">
        <f>Q21</f>
        <v>交通便捷度</v>
      </c>
      <c r="AA21" s="1814">
        <f t="shared" si="3"/>
        <v>1</v>
      </c>
      <c r="AB21" s="1814">
        <f t="shared" si="4"/>
        <v>1</v>
      </c>
      <c r="AC21" s="1814">
        <f t="shared" si="5"/>
        <v>1</v>
      </c>
    </row>
    <row r="22" spans="1:29" ht="15">
      <c r="A22" s="429"/>
      <c r="B22" s="1386"/>
      <c r="C22" s="448" t="s">
        <v>3080</v>
      </c>
      <c r="D22" s="451"/>
      <c r="E22" s="2602" t="s">
        <v>3080</v>
      </c>
      <c r="F22" s="449"/>
      <c r="G22" s="2602" t="s">
        <v>3080</v>
      </c>
      <c r="H22" s="449"/>
      <c r="I22" s="2601" t="s">
        <v>3080</v>
      </c>
      <c r="J22" s="449"/>
      <c r="K22" s="672"/>
      <c r="L22" s="1142"/>
      <c r="M22" s="1133"/>
      <c r="N22" s="1133"/>
      <c r="O22" s="1141"/>
      <c r="P22" s="3276"/>
      <c r="Q22" s="1813"/>
      <c r="R22" s="773"/>
      <c r="S22" s="774"/>
      <c r="T22" s="773"/>
      <c r="U22" s="774"/>
      <c r="V22" s="773"/>
      <c r="W22" s="774"/>
      <c r="X22" s="1816"/>
      <c r="Y22" s="3276"/>
      <c r="Z22" s="1817"/>
      <c r="AA22" s="1814">
        <v>1</v>
      </c>
      <c r="AB22" s="1814">
        <v>1</v>
      </c>
      <c r="AC22" s="1814">
        <v>1</v>
      </c>
    </row>
    <row r="23" spans="1:29" ht="15">
      <c r="A23" s="405"/>
      <c r="B23" s="452" t="s">
        <v>2743</v>
      </c>
      <c r="C23" s="1391">
        <f>估价对象房地状况!C19</f>
        <v>0</v>
      </c>
      <c r="D23" s="456">
        <v>100</v>
      </c>
      <c r="E23" s="453"/>
      <c r="F23" s="456">
        <f>SUMIF(96:96,E24,97:97)-SUMIF(96:96,C24,97:97)+100</f>
        <v>100</v>
      </c>
      <c r="G23" s="455"/>
      <c r="H23" s="456">
        <f>SUMIF(96:96,G24,97:97)-SUMIF(96:96,C24,97:97)+100</f>
        <v>100</v>
      </c>
      <c r="I23" s="455"/>
      <c r="J23" s="456">
        <f>SUMIF(96:96,I24,97:97)-SUMIF(96:96,C24,97:97)+100</f>
        <v>100</v>
      </c>
      <c r="K23" s="673"/>
      <c r="L23" s="1142"/>
      <c r="M23" s="1133"/>
      <c r="N23" s="1133"/>
      <c r="O23" s="1141"/>
      <c r="P23" s="3276"/>
      <c r="Q23" s="1813" t="str">
        <f t="shared" ref="Q23:Q37" si="8">B23</f>
        <v>区域土地利用方向</v>
      </c>
      <c r="R23" s="773" t="s">
        <v>17</v>
      </c>
      <c r="S23" s="774">
        <f>F23</f>
        <v>100</v>
      </c>
      <c r="T23" s="773" t="s">
        <v>17</v>
      </c>
      <c r="U23" s="774">
        <f>H23</f>
        <v>100</v>
      </c>
      <c r="V23" s="773" t="s">
        <v>17</v>
      </c>
      <c r="W23" s="774">
        <f>J23</f>
        <v>100</v>
      </c>
      <c r="X23" s="1816"/>
      <c r="Y23" s="3276"/>
      <c r="Z23" s="1817" t="str">
        <f>Q23</f>
        <v>区域土地利用方向</v>
      </c>
      <c r="AA23" s="1814">
        <f t="shared" si="3"/>
        <v>1</v>
      </c>
      <c r="AB23" s="1814">
        <f t="shared" si="4"/>
        <v>1</v>
      </c>
      <c r="AC23" s="1814">
        <f t="shared" si="5"/>
        <v>1</v>
      </c>
    </row>
    <row r="24" spans="1:29" ht="15">
      <c r="A24" s="405"/>
      <c r="B24" s="457"/>
      <c r="C24" s="617" t="s">
        <v>3080</v>
      </c>
      <c r="D24" s="449"/>
      <c r="E24" s="2602" t="s">
        <v>3080</v>
      </c>
      <c r="F24" s="449"/>
      <c r="G24" s="2601" t="s">
        <v>3080</v>
      </c>
      <c r="H24" s="449"/>
      <c r="I24" s="2601" t="s">
        <v>3080</v>
      </c>
      <c r="J24" s="449"/>
      <c r="K24" s="811"/>
      <c r="L24" s="1142"/>
      <c r="M24" s="1133"/>
      <c r="N24" s="1133"/>
      <c r="O24" s="1141"/>
      <c r="P24" s="3276"/>
      <c r="Q24" s="1813"/>
      <c r="R24" s="773"/>
      <c r="S24" s="774"/>
      <c r="T24" s="773"/>
      <c r="U24" s="774"/>
      <c r="V24" s="773"/>
      <c r="W24" s="774"/>
      <c r="X24" s="1816"/>
      <c r="Y24" s="3276"/>
      <c r="Z24" s="1817"/>
      <c r="AA24" s="1814"/>
      <c r="AB24" s="1814"/>
      <c r="AC24" s="1814"/>
    </row>
    <row r="25" spans="1:29" ht="42.75">
      <c r="A25" s="405"/>
      <c r="B25" s="1386" t="s">
        <v>2744</v>
      </c>
      <c r="C25" s="2661" t="str">
        <f>估价对象房地状况!C20</f>
        <v>区域自然环境：；人文环境；综合评价环境状况一般</v>
      </c>
      <c r="D25" s="451">
        <v>100</v>
      </c>
      <c r="E25" s="453"/>
      <c r="F25" s="451">
        <f>SUMIF(98:98,E26,99:99)-SUMIF(98:98,C26,99:99)+100</f>
        <v>100</v>
      </c>
      <c r="G25" s="453"/>
      <c r="H25" s="451">
        <f>SUMIF(98:98,G26,99:99)-SUMIF(98:98,C26,99:99)+100</f>
        <v>100</v>
      </c>
      <c r="I25" s="455"/>
      <c r="J25" s="451">
        <f>SUMIF(98:98,I26,99:99)-SUMIF(98:98,C26,99:99)+100</f>
        <v>100</v>
      </c>
      <c r="K25" s="673"/>
      <c r="L25" s="1142"/>
      <c r="M25" s="1133"/>
      <c r="N25" s="1133"/>
      <c r="O25" s="1141"/>
      <c r="P25" s="3276"/>
      <c r="Q25" s="1813" t="str">
        <f t="shared" si="8"/>
        <v>自然及人文环境状况</v>
      </c>
      <c r="R25" s="773" t="s">
        <v>17</v>
      </c>
      <c r="S25" s="774">
        <f>F25</f>
        <v>100</v>
      </c>
      <c r="T25" s="773" t="s">
        <v>17</v>
      </c>
      <c r="U25" s="774">
        <f>H25</f>
        <v>100</v>
      </c>
      <c r="V25" s="773" t="s">
        <v>17</v>
      </c>
      <c r="W25" s="774">
        <f>J25</f>
        <v>100</v>
      </c>
      <c r="X25" s="1816"/>
      <c r="Y25" s="3276"/>
      <c r="Z25" s="1817" t="str">
        <f>Q25</f>
        <v>自然及人文环境状况</v>
      </c>
      <c r="AA25" s="1814">
        <f t="shared" si="3"/>
        <v>1</v>
      </c>
      <c r="AB25" s="1814">
        <f t="shared" si="4"/>
        <v>1</v>
      </c>
      <c r="AC25" s="1814">
        <f t="shared" si="5"/>
        <v>1</v>
      </c>
    </row>
    <row r="26" spans="1:29" ht="15">
      <c r="A26" s="405"/>
      <c r="B26" s="457"/>
      <c r="C26" s="448" t="s">
        <v>3082</v>
      </c>
      <c r="D26" s="449"/>
      <c r="E26" s="2608" t="s">
        <v>3082</v>
      </c>
      <c r="F26" s="449"/>
      <c r="G26" s="2608" t="s">
        <v>3082</v>
      </c>
      <c r="H26" s="449"/>
      <c r="I26" s="448" t="s">
        <v>3082</v>
      </c>
      <c r="J26" s="449"/>
      <c r="K26" s="672"/>
      <c r="L26" s="1142"/>
      <c r="M26" s="1133"/>
      <c r="N26" s="1133"/>
      <c r="O26" s="1141"/>
      <c r="P26" s="3276"/>
      <c r="Q26" s="1813"/>
      <c r="R26" s="773"/>
      <c r="S26" s="774"/>
      <c r="T26" s="773"/>
      <c r="U26" s="774"/>
      <c r="V26" s="773"/>
      <c r="W26" s="774"/>
      <c r="X26" s="1816"/>
      <c r="Y26" s="3276"/>
      <c r="Z26" s="1817"/>
      <c r="AA26" s="1814">
        <v>1</v>
      </c>
      <c r="AB26" s="1814">
        <v>1</v>
      </c>
      <c r="AC26" s="1814">
        <v>1</v>
      </c>
    </row>
    <row r="27" spans="1:29" s="117" customFormat="1" ht="42.75">
      <c r="A27" s="649"/>
      <c r="B27" s="1386" t="s">
        <v>2650</v>
      </c>
      <c r="C27" s="2604" t="str">
        <f>估价对象房地状况!C21</f>
        <v>估价对象所在区域公共配套设施齐备情况</v>
      </c>
      <c r="D27" s="451">
        <v>100</v>
      </c>
      <c r="E27" s="453"/>
      <c r="F27" s="451">
        <f>SUMIF(100:100,E28,101:101)-SUMIF(100:100,C28,101:101)+100</f>
        <v>100</v>
      </c>
      <c r="G27" s="453"/>
      <c r="H27" s="451">
        <f>SUMIF(100:100,G28,101:101)-SUMIF(100:100,C28,101:101)+100</f>
        <v>98</v>
      </c>
      <c r="I27" s="455"/>
      <c r="J27" s="451">
        <f>SUMIF(100:100,I28,101:101)-SUMIF(100:100,C28,101:101)+100</f>
        <v>100</v>
      </c>
      <c r="K27" s="673">
        <v>2</v>
      </c>
      <c r="L27" s="1134"/>
      <c r="M27" s="1135"/>
      <c r="N27" s="1135"/>
      <c r="O27" s="1136"/>
      <c r="P27" s="3276"/>
      <c r="Q27" s="1798" t="str">
        <f t="shared" si="8"/>
        <v>公共配套设施</v>
      </c>
      <c r="R27" s="769" t="s">
        <v>17</v>
      </c>
      <c r="S27" s="770">
        <f>F27</f>
        <v>100</v>
      </c>
      <c r="T27" s="769" t="s">
        <v>17</v>
      </c>
      <c r="U27" s="770">
        <f>H27</f>
        <v>98</v>
      </c>
      <c r="V27" s="769" t="s">
        <v>17</v>
      </c>
      <c r="W27" s="770">
        <f>J27</f>
        <v>100</v>
      </c>
      <c r="X27" s="771"/>
      <c r="Y27" s="3276"/>
      <c r="Z27" s="55" t="str">
        <f>Q27</f>
        <v>公共配套设施</v>
      </c>
      <c r="AA27" s="1814">
        <f>D27/F27</f>
        <v>1</v>
      </c>
      <c r="AB27" s="1814">
        <f>D27/H27</f>
        <v>1.0204081632653061</v>
      </c>
      <c r="AC27" s="1814">
        <f>D27/J27</f>
        <v>1</v>
      </c>
    </row>
    <row r="28" spans="1:29" s="117" customFormat="1" ht="15">
      <c r="A28" s="649"/>
      <c r="B28" s="457"/>
      <c r="C28" s="2697" t="s">
        <v>3080</v>
      </c>
      <c r="D28" s="449"/>
      <c r="E28" s="2608" t="s">
        <v>3080</v>
      </c>
      <c r="F28" s="449"/>
      <c r="G28" s="2608" t="s">
        <v>3082</v>
      </c>
      <c r="H28" s="449"/>
      <c r="I28" s="448" t="s">
        <v>3080</v>
      </c>
      <c r="J28" s="449"/>
      <c r="K28" s="672"/>
      <c r="L28" s="1134"/>
      <c r="M28" s="1135"/>
      <c r="N28" s="1135"/>
      <c r="O28" s="1136"/>
      <c r="P28" s="3276"/>
      <c r="Q28" s="1798"/>
      <c r="R28" s="769"/>
      <c r="S28" s="770"/>
      <c r="T28" s="769"/>
      <c r="U28" s="770"/>
      <c r="V28" s="769"/>
      <c r="W28" s="770"/>
      <c r="X28" s="771"/>
      <c r="Y28" s="3276"/>
      <c r="Z28" s="55"/>
      <c r="AA28" s="1814">
        <v>1</v>
      </c>
      <c r="AB28" s="1814">
        <v>1</v>
      </c>
      <c r="AC28" s="1814">
        <v>1</v>
      </c>
    </row>
    <row r="29" spans="1:29" s="117" customFormat="1" ht="28.5">
      <c r="A29" s="649"/>
      <c r="B29" s="1386" t="s">
        <v>2651</v>
      </c>
      <c r="C29" s="2604" t="str">
        <f>估价对象房地状况!C22</f>
        <v>估价对象所在区域基础设施水平</v>
      </c>
      <c r="D29" s="451">
        <v>100</v>
      </c>
      <c r="E29" s="453"/>
      <c r="F29" s="451">
        <f>SUMIF(102:102,E30,103:103)-SUMIF(102:102,C30,103:103)+100</f>
        <v>100</v>
      </c>
      <c r="G29" s="453"/>
      <c r="H29" s="451">
        <f>SUMIF(102:102,G30,103:103)-SUMIF(102:102,C30,103:103)+100</f>
        <v>100</v>
      </c>
      <c r="I29" s="455"/>
      <c r="J29" s="451">
        <f>SUMIF(102:102,I30,103:103)-SUMIF(102:102,C30,103:103)+100</f>
        <v>100</v>
      </c>
      <c r="K29" s="673"/>
      <c r="L29" s="1134"/>
      <c r="M29" s="1135"/>
      <c r="N29" s="1135"/>
      <c r="O29" s="1136"/>
      <c r="P29" s="3276"/>
      <c r="Q29" s="1798" t="str">
        <f t="shared" ref="Q29" si="9">B29</f>
        <v>基础设施水平</v>
      </c>
      <c r="R29" s="769" t="s">
        <v>17</v>
      </c>
      <c r="S29" s="770">
        <f>F29</f>
        <v>100</v>
      </c>
      <c r="T29" s="769" t="s">
        <v>17</v>
      </c>
      <c r="U29" s="770">
        <f>H29</f>
        <v>100</v>
      </c>
      <c r="V29" s="769" t="s">
        <v>17</v>
      </c>
      <c r="W29" s="770">
        <f>J29</f>
        <v>100</v>
      </c>
      <c r="X29" s="771"/>
      <c r="Y29" s="3276"/>
      <c r="Z29" s="55" t="str">
        <f>Q29</f>
        <v>基础设施水平</v>
      </c>
      <c r="AA29" s="1814">
        <f>D29/F29</f>
        <v>1</v>
      </c>
      <c r="AB29" s="1814">
        <f>D29/H29</f>
        <v>1</v>
      </c>
      <c r="AC29" s="1814">
        <f>D29/J29</f>
        <v>1</v>
      </c>
    </row>
    <row r="30" spans="1:29" s="117" customFormat="1" ht="15">
      <c r="A30" s="649"/>
      <c r="B30" s="457"/>
      <c r="C30" s="2697" t="s">
        <v>3088</v>
      </c>
      <c r="D30" s="449"/>
      <c r="E30" s="2698" t="s">
        <v>3088</v>
      </c>
      <c r="F30" s="449"/>
      <c r="G30" s="2698" t="s">
        <v>3088</v>
      </c>
      <c r="H30" s="449"/>
      <c r="I30" s="2698" t="s">
        <v>3088</v>
      </c>
      <c r="J30" s="449"/>
      <c r="K30" s="672"/>
      <c r="L30" s="1134"/>
      <c r="M30" s="1135"/>
      <c r="N30" s="1135"/>
      <c r="O30" s="1136"/>
      <c r="P30" s="3276"/>
      <c r="Q30" s="1798"/>
      <c r="R30" s="769"/>
      <c r="S30" s="770"/>
      <c r="T30" s="769"/>
      <c r="U30" s="770"/>
      <c r="V30" s="769"/>
      <c r="W30" s="770"/>
      <c r="X30" s="771"/>
      <c r="Y30" s="3276"/>
      <c r="Z30" s="55"/>
      <c r="AA30" s="1814">
        <v>1</v>
      </c>
      <c r="AB30" s="1814">
        <v>1</v>
      </c>
      <c r="AC30" s="1814">
        <v>1</v>
      </c>
    </row>
    <row r="31" spans="1:29" ht="15">
      <c r="A31" s="429"/>
      <c r="B31" s="457" t="s">
        <v>2652</v>
      </c>
      <c r="C31" s="617" t="s">
        <v>3099</v>
      </c>
      <c r="D31" s="436">
        <v>100</v>
      </c>
      <c r="E31" s="634" t="s">
        <v>3099</v>
      </c>
      <c r="F31" s="436">
        <f>SUMIF(104:104,E31,105:105)-SUMIF(104:104,C31,105:105)+100</f>
        <v>100</v>
      </c>
      <c r="G31" s="634" t="s">
        <v>3099</v>
      </c>
      <c r="H31" s="436">
        <f>SUMIF(104:104,G31,105:105)-SUMIF(104:104,C31,105:105)+100</f>
        <v>100</v>
      </c>
      <c r="I31" s="634" t="s">
        <v>3099</v>
      </c>
      <c r="J31" s="436">
        <f>SUMIF(104:104,I31,105:105)-SUMIF(104:104,C31,105:105)+100</f>
        <v>100</v>
      </c>
      <c r="K31" s="673"/>
      <c r="L31" s="1142"/>
      <c r="M31" s="1133"/>
      <c r="N31" s="1133"/>
      <c r="O31" s="1141"/>
      <c r="P31" s="3276"/>
      <c r="Q31" s="1813" t="str">
        <f t="shared" si="8"/>
        <v>临街状况</v>
      </c>
      <c r="R31" s="773" t="s">
        <v>17</v>
      </c>
      <c r="S31" s="774">
        <f t="shared" ref="S31:S45" si="10">F31</f>
        <v>100</v>
      </c>
      <c r="T31" s="773" t="s">
        <v>17</v>
      </c>
      <c r="U31" s="774">
        <f t="shared" ref="U31:U45" si="11">H31</f>
        <v>100</v>
      </c>
      <c r="V31" s="773" t="s">
        <v>17</v>
      </c>
      <c r="W31" s="774">
        <f t="shared" ref="W31:W45" si="12">J31</f>
        <v>100</v>
      </c>
      <c r="X31" s="1816"/>
      <c r="Y31" s="3276"/>
      <c r="Z31" s="1817" t="str">
        <f t="shared" ref="Z31:Z45" si="13">Q31</f>
        <v>临街状况</v>
      </c>
      <c r="AA31" s="1814">
        <f t="shared" si="3"/>
        <v>1</v>
      </c>
      <c r="AB31" s="1814">
        <f t="shared" si="4"/>
        <v>1</v>
      </c>
      <c r="AC31" s="1814">
        <f t="shared" si="5"/>
        <v>1</v>
      </c>
    </row>
    <row r="32" spans="1:29" ht="27">
      <c r="A32" s="429"/>
      <c r="B32" s="1386" t="s">
        <v>2686</v>
      </c>
      <c r="C32" s="455"/>
      <c r="D32" s="451">
        <v>100</v>
      </c>
      <c r="E32" s="453"/>
      <c r="F32" s="451">
        <f>SUMIF(106:106,E33,107:107)-SUMIF(106:106,C33,107:107)+100</f>
        <v>100</v>
      </c>
      <c r="G32" s="453"/>
      <c r="H32" s="451">
        <f>SUMIF(106:106,G33,107:107)-SUMIF(106:106,C33,107:107)+100</f>
        <v>100</v>
      </c>
      <c r="I32" s="455"/>
      <c r="J32" s="451">
        <f>SUMIF(106:106,I33,107:107)-SUMIF(106:106,C33,107:107)+100</f>
        <v>99</v>
      </c>
      <c r="K32" s="673">
        <v>1</v>
      </c>
      <c r="L32" s="1142"/>
      <c r="M32" s="1133"/>
      <c r="N32" s="1133"/>
      <c r="O32" s="1141"/>
      <c r="P32" s="3276"/>
      <c r="Q32" s="1813" t="str">
        <f t="shared" si="8"/>
        <v>毗邻道路的类型与等级</v>
      </c>
      <c r="R32" s="773" t="s">
        <v>17</v>
      </c>
      <c r="S32" s="774">
        <f t="shared" si="10"/>
        <v>100</v>
      </c>
      <c r="T32" s="773" t="s">
        <v>17</v>
      </c>
      <c r="U32" s="774">
        <f t="shared" si="11"/>
        <v>100</v>
      </c>
      <c r="V32" s="773" t="s">
        <v>17</v>
      </c>
      <c r="W32" s="774">
        <f t="shared" si="12"/>
        <v>99</v>
      </c>
      <c r="X32" s="1816"/>
      <c r="Y32" s="3276"/>
      <c r="Z32" s="1817" t="str">
        <f t="shared" si="13"/>
        <v>毗邻道路的类型与等级</v>
      </c>
      <c r="AA32" s="1814">
        <f t="shared" si="3"/>
        <v>1</v>
      </c>
      <c r="AB32" s="1814">
        <f t="shared" si="4"/>
        <v>1</v>
      </c>
      <c r="AC32" s="1814">
        <f t="shared" si="5"/>
        <v>1.0101010101010102</v>
      </c>
    </row>
    <row r="33" spans="1:29" ht="15.75" thickBot="1">
      <c r="A33" s="429"/>
      <c r="B33" s="457"/>
      <c r="C33" s="448" t="s">
        <v>3069</v>
      </c>
      <c r="D33" s="449"/>
      <c r="E33" s="2608" t="s">
        <v>3069</v>
      </c>
      <c r="F33" s="449"/>
      <c r="G33" s="2608" t="s">
        <v>3069</v>
      </c>
      <c r="H33" s="449"/>
      <c r="I33" s="448" t="s">
        <v>3071</v>
      </c>
      <c r="J33" s="449"/>
      <c r="K33" s="614"/>
      <c r="L33" s="1142"/>
      <c r="M33" s="1133"/>
      <c r="N33" s="1133"/>
      <c r="O33" s="1141"/>
      <c r="P33" s="3276"/>
      <c r="Q33" s="1813"/>
      <c r="R33" s="773"/>
      <c r="S33" s="774"/>
      <c r="T33" s="773"/>
      <c r="U33" s="774"/>
      <c r="V33" s="773"/>
      <c r="W33" s="774"/>
      <c r="X33" s="1816"/>
      <c r="Y33" s="3276"/>
      <c r="Z33" s="1817"/>
      <c r="AA33" s="1814">
        <v>1</v>
      </c>
      <c r="AB33" s="1814">
        <v>1</v>
      </c>
      <c r="AC33" s="1814">
        <v>1</v>
      </c>
    </row>
    <row r="34" spans="1:29" ht="15" hidden="1">
      <c r="A34" s="429"/>
      <c r="B34" s="423" t="s">
        <v>2745</v>
      </c>
      <c r="C34" s="617"/>
      <c r="D34" s="436">
        <v>100</v>
      </c>
      <c r="E34" s="634"/>
      <c r="F34" s="436">
        <f>SUMIF(108:108,E34,109:109)-SUMIF(108:108,C34,109:109)+100</f>
        <v>100</v>
      </c>
      <c r="G34" s="634"/>
      <c r="H34" s="436">
        <f>SUMIF(108:108,G34,109:109)-SUMIF(108:108,C34,109:109)+100</f>
        <v>100</v>
      </c>
      <c r="I34" s="617"/>
      <c r="J34" s="436">
        <f>SUMIF(108:108,I34,109:109)-SUMIF(108:108,C34,109:109)+100</f>
        <v>100</v>
      </c>
      <c r="K34" s="613"/>
      <c r="L34" s="1142"/>
      <c r="M34" s="1133"/>
      <c r="N34" s="1133"/>
      <c r="O34" s="1141"/>
      <c r="P34" s="3276"/>
      <c r="Q34" s="1813" t="str">
        <f t="shared" si="8"/>
        <v>土地级别</v>
      </c>
      <c r="R34" s="773" t="s">
        <v>17</v>
      </c>
      <c r="S34" s="774">
        <f t="shared" si="10"/>
        <v>100</v>
      </c>
      <c r="T34" s="773" t="s">
        <v>17</v>
      </c>
      <c r="U34" s="774">
        <f t="shared" si="11"/>
        <v>100</v>
      </c>
      <c r="V34" s="773" t="s">
        <v>17</v>
      </c>
      <c r="W34" s="774">
        <f t="shared" si="12"/>
        <v>100</v>
      </c>
      <c r="X34" s="1816"/>
      <c r="Y34" s="3276"/>
      <c r="Z34" s="1817" t="str">
        <f t="shared" si="13"/>
        <v>土地级别</v>
      </c>
      <c r="AA34" s="1814">
        <f t="shared" si="3"/>
        <v>1</v>
      </c>
      <c r="AB34" s="1814">
        <f t="shared" si="4"/>
        <v>1</v>
      </c>
      <c r="AC34" s="1814">
        <f t="shared" si="5"/>
        <v>1</v>
      </c>
    </row>
    <row r="35" spans="1:29" ht="15" hidden="1">
      <c r="A35" s="405"/>
      <c r="B35" s="1388">
        <v>111</v>
      </c>
      <c r="C35" s="674"/>
      <c r="D35" s="436">
        <v>100</v>
      </c>
      <c r="E35" s="478"/>
      <c r="F35" s="436">
        <f>SUMIF(110:110,E35,111:111)-SUMIF(110:110,C35,111:111)+100</f>
        <v>100</v>
      </c>
      <c r="G35" s="478"/>
      <c r="H35" s="436">
        <f>SUMIF(110:110,G35,111:111)-SUMIF(110:110,C35,111:111)+100</f>
        <v>100</v>
      </c>
      <c r="I35" s="674"/>
      <c r="J35" s="436">
        <f>SUMIF(110:110,I35,111:111)-SUMIF(110:110,C35,111:111)+100</f>
        <v>100</v>
      </c>
      <c r="K35" s="614"/>
      <c r="L35" s="1142"/>
      <c r="M35" s="1133"/>
      <c r="N35" s="1133"/>
      <c r="O35" s="1141"/>
      <c r="P35" s="3276"/>
      <c r="Q35" s="1813">
        <f t="shared" si="8"/>
        <v>111</v>
      </c>
      <c r="R35" s="773" t="s">
        <v>17</v>
      </c>
      <c r="S35" s="774">
        <f t="shared" si="10"/>
        <v>100</v>
      </c>
      <c r="T35" s="773" t="s">
        <v>17</v>
      </c>
      <c r="U35" s="774">
        <f t="shared" si="11"/>
        <v>100</v>
      </c>
      <c r="V35" s="773" t="s">
        <v>17</v>
      </c>
      <c r="W35" s="774">
        <f t="shared" si="12"/>
        <v>100</v>
      </c>
      <c r="X35" s="1816"/>
      <c r="Y35" s="3276"/>
      <c r="Z35" s="1817">
        <f t="shared" si="13"/>
        <v>111</v>
      </c>
      <c r="AA35" s="1814">
        <f t="shared" si="3"/>
        <v>1</v>
      </c>
      <c r="AB35" s="1814">
        <f t="shared" si="4"/>
        <v>1</v>
      </c>
      <c r="AC35" s="1814">
        <f t="shared" si="5"/>
        <v>1</v>
      </c>
    </row>
    <row r="36" spans="1:29" ht="15" hidden="1">
      <c r="A36" s="675"/>
      <c r="B36" s="1389">
        <v>111</v>
      </c>
      <c r="C36" s="674"/>
      <c r="D36" s="436">
        <v>100</v>
      </c>
      <c r="E36" s="478"/>
      <c r="F36" s="436">
        <f>SUMIF(112:112,E37,113:113)-SUMIF(112:112,C37,113:113)+100</f>
        <v>100</v>
      </c>
      <c r="G36" s="478"/>
      <c r="H36" s="436">
        <f>SUMIF(112:112,G36,113:113)-SUMIF(112:112,C36,113:113)+100</f>
        <v>100</v>
      </c>
      <c r="I36" s="674"/>
      <c r="J36" s="436">
        <f>SUMIF(112:112,I36,113:113)-SUMIF(112:112,C36,113:113)+100</f>
        <v>100</v>
      </c>
      <c r="K36" s="614"/>
      <c r="L36" s="1142"/>
      <c r="M36" s="1133"/>
      <c r="N36" s="1133"/>
      <c r="O36" s="1141"/>
      <c r="P36" s="3277" t="s">
        <v>2561</v>
      </c>
      <c r="Q36" s="1813">
        <f t="shared" si="8"/>
        <v>111</v>
      </c>
      <c r="R36" s="773" t="s">
        <v>17</v>
      </c>
      <c r="S36" s="774">
        <f t="shared" si="10"/>
        <v>100</v>
      </c>
      <c r="T36" s="773" t="s">
        <v>17</v>
      </c>
      <c r="U36" s="774">
        <f t="shared" si="11"/>
        <v>100</v>
      </c>
      <c r="V36" s="773" t="s">
        <v>17</v>
      </c>
      <c r="W36" s="774">
        <f t="shared" si="12"/>
        <v>100</v>
      </c>
      <c r="X36" s="1816"/>
      <c r="Y36" s="3278" t="s">
        <v>2561</v>
      </c>
      <c r="Z36" s="1817">
        <f t="shared" si="13"/>
        <v>111</v>
      </c>
      <c r="AA36" s="1814">
        <f t="shared" si="3"/>
        <v>1</v>
      </c>
      <c r="AB36" s="1814">
        <f t="shared" si="4"/>
        <v>1</v>
      </c>
      <c r="AC36" s="1814">
        <f t="shared" si="5"/>
        <v>1</v>
      </c>
    </row>
    <row r="37" spans="1:29" s="472" customFormat="1" ht="15.75" hidden="1" thickBot="1">
      <c r="A37" s="676"/>
      <c r="B37" s="1390">
        <v>111</v>
      </c>
      <c r="C37" s="678"/>
      <c r="D37" s="137">
        <v>100</v>
      </c>
      <c r="E37" s="701"/>
      <c r="F37" s="439">
        <f>SUMIF(114:114,E37,115:115)-SUMIF(114:114,C37,115:115)+100</f>
        <v>100</v>
      </c>
      <c r="G37" s="701"/>
      <c r="H37" s="439">
        <f>SUMIF(114:114,G37,115:115)-SUMIF(114:114,C37,115:115)+100</f>
        <v>100</v>
      </c>
      <c r="I37" s="678"/>
      <c r="J37" s="439">
        <f>SUMIF(114:114,I37,115:115)-SUMIF(114:114,C37,115:115)+100</f>
        <v>100</v>
      </c>
      <c r="K37" s="614"/>
      <c r="L37" s="1140"/>
      <c r="M37" s="1143"/>
      <c r="N37" s="1143"/>
      <c r="O37" s="1144"/>
      <c r="P37" s="3278"/>
      <c r="Q37" s="1813">
        <f t="shared" si="8"/>
        <v>111</v>
      </c>
      <c r="R37" s="776" t="s">
        <v>17</v>
      </c>
      <c r="S37" s="777">
        <f t="shared" si="10"/>
        <v>100</v>
      </c>
      <c r="T37" s="776" t="s">
        <v>17</v>
      </c>
      <c r="U37" s="777">
        <f t="shared" si="11"/>
        <v>100</v>
      </c>
      <c r="V37" s="776" t="s">
        <v>17</v>
      </c>
      <c r="W37" s="777">
        <f t="shared" si="12"/>
        <v>100</v>
      </c>
      <c r="X37" s="778"/>
      <c r="Y37" s="3278"/>
      <c r="Z37" s="779">
        <f t="shared" si="13"/>
        <v>111</v>
      </c>
      <c r="AA37" s="1814">
        <f t="shared" si="3"/>
        <v>1</v>
      </c>
      <c r="AB37" s="1814">
        <f t="shared" si="4"/>
        <v>1</v>
      </c>
      <c r="AC37" s="1814">
        <f t="shared" si="5"/>
        <v>1</v>
      </c>
    </row>
    <row r="38" spans="1:29" ht="15">
      <c r="A38" s="473" t="s">
        <v>2559</v>
      </c>
      <c r="B38" s="457" t="s">
        <v>2746</v>
      </c>
      <c r="C38" s="679">
        <f>'数据-基础表'!A3</f>
        <v>2218.67</v>
      </c>
      <c r="D38" s="468">
        <v>100</v>
      </c>
      <c r="E38" s="679">
        <v>59639.1</v>
      </c>
      <c r="F38" s="468">
        <f>LOOKUP(E38,117:117,118:118)-LOOKUP(C38,117:117,118:118)+100</f>
        <v>101</v>
      </c>
      <c r="G38" s="679">
        <v>6664.6</v>
      </c>
      <c r="H38" s="468">
        <f>LOOKUP(G38,117:117,118:118)-LOOKUP(C38,117:117,118:118)+100</f>
        <v>100</v>
      </c>
      <c r="I38" s="531">
        <v>20626.3</v>
      </c>
      <c r="J38" s="468">
        <f>LOOKUP(I38,117:117,118:118)-LOOKUP(C38,117:117,118:118)+100</f>
        <v>100</v>
      </c>
      <c r="K38" s="614"/>
      <c r="L38" s="1142"/>
      <c r="M38" s="1133"/>
      <c r="N38" s="1133"/>
      <c r="O38" s="1141"/>
      <c r="P38" s="3278"/>
      <c r="Q38" s="1813" t="str">
        <f>B38</f>
        <v>宗地面积</v>
      </c>
      <c r="R38" s="773" t="s">
        <v>17</v>
      </c>
      <c r="S38" s="774">
        <f t="shared" si="10"/>
        <v>101</v>
      </c>
      <c r="T38" s="773" t="s">
        <v>17</v>
      </c>
      <c r="U38" s="774">
        <f t="shared" si="11"/>
        <v>100</v>
      </c>
      <c r="V38" s="773" t="s">
        <v>17</v>
      </c>
      <c r="W38" s="774">
        <f t="shared" si="12"/>
        <v>100</v>
      </c>
      <c r="X38" s="1816"/>
      <c r="Y38" s="3278"/>
      <c r="Z38" s="1817" t="str">
        <f t="shared" si="13"/>
        <v>宗地面积</v>
      </c>
      <c r="AA38" s="1814">
        <f t="shared" si="3"/>
        <v>0.99009900990099009</v>
      </c>
      <c r="AB38" s="1814">
        <f t="shared" si="4"/>
        <v>1</v>
      </c>
      <c r="AC38" s="1814">
        <f t="shared" si="5"/>
        <v>1</v>
      </c>
    </row>
    <row r="39" spans="1:29" ht="15">
      <c r="A39" s="473"/>
      <c r="B39" s="423" t="s">
        <v>2747</v>
      </c>
      <c r="C39" s="2610" t="s">
        <v>3075</v>
      </c>
      <c r="D39" s="436">
        <v>100</v>
      </c>
      <c r="E39" s="2610" t="s">
        <v>3075</v>
      </c>
      <c r="F39" s="436">
        <f>SUMIF(119:119,E39,120:120)-SUMIF(119:119,C39,120:120)+100</f>
        <v>100</v>
      </c>
      <c r="G39" s="2610" t="s">
        <v>3075</v>
      </c>
      <c r="H39" s="436">
        <f>SUMIF(119:119,G39,120:120)-SUMIF(119:119,C39,120:120)+100</f>
        <v>100</v>
      </c>
      <c r="I39" s="2610" t="s">
        <v>3075</v>
      </c>
      <c r="J39" s="436">
        <f>SUMIF(119:119,I39,120:120)-SUMIF(119:119,C39,120:120)+100</f>
        <v>100</v>
      </c>
      <c r="K39" s="613"/>
      <c r="L39" s="1142"/>
      <c r="M39" s="1133"/>
      <c r="N39" s="1133"/>
      <c r="O39" s="1141"/>
      <c r="P39" s="3278"/>
      <c r="Q39" s="1813" t="str">
        <f t="shared" ref="Q39:Q45" si="14">B39</f>
        <v>宗地形状</v>
      </c>
      <c r="R39" s="773" t="s">
        <v>17</v>
      </c>
      <c r="S39" s="774">
        <f t="shared" si="10"/>
        <v>100</v>
      </c>
      <c r="T39" s="773" t="s">
        <v>17</v>
      </c>
      <c r="U39" s="774">
        <f t="shared" si="11"/>
        <v>100</v>
      </c>
      <c r="V39" s="773" t="s">
        <v>17</v>
      </c>
      <c r="W39" s="774">
        <f t="shared" si="12"/>
        <v>100</v>
      </c>
      <c r="X39" s="1816"/>
      <c r="Y39" s="3278"/>
      <c r="Z39" s="1817" t="str">
        <f t="shared" si="13"/>
        <v>宗地形状</v>
      </c>
      <c r="AA39" s="1814">
        <f t="shared" si="3"/>
        <v>1</v>
      </c>
      <c r="AB39" s="1814">
        <f t="shared" si="4"/>
        <v>1</v>
      </c>
      <c r="AC39" s="1814">
        <f t="shared" si="5"/>
        <v>1</v>
      </c>
    </row>
    <row r="40" spans="1:29" ht="15">
      <c r="A40" s="473"/>
      <c r="B40" s="423" t="s">
        <v>2748</v>
      </c>
      <c r="C40" s="2610" t="s">
        <v>3080</v>
      </c>
      <c r="D40" s="436">
        <v>100</v>
      </c>
      <c r="E40" s="2610" t="s">
        <v>3080</v>
      </c>
      <c r="F40" s="436">
        <f>SUMIF(121:121,E40,122:122)-SUMIF(121:121,C40,122:122)+100</f>
        <v>100</v>
      </c>
      <c r="G40" s="2610" t="s">
        <v>3080</v>
      </c>
      <c r="H40" s="436">
        <f>SUMIF(121:121,G40,122:122)-SUMIF(121:121,C40,122:122)+100</f>
        <v>100</v>
      </c>
      <c r="I40" s="2610" t="s">
        <v>3080</v>
      </c>
      <c r="J40" s="436">
        <f>SUMIF(121:121,I40,122:122)-SUMIF(121:121,C40,122:122)+100</f>
        <v>100</v>
      </c>
      <c r="K40" s="613"/>
      <c r="L40" s="1142"/>
      <c r="M40" s="1133"/>
      <c r="N40" s="1133"/>
      <c r="O40" s="1141"/>
      <c r="P40" s="3278"/>
      <c r="Q40" s="1813" t="str">
        <f t="shared" si="14"/>
        <v>临街宽度及深度</v>
      </c>
      <c r="R40" s="773" t="s">
        <v>17</v>
      </c>
      <c r="S40" s="774">
        <f t="shared" si="10"/>
        <v>100</v>
      </c>
      <c r="T40" s="773" t="s">
        <v>17</v>
      </c>
      <c r="U40" s="774">
        <f t="shared" si="11"/>
        <v>100</v>
      </c>
      <c r="V40" s="773" t="s">
        <v>17</v>
      </c>
      <c r="W40" s="774">
        <f t="shared" si="12"/>
        <v>100</v>
      </c>
      <c r="X40" s="1816"/>
      <c r="Y40" s="3278"/>
      <c r="Z40" s="1817" t="str">
        <f t="shared" si="13"/>
        <v>临街宽度及深度</v>
      </c>
      <c r="AA40" s="1814">
        <f t="shared" si="3"/>
        <v>1</v>
      </c>
      <c r="AB40" s="1814">
        <f t="shared" si="4"/>
        <v>1</v>
      </c>
      <c r="AC40" s="1814">
        <f t="shared" si="5"/>
        <v>1</v>
      </c>
    </row>
    <row r="41" spans="1:29" s="117" customFormat="1" ht="15">
      <c r="A41" s="474"/>
      <c r="B41" s="423" t="s">
        <v>2749</v>
      </c>
      <c r="C41" s="2699" t="s">
        <v>3088</v>
      </c>
      <c r="D41" s="136">
        <v>100</v>
      </c>
      <c r="E41" s="2699" t="s">
        <v>3088</v>
      </c>
      <c r="F41" s="436">
        <f>SUMIF(123:123,E41,124:124)-SUMIF(123:123,C41,124:124)+100</f>
        <v>100</v>
      </c>
      <c r="G41" s="2699" t="s">
        <v>3088</v>
      </c>
      <c r="H41" s="436">
        <f>SUMIF(123:123,G41,124:124)-SUMIF(123:123,C41,124:124)+100</f>
        <v>100</v>
      </c>
      <c r="I41" s="2699" t="s">
        <v>3088</v>
      </c>
      <c r="J41" s="436">
        <f>SUMIF(123:123,I41,124:124)-SUMIF(123:123,C41,124:124)+100</f>
        <v>100</v>
      </c>
      <c r="K41" s="613"/>
      <c r="L41" s="1134"/>
      <c r="M41" s="1135"/>
      <c r="N41" s="1135"/>
      <c r="O41" s="1136"/>
      <c r="P41" s="3278"/>
      <c r="Q41" s="1813" t="str">
        <f t="shared" si="14"/>
        <v>宗地开发程度</v>
      </c>
      <c r="R41" s="769" t="s">
        <v>17</v>
      </c>
      <c r="S41" s="770">
        <f t="shared" si="10"/>
        <v>100</v>
      </c>
      <c r="T41" s="769" t="s">
        <v>17</v>
      </c>
      <c r="U41" s="770">
        <f t="shared" si="11"/>
        <v>100</v>
      </c>
      <c r="V41" s="769" t="s">
        <v>17</v>
      </c>
      <c r="W41" s="770">
        <f t="shared" si="12"/>
        <v>100</v>
      </c>
      <c r="X41" s="771"/>
      <c r="Y41" s="3278"/>
      <c r="Z41" s="55" t="str">
        <f t="shared" si="13"/>
        <v>宗地开发程度</v>
      </c>
      <c r="AA41" s="772">
        <f t="shared" si="3"/>
        <v>1</v>
      </c>
      <c r="AB41" s="772">
        <f t="shared" si="4"/>
        <v>1</v>
      </c>
      <c r="AC41" s="772">
        <f t="shared" si="5"/>
        <v>1</v>
      </c>
    </row>
    <row r="42" spans="1:29" ht="15.75" thickBot="1">
      <c r="A42" s="473"/>
      <c r="B42" s="423" t="s">
        <v>2750</v>
      </c>
      <c r="C42" s="2610" t="s">
        <v>3080</v>
      </c>
      <c r="D42" s="436">
        <v>100</v>
      </c>
      <c r="E42" s="2610" t="s">
        <v>3080</v>
      </c>
      <c r="F42" s="436">
        <f>SUMIF(125:125,E42,126:126)-SUMIF(125:125,C42,126:126)+100</f>
        <v>100</v>
      </c>
      <c r="G42" s="2610" t="s">
        <v>3080</v>
      </c>
      <c r="H42" s="436">
        <f>SUMIF(125:125,G42,126:126)-SUMIF(125:125,C42,126:126)+100</f>
        <v>100</v>
      </c>
      <c r="I42" s="2610" t="s">
        <v>3080</v>
      </c>
      <c r="J42" s="436">
        <f>SUMIF(125:125,I42,126:126)-SUMIF(125:125,C42,126:126)+100</f>
        <v>100</v>
      </c>
      <c r="K42" s="613"/>
      <c r="L42" s="1142"/>
      <c r="M42" s="1133"/>
      <c r="N42" s="1133"/>
      <c r="O42" s="1141"/>
      <c r="P42" s="3278" t="s">
        <v>2561</v>
      </c>
      <c r="Q42" s="1813" t="str">
        <f t="shared" si="14"/>
        <v>工程地质条件</v>
      </c>
      <c r="R42" s="773" t="s">
        <v>17</v>
      </c>
      <c r="S42" s="774">
        <f t="shared" si="10"/>
        <v>100</v>
      </c>
      <c r="T42" s="773" t="s">
        <v>17</v>
      </c>
      <c r="U42" s="774">
        <f t="shared" si="11"/>
        <v>100</v>
      </c>
      <c r="V42" s="773" t="s">
        <v>17</v>
      </c>
      <c r="W42" s="774">
        <f t="shared" si="12"/>
        <v>100</v>
      </c>
      <c r="X42" s="1816"/>
      <c r="Y42" s="3278" t="s">
        <v>2561</v>
      </c>
      <c r="Z42" s="1817" t="str">
        <f t="shared" si="13"/>
        <v>工程地质条件</v>
      </c>
      <c r="AA42" s="1814">
        <f t="shared" si="3"/>
        <v>1</v>
      </c>
      <c r="AB42" s="1814">
        <f t="shared" si="4"/>
        <v>1</v>
      </c>
      <c r="AC42" s="1814">
        <f t="shared" si="5"/>
        <v>1</v>
      </c>
    </row>
    <row r="43" spans="1:29" ht="15" hidden="1">
      <c r="A43" s="473"/>
      <c r="B43" s="1389">
        <v>111</v>
      </c>
      <c r="C43" s="674"/>
      <c r="D43" s="436">
        <v>100</v>
      </c>
      <c r="E43" s="674"/>
      <c r="F43" s="436">
        <f>SUMIF(127:127,E43,128:128)-SUMIF(127:127,C43,128:128)+100</f>
        <v>100</v>
      </c>
      <c r="G43" s="674"/>
      <c r="H43" s="436">
        <f>SUMIF(127:127,G43,128:128)-SUMIF(127:127,C43,128:128)+100</f>
        <v>100</v>
      </c>
      <c r="I43" s="550"/>
      <c r="J43" s="436">
        <f>SUMIF(127:127,I43,128:128)-SUMIF(127:127,C43,128:128)+100</f>
        <v>100</v>
      </c>
      <c r="K43" s="614"/>
      <c r="L43" s="1142"/>
      <c r="M43" s="1133"/>
      <c r="N43" s="1133"/>
      <c r="O43" s="1141"/>
      <c r="P43" s="3278"/>
      <c r="Q43" s="1813">
        <f t="shared" si="14"/>
        <v>111</v>
      </c>
      <c r="R43" s="773" t="s">
        <v>17</v>
      </c>
      <c r="S43" s="774">
        <f t="shared" si="10"/>
        <v>100</v>
      </c>
      <c r="T43" s="773" t="s">
        <v>17</v>
      </c>
      <c r="U43" s="774">
        <f t="shared" si="11"/>
        <v>100</v>
      </c>
      <c r="V43" s="773" t="s">
        <v>17</v>
      </c>
      <c r="W43" s="774">
        <f t="shared" si="12"/>
        <v>100</v>
      </c>
      <c r="X43" s="1816"/>
      <c r="Y43" s="3278"/>
      <c r="Z43" s="1817">
        <f t="shared" si="13"/>
        <v>111</v>
      </c>
      <c r="AA43" s="1814">
        <f t="shared" si="3"/>
        <v>1</v>
      </c>
      <c r="AB43" s="1814">
        <f t="shared" si="4"/>
        <v>1</v>
      </c>
      <c r="AC43" s="1814">
        <f t="shared" si="5"/>
        <v>1</v>
      </c>
    </row>
    <row r="44" spans="1:29" ht="15" hidden="1">
      <c r="A44" s="473"/>
      <c r="B44" s="1389">
        <v>111</v>
      </c>
      <c r="C44" s="674"/>
      <c r="D44" s="436">
        <v>100</v>
      </c>
      <c r="E44" s="674"/>
      <c r="F44" s="436">
        <f>SUMIF(129:129,E44,130:130)-SUMIF(129:129,C44,130:130)+100</f>
        <v>100</v>
      </c>
      <c r="G44" s="674"/>
      <c r="H44" s="436">
        <f>SUMIF(129:129,G44,130:130)-SUMIF(129:129,C44,130:130)+100</f>
        <v>100</v>
      </c>
      <c r="I44" s="550"/>
      <c r="J44" s="436">
        <f>SUMIF(129:129,I44,130:130)-SUMIF(129:129,C44,130:130)+100</f>
        <v>100</v>
      </c>
      <c r="K44" s="614"/>
      <c r="L44" s="1142"/>
      <c r="M44" s="1133"/>
      <c r="N44" s="1133"/>
      <c r="O44" s="1141"/>
      <c r="P44" s="3278"/>
      <c r="Q44" s="1813">
        <f t="shared" si="14"/>
        <v>111</v>
      </c>
      <c r="R44" s="773" t="s">
        <v>17</v>
      </c>
      <c r="S44" s="774">
        <f t="shared" si="10"/>
        <v>100</v>
      </c>
      <c r="T44" s="773" t="s">
        <v>17</v>
      </c>
      <c r="U44" s="774">
        <f t="shared" si="11"/>
        <v>100</v>
      </c>
      <c r="V44" s="773" t="s">
        <v>17</v>
      </c>
      <c r="W44" s="774">
        <f t="shared" si="12"/>
        <v>100</v>
      </c>
      <c r="X44" s="1816"/>
      <c r="Y44" s="3278"/>
      <c r="Z44" s="1817">
        <f t="shared" si="13"/>
        <v>111</v>
      </c>
      <c r="AA44" s="1814">
        <f t="shared" si="3"/>
        <v>1</v>
      </c>
      <c r="AB44" s="1814">
        <f t="shared" si="4"/>
        <v>1</v>
      </c>
      <c r="AC44" s="1814">
        <f t="shared" si="5"/>
        <v>1</v>
      </c>
    </row>
    <row r="45" spans="1:29" s="472" customFormat="1" ht="15.75" hidden="1" thickBot="1">
      <c r="A45" s="469"/>
      <c r="B45" s="1389">
        <v>111</v>
      </c>
      <c r="C45" s="2700"/>
      <c r="D45" s="680">
        <v>100</v>
      </c>
      <c r="E45" s="674"/>
      <c r="F45" s="439">
        <f>SUMIF(131:131,E45,132:132)-SUMIF(131:131,C45,132:132)+100</f>
        <v>100</v>
      </c>
      <c r="G45" s="674"/>
      <c r="H45" s="439">
        <f>SUMIF(131:131,G45,132:132)-SUMIF(131:131,C45,132:132)+100</f>
        <v>100</v>
      </c>
      <c r="I45" s="674"/>
      <c r="J45" s="439">
        <f>SUMIF(131:131,I45,132:132)-SUMIF(131:131,C45,132:132)+100</f>
        <v>100</v>
      </c>
      <c r="K45" s="681"/>
      <c r="L45" s="1140"/>
      <c r="M45" s="1143"/>
      <c r="N45" s="1143"/>
      <c r="O45" s="1144"/>
      <c r="P45" s="3278"/>
      <c r="Q45" s="1813">
        <f t="shared" si="14"/>
        <v>111</v>
      </c>
      <c r="R45" s="776" t="s">
        <v>17</v>
      </c>
      <c r="S45" s="777">
        <f t="shared" si="10"/>
        <v>100</v>
      </c>
      <c r="T45" s="776" t="s">
        <v>17</v>
      </c>
      <c r="U45" s="777">
        <f t="shared" si="11"/>
        <v>100</v>
      </c>
      <c r="V45" s="776" t="s">
        <v>17</v>
      </c>
      <c r="W45" s="777">
        <f t="shared" si="12"/>
        <v>100</v>
      </c>
      <c r="X45" s="778"/>
      <c r="Y45" s="3278"/>
      <c r="Z45" s="779">
        <f t="shared" si="13"/>
        <v>111</v>
      </c>
      <c r="AA45" s="1814">
        <f t="shared" si="3"/>
        <v>1</v>
      </c>
      <c r="AB45" s="1814">
        <f t="shared" si="4"/>
        <v>1</v>
      </c>
      <c r="AC45" s="1814">
        <f t="shared" si="5"/>
        <v>1</v>
      </c>
    </row>
    <row r="46" spans="1:29" ht="15">
      <c r="A46" s="480" t="s">
        <v>2715</v>
      </c>
      <c r="B46" s="2701" t="s">
        <v>2751</v>
      </c>
      <c r="C46" s="682" t="s">
        <v>1</v>
      </c>
      <c r="D46" s="482"/>
      <c r="E46" s="483">
        <v>964</v>
      </c>
      <c r="F46" s="484"/>
      <c r="G46" s="485">
        <v>918</v>
      </c>
      <c r="H46" s="486"/>
      <c r="I46" s="483">
        <v>1111</v>
      </c>
      <c r="J46" s="486"/>
      <c r="K46" s="782"/>
      <c r="L46" s="1145"/>
      <c r="M46" s="1146"/>
      <c r="N46" s="1133"/>
      <c r="O46" s="1146"/>
      <c r="P46" s="3273" t="str">
        <f>A46</f>
        <v>成交单价</v>
      </c>
      <c r="Q46" s="3273"/>
      <c r="R46" s="3279">
        <f>E46</f>
        <v>964</v>
      </c>
      <c r="S46" s="3279"/>
      <c r="T46" s="3279">
        <f>G46</f>
        <v>918</v>
      </c>
      <c r="U46" s="3279"/>
      <c r="V46" s="3279">
        <f>I46</f>
        <v>1111</v>
      </c>
      <c r="W46" s="3279"/>
      <c r="X46" s="758"/>
      <c r="Y46" s="780"/>
      <c r="Z46" s="758"/>
      <c r="AA46" s="758"/>
      <c r="AB46" s="758"/>
      <c r="AC46" s="758"/>
    </row>
    <row r="47" spans="1:29" ht="15.75" thickBot="1">
      <c r="A47" s="487" t="s">
        <v>2664</v>
      </c>
      <c r="B47" s="683"/>
      <c r="C47" s="491">
        <f>R48</f>
        <v>972</v>
      </c>
      <c r="D47" s="490"/>
      <c r="E47" s="491">
        <f>R47</f>
        <v>914</v>
      </c>
      <c r="F47" s="492"/>
      <c r="G47" s="489">
        <f>T47</f>
        <v>911</v>
      </c>
      <c r="H47" s="490"/>
      <c r="I47" s="491">
        <f>V47</f>
        <v>1091</v>
      </c>
      <c r="J47" s="490"/>
      <c r="K47" s="783"/>
      <c r="L47" s="1145"/>
      <c r="M47" s="1146"/>
      <c r="N47" s="1146"/>
      <c r="O47" s="1146"/>
      <c r="P47" s="3273" t="str">
        <f>A47</f>
        <v>比较价值（元/平方米）</v>
      </c>
      <c r="Q47" s="3273"/>
      <c r="R47" s="3266">
        <f>ROUND(PRODUCT(R46,AA7:AA45),0)</f>
        <v>914</v>
      </c>
      <c r="S47" s="3266"/>
      <c r="T47" s="3266">
        <f>ROUND(PRODUCT(T46,AB7:AB45),0)</f>
        <v>911</v>
      </c>
      <c r="U47" s="3266"/>
      <c r="V47" s="3266">
        <f>ROUND(PRODUCT(V46,AC7:AC45),0)</f>
        <v>1091</v>
      </c>
      <c r="W47" s="3266"/>
      <c r="X47" s="758"/>
      <c r="Y47" s="758"/>
      <c r="Z47" s="758"/>
      <c r="AA47" s="758"/>
      <c r="AB47" s="758"/>
      <c r="AC47" s="758"/>
    </row>
    <row r="48" spans="1:29" ht="15.75" thickBot="1">
      <c r="A48" s="493" t="s">
        <v>2752</v>
      </c>
      <c r="B48" s="494"/>
      <c r="C48" s="495">
        <f>R48</f>
        <v>972</v>
      </c>
      <c r="D48" s="495"/>
      <c r="E48" s="495"/>
      <c r="F48" s="495"/>
      <c r="G48" s="495"/>
      <c r="H48" s="495"/>
      <c r="I48" s="495"/>
      <c r="J48" s="495"/>
      <c r="K48" s="784"/>
      <c r="L48" s="1145"/>
      <c r="M48" s="1146"/>
      <c r="N48" s="1146"/>
      <c r="O48" s="1146"/>
      <c r="P48" s="3267" t="str">
        <f>A48</f>
        <v>估价对象XX用房的比较价值（楼面单价，元/平方米）</v>
      </c>
      <c r="Q48" s="3268"/>
      <c r="R48" s="3269">
        <f>ROUND(AVERAGE(R47:V47),0)</f>
        <v>972</v>
      </c>
      <c r="S48" s="3269"/>
      <c r="T48" s="3269"/>
      <c r="U48" s="3269"/>
      <c r="V48" s="3269"/>
      <c r="W48" s="3269"/>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8" t="s">
        <v>2666</v>
      </c>
      <c r="D51" s="499"/>
      <c r="E51" s="500">
        <f>IF(E46&lt;E47,E47/E46-1,E46/E47-1)</f>
        <v>5.4704595185995686E-2</v>
      </c>
      <c r="F51" s="501" t="str">
        <f>IF(OR(E51&gt;=0.3,E51&lt;=-0.3),"超过30%","")</f>
        <v/>
      </c>
      <c r="G51" s="500">
        <f>IF(G46&lt;G47,G47/G46-1,G46/G47-1)</f>
        <v>7.6838638858396369E-3</v>
      </c>
      <c r="H51" s="501" t="str">
        <f>IF(OR(G51&gt;=0.3,G51&lt;=-0.3),"超过30%","")</f>
        <v/>
      </c>
      <c r="I51" s="500">
        <f>IF(I46&lt;I47,I47/I46-1,I46/I47-1)</f>
        <v>1.8331805682859859E-2</v>
      </c>
      <c r="J51" s="501" t="str">
        <f>IF(OR(I51&gt;=0.3,I51&lt;=-0.3),"超过30%","")</f>
        <v/>
      </c>
      <c r="K51" s="1107"/>
      <c r="L51" s="1108"/>
      <c r="M51" s="1146"/>
      <c r="N51" s="1146"/>
      <c r="O51" s="1146"/>
    </row>
    <row r="52" spans="1:15" ht="13.5" customHeight="1">
      <c r="A52" s="1146"/>
      <c r="B52" s="1146"/>
      <c r="C52" s="498" t="s">
        <v>2667</v>
      </c>
      <c r="D52" s="502"/>
      <c r="E52" s="500">
        <f>IF(E47&lt;G47,G47/E47-1,E47/G47-1)</f>
        <v>3.293084522502765E-3</v>
      </c>
      <c r="F52" s="501" t="str">
        <f>IF(OR(E52&gt;=0.2,E52&lt;=-0.2),"超过20%","")</f>
        <v/>
      </c>
      <c r="G52" s="500">
        <f>IF(G47&lt;I47,I47/G47-1,G47/I47-1)</f>
        <v>0.19758507135016457</v>
      </c>
      <c r="H52" s="501" t="str">
        <f>IF(OR(G52&gt;=0.2,G52&lt;=-0.2),"超过20%","")</f>
        <v/>
      </c>
      <c r="I52" s="500">
        <f>IF(I47&lt;E47,E47/I47-1,I47/E47-1)</f>
        <v>0.19365426695842447</v>
      </c>
      <c r="J52" s="501" t="str">
        <f>IF(OR(I52&gt;=0.2,I52&lt;=-0.2),"超过20%","")</f>
        <v/>
      </c>
      <c r="K52" s="1107"/>
      <c r="L52" s="1108"/>
      <c r="M52" s="1146"/>
      <c r="N52" s="1146"/>
      <c r="O52" s="1146"/>
    </row>
    <row r="53" spans="1:15" s="503" customFormat="1" ht="13.5" customHeight="1">
      <c r="A53" s="1147"/>
      <c r="B53" s="1147"/>
      <c r="C53" s="498" t="s">
        <v>2668</v>
      </c>
      <c r="D53" s="502"/>
      <c r="E53" s="500">
        <f>IF(E46&lt;G46,G46/E46-1,E46/G46-1)</f>
        <v>5.0108932461873534E-2</v>
      </c>
      <c r="F53" s="501" t="str">
        <f>IF(OR(E53&gt;=0.3,E53&lt;=-0.3),"超过30%","")</f>
        <v/>
      </c>
      <c r="G53" s="500">
        <f>IF(G46&lt;I46,I46/G46-1,G46/I46-1)</f>
        <v>0.210239651416122</v>
      </c>
      <c r="H53" s="501" t="str">
        <f>IF(OR(G53&gt;=0.3,G53&lt;=-0.3),"超过30%","")</f>
        <v/>
      </c>
      <c r="I53" s="500">
        <f>IF(I46&lt;E46,E46/I46-1,I46/E46-1)</f>
        <v>0.1524896265560165</v>
      </c>
      <c r="J53" s="501" t="str">
        <f>IF(OR(I53&gt;=0.3,I53&lt;=-0.3),"超过30%","")</f>
        <v/>
      </c>
      <c r="K53" s="1150"/>
      <c r="L53" s="1151"/>
      <c r="M53" s="1147"/>
      <c r="N53" s="1147"/>
      <c r="O53" s="1147"/>
    </row>
    <row r="54" spans="1:15" s="503" customFormat="1" ht="15" thickBot="1">
      <c r="A54" s="1147"/>
      <c r="B54" s="1148"/>
      <c r="C54" s="761"/>
      <c r="D54" s="759"/>
      <c r="E54" s="759"/>
      <c r="F54" s="759"/>
      <c r="G54" s="759"/>
      <c r="H54" s="759"/>
      <c r="I54" s="759"/>
      <c r="J54" s="759"/>
      <c r="K54" s="1150"/>
      <c r="L54" s="1151"/>
      <c r="M54" s="1147"/>
      <c r="N54" s="1147"/>
      <c r="O54" s="1147"/>
    </row>
    <row r="55" spans="1:15" ht="27" customHeight="1">
      <c r="A55" s="684" t="s">
        <v>2753</v>
      </c>
      <c r="B55" s="685" t="s">
        <v>2754</v>
      </c>
      <c r="C55" s="2702" t="s">
        <v>2755</v>
      </c>
      <c r="D55" s="2703" t="s">
        <v>2756</v>
      </c>
      <c r="E55" s="686" t="s">
        <v>2757</v>
      </c>
      <c r="F55" s="1109" t="s">
        <v>2758</v>
      </c>
      <c r="G55" s="3270" t="s">
        <v>2759</v>
      </c>
      <c r="H55" s="3271"/>
      <c r="I55" s="144" t="s">
        <v>2760</v>
      </c>
      <c r="J55" s="2704" t="str">
        <f>项目基本情况!F35</f>
        <v>河北省保定市涞水县涞水镇</v>
      </c>
      <c r="K55" s="2705" t="s">
        <v>2761</v>
      </c>
      <c r="L55" s="1108"/>
      <c r="M55" s="1146"/>
      <c r="N55" s="1146"/>
      <c r="O55" s="1146"/>
    </row>
    <row r="56" spans="1:15" s="692" customFormat="1">
      <c r="A56" s="688" t="s">
        <v>2762</v>
      </c>
      <c r="B56" s="689">
        <f>C48</f>
        <v>972</v>
      </c>
      <c r="C56" s="690">
        <v>1</v>
      </c>
      <c r="D56" s="1165">
        <v>1</v>
      </c>
      <c r="E56" s="690">
        <f>'数据-汇总表'!E8+'数据-汇总表'!E9</f>
        <v>7765.3499999999995</v>
      </c>
      <c r="F56" s="1105">
        <f t="shared" ref="F56:F65" si="15">ROUND(B56*E56/10000,0)</f>
        <v>755</v>
      </c>
      <c r="G56" s="3272"/>
      <c r="H56" s="3273"/>
      <c r="I56" s="1110">
        <v>1</v>
      </c>
      <c r="J56" s="1113">
        <v>1</v>
      </c>
      <c r="K56" s="1147"/>
      <c r="L56" s="943"/>
      <c r="M56" s="943"/>
      <c r="N56" s="943"/>
      <c r="O56" s="943"/>
    </row>
    <row r="57" spans="1:15" s="692" customFormat="1">
      <c r="A57" s="693" t="s">
        <v>2763</v>
      </c>
      <c r="B57" s="263">
        <f>ROUND($C$48*C57*D57,0)</f>
        <v>0</v>
      </c>
      <c r="C57" s="201">
        <f t="shared" ref="C57:C65" si="16">IF($C$55="北京市系数",I57,J57)</f>
        <v>0</v>
      </c>
      <c r="D57" s="1166">
        <v>0.25</v>
      </c>
      <c r="E57" s="694"/>
      <c r="F57" s="1105">
        <f t="shared" si="15"/>
        <v>0</v>
      </c>
      <c r="G57" s="3274" t="s">
        <v>2764</v>
      </c>
      <c r="H57" s="1106">
        <f>项目基本情况!B37</f>
        <v>0</v>
      </c>
      <c r="I57" s="1110">
        <f>SUMIF(修正!A45:A56,H57,修正!B45:B56)</f>
        <v>0</v>
      </c>
      <c r="J57" s="1114"/>
      <c r="K57" s="1146"/>
      <c r="L57" s="943"/>
      <c r="M57" s="943"/>
      <c r="N57" s="943"/>
      <c r="O57" s="943"/>
    </row>
    <row r="58" spans="1:15" s="692" customFormat="1">
      <c r="A58" s="693" t="s">
        <v>2765</v>
      </c>
      <c r="B58" s="263">
        <f t="shared" ref="B58:B65" si="17">ROUND($C$48*C58*D58,0)</f>
        <v>0</v>
      </c>
      <c r="C58" s="201">
        <f t="shared" si="16"/>
        <v>0</v>
      </c>
      <c r="D58" s="1166">
        <v>0.25</v>
      </c>
      <c r="E58" s="694"/>
      <c r="F58" s="1105">
        <f t="shared" si="15"/>
        <v>0</v>
      </c>
      <c r="G58" s="3274"/>
      <c r="H58" s="1106">
        <f>项目基本情况!B37</f>
        <v>0</v>
      </c>
      <c r="I58" s="1110">
        <f>SUMIF(修正!A45:A56,H58,修正!C45:C56)</f>
        <v>0</v>
      </c>
      <c r="J58" s="1114"/>
      <c r="K58" s="1147"/>
      <c r="L58" s="943"/>
      <c r="M58" s="943"/>
      <c r="N58" s="943"/>
      <c r="O58" s="943"/>
    </row>
    <row r="59" spans="1:15" s="692" customFormat="1">
      <c r="A59" s="693" t="s">
        <v>2766</v>
      </c>
      <c r="B59" s="263">
        <f t="shared" si="17"/>
        <v>0</v>
      </c>
      <c r="C59" s="201">
        <f t="shared" si="16"/>
        <v>0</v>
      </c>
      <c r="D59" s="1166">
        <v>0.25</v>
      </c>
      <c r="E59" s="694"/>
      <c r="F59" s="1105">
        <f t="shared" si="15"/>
        <v>0</v>
      </c>
      <c r="G59" s="3274"/>
      <c r="H59" s="1106">
        <f>项目基本情况!B37</f>
        <v>0</v>
      </c>
      <c r="I59" s="1110">
        <f>SUMIF(修正!A45:A56,H59,修正!D45:D56)</f>
        <v>0</v>
      </c>
      <c r="J59" s="1114"/>
      <c r="K59" s="1146"/>
      <c r="L59" s="943"/>
      <c r="M59" s="943"/>
      <c r="N59" s="943"/>
      <c r="O59" s="943"/>
    </row>
    <row r="60" spans="1:15" s="692" customFormat="1">
      <c r="A60" s="693" t="s">
        <v>2767</v>
      </c>
      <c r="B60" s="263">
        <f t="shared" si="17"/>
        <v>0</v>
      </c>
      <c r="C60" s="201">
        <f t="shared" si="16"/>
        <v>0</v>
      </c>
      <c r="D60" s="1166">
        <v>0.25</v>
      </c>
      <c r="E60" s="694"/>
      <c r="F60" s="1105">
        <f t="shared" si="15"/>
        <v>0</v>
      </c>
      <c r="G60" s="3274"/>
      <c r="H60" s="1106">
        <f>项目基本情况!B37</f>
        <v>0</v>
      </c>
      <c r="I60" s="1110">
        <f>SUMIF(修正!A45:A56,H60,修正!E45:E56)</f>
        <v>0</v>
      </c>
      <c r="J60" s="1114"/>
      <c r="K60" s="1147"/>
      <c r="L60" s="943"/>
      <c r="M60" s="943"/>
      <c r="N60" s="943"/>
      <c r="O60" s="943"/>
    </row>
    <row r="61" spans="1:15" s="692" customFormat="1">
      <c r="A61" s="693" t="s">
        <v>2768</v>
      </c>
      <c r="B61" s="263">
        <f t="shared" si="17"/>
        <v>0</v>
      </c>
      <c r="C61" s="201">
        <f t="shared" si="16"/>
        <v>0</v>
      </c>
      <c r="D61" s="1166">
        <v>0.25</v>
      </c>
      <c r="E61" s="262">
        <f>'数据-汇总表'!E11</f>
        <v>0</v>
      </c>
      <c r="F61" s="1105">
        <f t="shared" si="15"/>
        <v>0</v>
      </c>
      <c r="G61" s="2706" t="s">
        <v>2769</v>
      </c>
      <c r="H61" s="1106">
        <f>项目基本情况!C37</f>
        <v>0</v>
      </c>
      <c r="I61" s="1110">
        <f>SUMIF(修正!A45:A56,H61,修正!F45:F56)</f>
        <v>0</v>
      </c>
      <c r="J61" s="1114"/>
      <c r="K61" s="1146"/>
      <c r="L61" s="943"/>
      <c r="M61" s="943"/>
      <c r="N61" s="943"/>
      <c r="O61" s="943"/>
    </row>
    <row r="62" spans="1:15" s="692" customFormat="1">
      <c r="A62" s="693" t="s">
        <v>2770</v>
      </c>
      <c r="B62" s="263">
        <f t="shared" si="17"/>
        <v>0</v>
      </c>
      <c r="C62" s="201">
        <f t="shared" si="16"/>
        <v>0</v>
      </c>
      <c r="D62" s="1166">
        <v>0.25</v>
      </c>
      <c r="E62" s="262">
        <f>'数据-汇总表'!E12</f>
        <v>0</v>
      </c>
      <c r="F62" s="1105">
        <f t="shared" si="15"/>
        <v>0</v>
      </c>
      <c r="G62" s="1111" t="s">
        <v>2771</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2" customFormat="1">
      <c r="A63" s="693" t="s">
        <v>2772</v>
      </c>
      <c r="B63" s="263">
        <f t="shared" si="17"/>
        <v>0</v>
      </c>
      <c r="C63" s="201">
        <f t="shared" si="16"/>
        <v>0</v>
      </c>
      <c r="D63" s="1166">
        <v>0.25</v>
      </c>
      <c r="E63" s="262">
        <f>'数据-汇总表'!E13</f>
        <v>0</v>
      </c>
      <c r="F63" s="1105">
        <f t="shared" si="15"/>
        <v>0</v>
      </c>
      <c r="G63" s="1111" t="s">
        <v>2773</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2774</v>
      </c>
      <c r="B64" s="263">
        <f t="shared" si="17"/>
        <v>0</v>
      </c>
      <c r="C64" s="201">
        <f t="shared" si="16"/>
        <v>0</v>
      </c>
      <c r="D64" s="1166">
        <v>0.25</v>
      </c>
      <c r="E64" s="262">
        <f>'数据-汇总表'!E14</f>
        <v>0</v>
      </c>
      <c r="F64" s="1105">
        <f t="shared" si="15"/>
        <v>0</v>
      </c>
      <c r="G64" s="2706" t="s">
        <v>2764</v>
      </c>
      <c r="H64" s="1106">
        <f>项目基本情况!B37</f>
        <v>0</v>
      </c>
      <c r="I64" s="1110">
        <f>SUMIF(修正!A45:A56,H64,修正!H45:H56)</f>
        <v>0</v>
      </c>
      <c r="J64" s="1114"/>
      <c r="K64" s="1147"/>
      <c r="L64" s="943"/>
      <c r="M64" s="943"/>
      <c r="N64" s="943"/>
      <c r="O64" s="943"/>
    </row>
    <row r="65" spans="1:17" s="692" customFormat="1" ht="15" thickBot="1">
      <c r="A65" s="693" t="s">
        <v>2775</v>
      </c>
      <c r="B65" s="263">
        <f t="shared" si="17"/>
        <v>0</v>
      </c>
      <c r="C65" s="201">
        <f t="shared" si="16"/>
        <v>0</v>
      </c>
      <c r="D65" s="1166">
        <v>0.25</v>
      </c>
      <c r="E65" s="262">
        <f>'数据-汇总表'!E15</f>
        <v>0</v>
      </c>
      <c r="F65" s="1105">
        <f t="shared" si="15"/>
        <v>0</v>
      </c>
      <c r="G65" s="2707" t="s">
        <v>2769</v>
      </c>
      <c r="H65" s="1116">
        <f>项目基本情况!C37</f>
        <v>0</v>
      </c>
      <c r="I65" s="1112">
        <f>SUMIF(修正!A45:A56,H65,修正!H45:H56)</f>
        <v>0</v>
      </c>
      <c r="J65" s="1115"/>
      <c r="K65" s="1146"/>
      <c r="L65" s="943"/>
      <c r="M65" s="943"/>
      <c r="N65" s="943"/>
      <c r="O65" s="943"/>
    </row>
    <row r="66" spans="1:17" s="692" customFormat="1" ht="13.5" thickBot="1">
      <c r="A66" s="695" t="s">
        <v>2776</v>
      </c>
      <c r="B66" s="696" t="s">
        <v>28</v>
      </c>
      <c r="C66" s="696" t="s">
        <v>29</v>
      </c>
      <c r="D66" s="696" t="s">
        <v>1029</v>
      </c>
      <c r="E66" s="696">
        <f>IF(B46="楼面地价",SUM(E56:E65),'数据-汇总表'!D3)</f>
        <v>7765.3499999999995</v>
      </c>
      <c r="F66" s="697">
        <f>IF(B46="楼面地价",SUM(F56:F65),ROUND(C48*E66/10000,0))</f>
        <v>755</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2017-11-1</v>
      </c>
      <c r="D68" s="760">
        <f>EDATE(C68,-3)</f>
        <v>42948</v>
      </c>
      <c r="E68" s="760">
        <f>EDATE(D68,-3)</f>
        <v>42856</v>
      </c>
      <c r="F68" s="760">
        <f t="shared" ref="F68:O68" si="18">EDATE(E68,-3)</f>
        <v>42767</v>
      </c>
      <c r="G68" s="760">
        <f t="shared" si="18"/>
        <v>42675</v>
      </c>
      <c r="H68" s="760">
        <f t="shared" si="18"/>
        <v>42583</v>
      </c>
      <c r="I68" s="760">
        <f t="shared" si="18"/>
        <v>42491</v>
      </c>
      <c r="J68" s="760">
        <f t="shared" si="18"/>
        <v>42401</v>
      </c>
      <c r="K68" s="760">
        <f t="shared" si="18"/>
        <v>42309</v>
      </c>
      <c r="L68" s="760">
        <f t="shared" si="18"/>
        <v>42217</v>
      </c>
      <c r="M68" s="760">
        <f t="shared" si="18"/>
        <v>42125</v>
      </c>
      <c r="N68" s="760">
        <f t="shared" si="18"/>
        <v>42036</v>
      </c>
      <c r="O68" s="760">
        <f t="shared" si="18"/>
        <v>41944</v>
      </c>
    </row>
    <row r="69" spans="1:17" ht="21.75" thickBot="1">
      <c r="A69" s="762" t="s">
        <v>2669</v>
      </c>
      <c r="B69" s="758"/>
      <c r="C69" s="763"/>
      <c r="D69" s="763"/>
      <c r="E69" s="763"/>
      <c r="F69" s="764"/>
      <c r="G69" s="764"/>
      <c r="H69" s="763"/>
      <c r="I69" s="763"/>
      <c r="J69" s="1161"/>
      <c r="K69" s="1162"/>
      <c r="L69" s="1163"/>
      <c r="M69" s="1161"/>
      <c r="N69" s="1161"/>
      <c r="O69" s="1161"/>
      <c r="P69" s="504"/>
      <c r="Q69" s="505"/>
    </row>
    <row r="70" spans="1:17" s="509" customFormat="1" ht="15">
      <c r="A70" s="2708" t="s">
        <v>2777</v>
      </c>
      <c r="B70" s="1361"/>
      <c r="C70" s="1575" t="str">
        <f>YEAR(C68)&amp;"-"&amp;ROUNDUP(MONTH(C68)/3,0)</f>
        <v>2017-4</v>
      </c>
      <c r="D70" s="1575" t="str">
        <f>YEAR(D68)&amp;"-"&amp;ROUNDUP(MONTH(D68)/3,0)</f>
        <v>2017-3</v>
      </c>
      <c r="E70" s="1575" t="str">
        <f t="shared" ref="E70:O70" si="19">YEAR(E68)&amp;"-"&amp;ROUNDUP(MONTH(E68)/3,0)</f>
        <v>2017-2</v>
      </c>
      <c r="F70" s="1575" t="str">
        <f t="shared" si="19"/>
        <v>2017-1</v>
      </c>
      <c r="G70" s="1575" t="str">
        <f t="shared" si="19"/>
        <v>2016-4</v>
      </c>
      <c r="H70" s="1575" t="str">
        <f t="shared" si="19"/>
        <v>2016-3</v>
      </c>
      <c r="I70" s="1575" t="str">
        <f t="shared" si="19"/>
        <v>2016-2</v>
      </c>
      <c r="J70" s="1575" t="str">
        <f t="shared" si="19"/>
        <v>2016-1</v>
      </c>
      <c r="K70" s="1575" t="str">
        <f t="shared" si="19"/>
        <v>2015-4</v>
      </c>
      <c r="L70" s="1575" t="str">
        <f t="shared" si="19"/>
        <v>2015-3</v>
      </c>
      <c r="M70" s="1575" t="str">
        <f t="shared" si="19"/>
        <v>2015-2</v>
      </c>
      <c r="N70" s="1575" t="str">
        <f t="shared" si="19"/>
        <v>2015-1</v>
      </c>
      <c r="O70" s="1575" t="str">
        <f t="shared" si="19"/>
        <v>2014-4</v>
      </c>
      <c r="P70" s="508"/>
    </row>
    <row r="71" spans="1:17" s="117" customFormat="1" ht="30" customHeight="1">
      <c r="A71" s="2709" t="s">
        <v>2778</v>
      </c>
      <c r="B71" s="333" t="str">
        <f>"北京市平均增长率"&amp;TEXT(SUMIF(基准地价修正!N21:N25,A71,基准地价修正!P21:P25),"0.00%")</f>
        <v>北京市平均增长率2.78%</v>
      </c>
      <c r="C71" s="604">
        <v>100</v>
      </c>
      <c r="D71" s="596">
        <v>98.5</v>
      </c>
      <c r="E71" s="596">
        <v>97</v>
      </c>
      <c r="F71" s="596">
        <v>95.5</v>
      </c>
      <c r="G71" s="596">
        <v>94</v>
      </c>
      <c r="H71" s="596">
        <v>92.5</v>
      </c>
      <c r="I71" s="596">
        <v>91</v>
      </c>
      <c r="J71" s="596"/>
      <c r="K71" s="596"/>
      <c r="L71" s="596"/>
      <c r="M71" s="1570"/>
      <c r="N71" s="596"/>
      <c r="O71" s="1571"/>
      <c r="P71" s="505"/>
    </row>
    <row r="72" spans="1:17" s="117" customFormat="1" ht="15.75" thickBot="1">
      <c r="A72" s="516" t="s">
        <v>2581</v>
      </c>
      <c r="B72" s="517"/>
      <c r="C72" s="518"/>
      <c r="D72" s="519"/>
      <c r="E72" s="519"/>
      <c r="F72" s="519"/>
      <c r="G72" s="519"/>
      <c r="H72" s="519"/>
      <c r="I72" s="519"/>
      <c r="J72" s="519"/>
      <c r="K72" s="519"/>
      <c r="L72" s="519"/>
      <c r="M72" s="520"/>
      <c r="N72" s="519"/>
      <c r="O72" s="1164"/>
      <c r="P72" s="505"/>
      <c r="Q72" s="505"/>
    </row>
    <row r="73" spans="1:17" s="117" customFormat="1" ht="15">
      <c r="A73" s="522" t="s">
        <v>2546</v>
      </c>
      <c r="B73" s="511"/>
      <c r="C73" s="523" t="s">
        <v>2648</v>
      </c>
      <c r="D73" s="524"/>
      <c r="E73" s="524"/>
      <c r="F73" s="524"/>
      <c r="G73" s="524"/>
      <c r="H73" s="524"/>
      <c r="I73" s="524"/>
      <c r="J73" s="524"/>
      <c r="K73" s="524"/>
      <c r="L73" s="525"/>
      <c r="M73" s="526"/>
      <c r="N73" s="1153"/>
      <c r="O73" s="1153"/>
      <c r="P73" s="527"/>
      <c r="Q73" s="505"/>
    </row>
    <row r="74" spans="1:17" s="117" customFormat="1" ht="15.75" thickBot="1">
      <c r="A74" s="522"/>
      <c r="B74" s="511"/>
      <c r="C74" s="639">
        <v>100</v>
      </c>
      <c r="D74" s="513"/>
      <c r="E74" s="513"/>
      <c r="F74" s="513"/>
      <c r="G74" s="513"/>
      <c r="H74" s="513"/>
      <c r="I74" s="513"/>
      <c r="J74" s="513"/>
      <c r="K74" s="513"/>
      <c r="L74" s="513"/>
      <c r="M74" s="515"/>
      <c r="N74" s="1153"/>
      <c r="O74" s="1153"/>
      <c r="P74" s="505"/>
      <c r="Q74" s="505"/>
    </row>
    <row r="75" spans="1:17" ht="27">
      <c r="A75" s="528" t="s">
        <v>2584</v>
      </c>
      <c r="B75" s="529" t="s">
        <v>2550</v>
      </c>
      <c r="C75" s="2930" t="s">
        <v>3066</v>
      </c>
      <c r="D75" s="531"/>
      <c r="E75" s="531"/>
      <c r="F75" s="531"/>
      <c r="G75" s="531"/>
      <c r="H75" s="531"/>
      <c r="I75" s="531"/>
      <c r="J75" s="531"/>
      <c r="K75" s="532"/>
      <c r="L75" s="533"/>
      <c r="M75" s="534"/>
      <c r="N75" s="1154"/>
      <c r="O75" s="1154"/>
      <c r="P75" s="45"/>
      <c r="Q75" s="505"/>
    </row>
    <row r="76" spans="1:17" ht="15.75" thickBot="1">
      <c r="A76" s="535"/>
      <c r="B76" s="536"/>
      <c r="C76" s="537">
        <v>100</v>
      </c>
      <c r="D76" s="537"/>
      <c r="E76" s="537"/>
      <c r="F76" s="537"/>
      <c r="G76" s="537"/>
      <c r="H76" s="537"/>
      <c r="I76" s="537"/>
      <c r="J76" s="537"/>
      <c r="K76" s="537"/>
      <c r="L76" s="537"/>
      <c r="M76" s="538"/>
      <c r="N76" s="1155"/>
      <c r="O76" s="1155"/>
      <c r="P76" s="45"/>
      <c r="Q76" s="505"/>
    </row>
    <row r="77" spans="1:17" ht="27.75" thickTop="1">
      <c r="A77" s="535"/>
      <c r="B77" s="539" t="s">
        <v>2553</v>
      </c>
      <c r="C77" s="540"/>
      <c r="D77" s="540"/>
      <c r="E77" s="540"/>
      <c r="F77" s="540"/>
      <c r="G77" s="540"/>
      <c r="H77" s="540"/>
      <c r="I77" s="540"/>
      <c r="J77" s="540"/>
      <c r="K77" s="541"/>
      <c r="L77" s="542"/>
      <c r="M77" s="543"/>
      <c r="N77" s="1154"/>
      <c r="O77" s="1154"/>
      <c r="P77" s="45"/>
      <c r="Q77" s="505"/>
    </row>
    <row r="78" spans="1:17" ht="15.75" thickBot="1">
      <c r="A78" s="535"/>
      <c r="B78" s="544"/>
      <c r="C78" s="545"/>
      <c r="D78" s="545"/>
      <c r="E78" s="545"/>
      <c r="F78" s="545"/>
      <c r="G78" s="545"/>
      <c r="H78" s="545"/>
      <c r="I78" s="545"/>
      <c r="J78" s="545"/>
      <c r="K78" s="545"/>
      <c r="L78" s="545"/>
      <c r="M78" s="546"/>
      <c r="N78" s="1155"/>
      <c r="O78" s="1155"/>
      <c r="P78" s="45"/>
      <c r="Q78" s="505"/>
    </row>
    <row r="79" spans="1:17" ht="15.75" thickTop="1">
      <c r="A79" s="535"/>
      <c r="B79" s="547" t="s">
        <v>2554</v>
      </c>
      <c r="C79" s="548" t="str">
        <f>C80&amp;"（含）"&amp;"-"&amp;D80</f>
        <v>0（含）-2</v>
      </c>
      <c r="D79" s="548" t="str">
        <f t="shared" ref="D79:L79" si="20">D80&amp;"（含）"&amp;"-"&amp;E80</f>
        <v>2（含）-4</v>
      </c>
      <c r="E79" s="548" t="str">
        <f t="shared" si="20"/>
        <v>4（含）-6</v>
      </c>
      <c r="F79" s="548" t="str">
        <f t="shared" si="20"/>
        <v>6（含）-8</v>
      </c>
      <c r="G79" s="548" t="str">
        <f t="shared" si="20"/>
        <v>8（含）-</v>
      </c>
      <c r="H79" s="548" t="str">
        <f t="shared" si="20"/>
        <v>（含）-</v>
      </c>
      <c r="I79" s="548" t="str">
        <f t="shared" si="20"/>
        <v>（含）-</v>
      </c>
      <c r="J79" s="548" t="str">
        <f t="shared" si="20"/>
        <v>（含）-</v>
      </c>
      <c r="K79" s="548" t="str">
        <f t="shared" si="20"/>
        <v>（含）-</v>
      </c>
      <c r="L79" s="548" t="str">
        <f t="shared" si="20"/>
        <v>（含）-</v>
      </c>
      <c r="M79" s="449" t="str">
        <f>M80&amp;"（含）"&amp;"-"&amp;P80</f>
        <v>（含）-</v>
      </c>
      <c r="N79" s="1155"/>
      <c r="O79" s="1155"/>
      <c r="P79" s="45"/>
      <c r="Q79" s="505"/>
    </row>
    <row r="80" spans="1:17" ht="15">
      <c r="A80" s="535"/>
      <c r="B80" s="549"/>
      <c r="C80" s="550">
        <v>0</v>
      </c>
      <c r="D80" s="550">
        <v>2</v>
      </c>
      <c r="E80" s="550">
        <v>4</v>
      </c>
      <c r="F80" s="550">
        <v>6</v>
      </c>
      <c r="G80" s="550">
        <v>8</v>
      </c>
      <c r="H80" s="550"/>
      <c r="I80" s="550"/>
      <c r="J80" s="550"/>
      <c r="K80" s="551"/>
      <c r="L80" s="552"/>
      <c r="M80" s="553"/>
      <c r="N80" s="1154"/>
      <c r="O80" s="1154"/>
      <c r="P80" s="45"/>
      <c r="Q80" s="505"/>
    </row>
    <row r="81" spans="1:17" ht="15.75" thickBot="1">
      <c r="A81" s="535"/>
      <c r="B81" s="536"/>
      <c r="C81" s="545">
        <v>100</v>
      </c>
      <c r="D81" s="545">
        <f t="shared" ref="D81:M81" si="21">IF($B$46="单位面积地价",C81+$K11,C81-$K11)</f>
        <v>99</v>
      </c>
      <c r="E81" s="545">
        <f t="shared" si="21"/>
        <v>98</v>
      </c>
      <c r="F81" s="545">
        <f t="shared" si="21"/>
        <v>97</v>
      </c>
      <c r="G81" s="545">
        <f t="shared" si="21"/>
        <v>96</v>
      </c>
      <c r="H81" s="545">
        <f t="shared" si="21"/>
        <v>95</v>
      </c>
      <c r="I81" s="545">
        <f t="shared" si="21"/>
        <v>94</v>
      </c>
      <c r="J81" s="545">
        <f t="shared" si="21"/>
        <v>93</v>
      </c>
      <c r="K81" s="545">
        <f t="shared" si="21"/>
        <v>92</v>
      </c>
      <c r="L81" s="545">
        <f t="shared" si="21"/>
        <v>91</v>
      </c>
      <c r="M81" s="545">
        <f t="shared" si="21"/>
        <v>90</v>
      </c>
      <c r="N81" s="1155"/>
      <c r="O81" s="1155"/>
      <c r="P81" s="45"/>
      <c r="Q81" s="505"/>
    </row>
    <row r="82" spans="1:17" s="472" customFormat="1" ht="15.75" hidden="1" thickTop="1">
      <c r="A82" s="554"/>
      <c r="B82" s="539" t="str">
        <f>B12</f>
        <v>配建</v>
      </c>
      <c r="C82" s="555"/>
      <c r="D82" s="555"/>
      <c r="E82" s="555"/>
      <c r="F82" s="555"/>
      <c r="G82" s="555"/>
      <c r="H82" s="556"/>
      <c r="I82" s="556"/>
      <c r="J82" s="556"/>
      <c r="K82" s="556"/>
      <c r="L82" s="557"/>
      <c r="M82" s="558"/>
      <c r="N82" s="1156"/>
      <c r="O82" s="1156"/>
      <c r="P82" s="559"/>
      <c r="Q82" s="560"/>
    </row>
    <row r="83" spans="1:17" s="472" customFormat="1" ht="15.75" hidden="1" thickBot="1">
      <c r="A83" s="554"/>
      <c r="B83" s="544"/>
      <c r="C83" s="561"/>
      <c r="D83" s="537"/>
      <c r="E83" s="537"/>
      <c r="F83" s="537"/>
      <c r="G83" s="537"/>
      <c r="H83" s="537"/>
      <c r="I83" s="537"/>
      <c r="J83" s="537"/>
      <c r="K83" s="537"/>
      <c r="L83" s="537"/>
      <c r="M83" s="538"/>
      <c r="N83" s="1155"/>
      <c r="O83" s="1155"/>
      <c r="P83" s="559"/>
      <c r="Q83" s="560"/>
    </row>
    <row r="84" spans="1:17" s="472" customFormat="1" ht="15.75" hidden="1" thickTop="1">
      <c r="A84" s="554"/>
      <c r="B84" s="539">
        <f>B13</f>
        <v>111</v>
      </c>
      <c r="C84" s="555"/>
      <c r="D84" s="555"/>
      <c r="E84" s="555"/>
      <c r="F84" s="555"/>
      <c r="G84" s="555"/>
      <c r="H84" s="556"/>
      <c r="I84" s="556"/>
      <c r="J84" s="556"/>
      <c r="K84" s="556"/>
      <c r="L84" s="557"/>
      <c r="M84" s="558"/>
      <c r="N84" s="1156"/>
      <c r="O84" s="1156"/>
      <c r="P84" s="471"/>
      <c r="Q84" s="562"/>
    </row>
    <row r="85" spans="1:17" s="472" customFormat="1" ht="15.75" hidden="1" thickBot="1">
      <c r="A85" s="554"/>
      <c r="B85" s="544"/>
      <c r="C85" s="561"/>
      <c r="D85" s="561"/>
      <c r="E85" s="561"/>
      <c r="F85" s="561"/>
      <c r="G85" s="561"/>
      <c r="H85" s="563"/>
      <c r="I85" s="563"/>
      <c r="J85" s="563"/>
      <c r="K85" s="563"/>
      <c r="L85" s="563"/>
      <c r="M85" s="564"/>
      <c r="N85" s="1156"/>
      <c r="O85" s="1156"/>
      <c r="P85" s="559"/>
      <c r="Q85" s="560"/>
    </row>
    <row r="86" spans="1:17" s="472" customFormat="1" ht="15.75" hidden="1" thickTop="1">
      <c r="A86" s="554"/>
      <c r="B86" s="547">
        <f>B14</f>
        <v>111</v>
      </c>
      <c r="C86" s="524"/>
      <c r="D86" s="524"/>
      <c r="E86" s="524"/>
      <c r="F86" s="524"/>
      <c r="G86" s="524"/>
      <c r="H86" s="565"/>
      <c r="I86" s="565"/>
      <c r="J86" s="565"/>
      <c r="K86" s="565"/>
      <c r="L86" s="566"/>
      <c r="M86" s="567"/>
      <c r="N86" s="1156"/>
      <c r="O86" s="1156"/>
      <c r="P86" s="568"/>
      <c r="Q86" s="560"/>
    </row>
    <row r="87" spans="1:17" s="472" customFormat="1" ht="15.75" hidden="1" thickBot="1">
      <c r="A87" s="569"/>
      <c r="B87" s="570"/>
      <c r="C87" s="571"/>
      <c r="D87" s="571"/>
      <c r="E87" s="571"/>
      <c r="F87" s="571"/>
      <c r="G87" s="571"/>
      <c r="H87" s="572"/>
      <c r="I87" s="572"/>
      <c r="J87" s="572"/>
      <c r="K87" s="572"/>
      <c r="L87" s="572"/>
      <c r="M87" s="573"/>
      <c r="N87" s="1156"/>
      <c r="O87" s="1156"/>
      <c r="P87" s="559"/>
      <c r="Q87" s="560"/>
    </row>
    <row r="88" spans="1:17" ht="15" thickTop="1">
      <c r="A88" s="528" t="s">
        <v>2555</v>
      </c>
      <c r="B88" s="529" t="s">
        <v>2592</v>
      </c>
      <c r="C88" s="574" t="s">
        <v>2593</v>
      </c>
      <c r="D88" s="574" t="s">
        <v>2594</v>
      </c>
      <c r="E88" s="574" t="s">
        <v>2595</v>
      </c>
      <c r="F88" s="574" t="s">
        <v>2596</v>
      </c>
      <c r="G88" s="574" t="s">
        <v>2597</v>
      </c>
      <c r="H88" s="530"/>
      <c r="I88" s="530"/>
      <c r="J88" s="530"/>
      <c r="K88" s="575"/>
      <c r="L88" s="576"/>
      <c r="M88" s="577"/>
      <c r="N88" s="1154"/>
      <c r="O88" s="1154"/>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5"/>
      <c r="O89" s="1155"/>
      <c r="P89" s="45"/>
      <c r="Q89" s="505"/>
    </row>
    <row r="90" spans="1:17" ht="15.75" thickTop="1">
      <c r="A90" s="535"/>
      <c r="B90" s="539" t="s">
        <v>2779</v>
      </c>
      <c r="C90" s="579" t="s">
        <v>2593</v>
      </c>
      <c r="D90" s="579" t="s">
        <v>2594</v>
      </c>
      <c r="E90" s="579" t="s">
        <v>2595</v>
      </c>
      <c r="F90" s="579" t="s">
        <v>2596</v>
      </c>
      <c r="G90" s="579" t="s">
        <v>2597</v>
      </c>
      <c r="H90" s="540"/>
      <c r="I90" s="540"/>
      <c r="J90" s="540"/>
      <c r="K90" s="541"/>
      <c r="L90" s="542"/>
      <c r="M90" s="543"/>
      <c r="N90" s="1154"/>
      <c r="O90" s="1154"/>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5"/>
      <c r="O91" s="1155"/>
      <c r="P91" s="45"/>
      <c r="Q91" s="505"/>
    </row>
    <row r="92" spans="1:17" ht="15.75" thickTop="1">
      <c r="A92" s="535"/>
      <c r="B92" s="539" t="s">
        <v>2692</v>
      </c>
      <c r="C92" s="579" t="s">
        <v>2593</v>
      </c>
      <c r="D92" s="579" t="s">
        <v>2594</v>
      </c>
      <c r="E92" s="579" t="s">
        <v>2595</v>
      </c>
      <c r="F92" s="579" t="s">
        <v>2596</v>
      </c>
      <c r="G92" s="579" t="s">
        <v>2597</v>
      </c>
      <c r="H92" s="540"/>
      <c r="I92" s="540"/>
      <c r="J92" s="540"/>
      <c r="K92" s="541"/>
      <c r="L92" s="542"/>
      <c r="M92" s="543"/>
      <c r="N92" s="1154"/>
      <c r="O92" s="1154"/>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5"/>
      <c r="O93" s="1155"/>
      <c r="P93" s="45"/>
      <c r="Q93" s="505"/>
    </row>
    <row r="94" spans="1:17" ht="15.75" thickTop="1">
      <c r="A94" s="535"/>
      <c r="B94" s="539" t="s">
        <v>2598</v>
      </c>
      <c r="C94" s="579" t="s">
        <v>2593</v>
      </c>
      <c r="D94" s="579" t="s">
        <v>2594</v>
      </c>
      <c r="E94" s="579" t="s">
        <v>2595</v>
      </c>
      <c r="F94" s="579" t="s">
        <v>2596</v>
      </c>
      <c r="G94" s="579" t="s">
        <v>2597</v>
      </c>
      <c r="H94" s="540"/>
      <c r="I94" s="540"/>
      <c r="J94" s="540"/>
      <c r="K94" s="541"/>
      <c r="L94" s="542"/>
      <c r="M94" s="543"/>
      <c r="N94" s="1154"/>
      <c r="O94" s="1154"/>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5"/>
      <c r="O95" s="1155"/>
      <c r="P95" s="45"/>
      <c r="Q95" s="505"/>
    </row>
    <row r="96" spans="1:17" s="117" customFormat="1" ht="15.75" thickTop="1">
      <c r="A96" s="580"/>
      <c r="B96" s="539" t="s">
        <v>2780</v>
      </c>
      <c r="C96" s="579" t="s">
        <v>2593</v>
      </c>
      <c r="D96" s="579" t="s">
        <v>2594</v>
      </c>
      <c r="E96" s="579" t="s">
        <v>2595</v>
      </c>
      <c r="F96" s="579" t="s">
        <v>2596</v>
      </c>
      <c r="G96" s="579" t="s">
        <v>2597</v>
      </c>
      <c r="H96" s="579"/>
      <c r="I96" s="579"/>
      <c r="J96" s="579"/>
      <c r="K96" s="579"/>
      <c r="L96" s="698"/>
      <c r="M96" s="622"/>
      <c r="N96" s="1153"/>
      <c r="O96" s="1153"/>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5"/>
      <c r="O97" s="1155"/>
      <c r="P97" s="45"/>
      <c r="Q97" s="505"/>
    </row>
    <row r="98" spans="1:17" s="117" customFormat="1" ht="27.75" thickTop="1">
      <c r="A98" s="580"/>
      <c r="B98" s="539" t="s">
        <v>2781</v>
      </c>
      <c r="C98" s="574" t="s">
        <v>2593</v>
      </c>
      <c r="D98" s="574" t="s">
        <v>2594</v>
      </c>
      <c r="E98" s="574" t="s">
        <v>2595</v>
      </c>
      <c r="F98" s="574" t="s">
        <v>2596</v>
      </c>
      <c r="G98" s="574" t="s">
        <v>2597</v>
      </c>
      <c r="H98" s="579"/>
      <c r="I98" s="579"/>
      <c r="J98" s="579"/>
      <c r="K98" s="579"/>
      <c r="L98" s="579"/>
      <c r="M98" s="622"/>
      <c r="N98" s="1153"/>
      <c r="O98" s="1153"/>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5"/>
      <c r="O99" s="1155"/>
      <c r="P99" s="45"/>
      <c r="Q99" s="505"/>
    </row>
    <row r="100" spans="1:17" s="472" customFormat="1" ht="15.75" thickTop="1">
      <c r="A100" s="554"/>
      <c r="B100" s="539" t="s">
        <v>2650</v>
      </c>
      <c r="C100" s="574" t="s">
        <v>2593</v>
      </c>
      <c r="D100" s="574" t="s">
        <v>2594</v>
      </c>
      <c r="E100" s="574" t="s">
        <v>2595</v>
      </c>
      <c r="F100" s="574" t="s">
        <v>2596</v>
      </c>
      <c r="G100" s="574" t="s">
        <v>2597</v>
      </c>
      <c r="H100" s="601"/>
      <c r="I100" s="601"/>
      <c r="J100" s="601"/>
      <c r="K100" s="601"/>
      <c r="L100" s="602"/>
      <c r="M100" s="603"/>
      <c r="N100" s="1156"/>
      <c r="O100" s="1156"/>
      <c r="P100" s="559"/>
      <c r="Q100" s="560"/>
    </row>
    <row r="101" spans="1:17" s="472" customFormat="1" ht="15.75" thickBot="1">
      <c r="A101" s="554"/>
      <c r="B101" s="544"/>
      <c r="C101" s="545">
        <v>100</v>
      </c>
      <c r="D101" s="545">
        <f>C101-$K27</f>
        <v>98</v>
      </c>
      <c r="E101" s="545">
        <f>D101-$K27</f>
        <v>96</v>
      </c>
      <c r="F101" s="545">
        <f>E101-$K27</f>
        <v>94</v>
      </c>
      <c r="G101" s="545">
        <f>F101-$K27</f>
        <v>92</v>
      </c>
      <c r="H101" s="608"/>
      <c r="I101" s="608"/>
      <c r="J101" s="608"/>
      <c r="K101" s="608"/>
      <c r="L101" s="608"/>
      <c r="M101" s="609"/>
      <c r="N101" s="1156"/>
      <c r="O101" s="1156"/>
      <c r="P101" s="559"/>
      <c r="Q101" s="560"/>
    </row>
    <row r="102" spans="1:17" s="472" customFormat="1" ht="15.75" thickTop="1">
      <c r="A102" s="554"/>
      <c r="B102" s="547" t="s">
        <v>2651</v>
      </c>
      <c r="C102" s="660" t="s">
        <v>2670</v>
      </c>
      <c r="D102" s="660" t="s">
        <v>2671</v>
      </c>
      <c r="E102" s="660" t="s">
        <v>2672</v>
      </c>
      <c r="F102" s="660" t="s">
        <v>2673</v>
      </c>
      <c r="G102" s="660" t="s">
        <v>2674</v>
      </c>
      <c r="H102" s="601"/>
      <c r="I102" s="601"/>
      <c r="J102" s="601"/>
      <c r="K102" s="601"/>
      <c r="L102" s="601"/>
      <c r="M102" s="1387"/>
      <c r="N102" s="1156"/>
      <c r="O102" s="1156"/>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7"/>
      <c r="N103" s="1156"/>
      <c r="O103" s="1156"/>
      <c r="P103" s="559"/>
      <c r="Q103" s="560"/>
    </row>
    <row r="104" spans="1:17" ht="15.75" thickTop="1">
      <c r="A104" s="535"/>
      <c r="B104" s="539" t="str">
        <f>B31</f>
        <v>临街状况</v>
      </c>
      <c r="C104" s="540" t="s">
        <v>2782</v>
      </c>
      <c r="D104" s="540" t="s">
        <v>2783</v>
      </c>
      <c r="E104" s="540" t="s">
        <v>2784</v>
      </c>
      <c r="F104" s="540" t="s">
        <v>2785</v>
      </c>
      <c r="G104" s="540"/>
      <c r="H104" s="540"/>
      <c r="I104" s="540"/>
      <c r="J104" s="540"/>
      <c r="K104" s="541"/>
      <c r="L104" s="542"/>
      <c r="M104" s="543"/>
      <c r="N104" s="1154"/>
      <c r="O104" s="1154"/>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5"/>
      <c r="O105" s="1155"/>
      <c r="P105" s="45"/>
      <c r="Q105" s="505"/>
    </row>
    <row r="106" spans="1:17" ht="27.75" thickTop="1">
      <c r="A106" s="535"/>
      <c r="B106" s="539" t="s">
        <v>2686</v>
      </c>
      <c r="C106" s="2931" t="s">
        <v>3067</v>
      </c>
      <c r="D106" s="2931" t="s">
        <v>3068</v>
      </c>
      <c r="E106" s="2931" t="s">
        <v>3070</v>
      </c>
      <c r="F106" s="2931" t="s">
        <v>3072</v>
      </c>
      <c r="G106" s="2931" t="s">
        <v>3073</v>
      </c>
      <c r="H106" s="584"/>
      <c r="I106" s="584"/>
      <c r="J106" s="584"/>
      <c r="K106" s="585"/>
      <c r="L106" s="586"/>
      <c r="M106" s="587"/>
      <c r="N106" s="1154"/>
      <c r="O106" s="1154"/>
      <c r="P106" s="45"/>
      <c r="Q106" s="505"/>
    </row>
    <row r="107" spans="1:17" ht="15.75" thickBot="1">
      <c r="A107" s="535"/>
      <c r="B107" s="544"/>
      <c r="C107" s="545">
        <v>100</v>
      </c>
      <c r="D107" s="545">
        <f>C107-$K32</f>
        <v>99</v>
      </c>
      <c r="E107" s="545">
        <f t="shared" ref="E107:M107" si="23">D107-$K32</f>
        <v>98</v>
      </c>
      <c r="F107" s="545">
        <f t="shared" si="23"/>
        <v>97</v>
      </c>
      <c r="G107" s="545">
        <f t="shared" si="23"/>
        <v>96</v>
      </c>
      <c r="H107" s="545">
        <f t="shared" si="23"/>
        <v>95</v>
      </c>
      <c r="I107" s="545">
        <f t="shared" si="23"/>
        <v>94</v>
      </c>
      <c r="J107" s="545">
        <f t="shared" si="23"/>
        <v>93</v>
      </c>
      <c r="K107" s="545">
        <f t="shared" si="23"/>
        <v>92</v>
      </c>
      <c r="L107" s="545">
        <f t="shared" si="23"/>
        <v>91</v>
      </c>
      <c r="M107" s="545">
        <f t="shared" si="23"/>
        <v>90</v>
      </c>
      <c r="N107" s="1155"/>
      <c r="O107" s="1155"/>
      <c r="P107" s="45"/>
      <c r="Q107" s="505"/>
    </row>
    <row r="108" spans="1:17" ht="15.75" hidden="1" thickTop="1">
      <c r="A108" s="535"/>
      <c r="B108" s="539" t="s">
        <v>2745</v>
      </c>
      <c r="C108" s="584"/>
      <c r="D108" s="584"/>
      <c r="E108" s="584"/>
      <c r="F108" s="584"/>
      <c r="G108" s="584"/>
      <c r="H108" s="584"/>
      <c r="I108" s="584"/>
      <c r="J108" s="584"/>
      <c r="K108" s="585"/>
      <c r="L108" s="586"/>
      <c r="M108" s="587"/>
      <c r="N108" s="1154"/>
      <c r="O108" s="1154"/>
      <c r="P108" s="45"/>
      <c r="Q108" s="505"/>
    </row>
    <row r="109" spans="1:17" ht="15.75" hidden="1"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5"/>
      <c r="O109" s="1155"/>
      <c r="P109" s="45"/>
      <c r="Q109" s="505"/>
    </row>
    <row r="110" spans="1:17" ht="15.75" hidden="1" thickTop="1">
      <c r="A110" s="535"/>
      <c r="B110" s="547">
        <f>B35</f>
        <v>111</v>
      </c>
      <c r="C110" s="555"/>
      <c r="D110" s="555"/>
      <c r="E110" s="555"/>
      <c r="F110" s="555"/>
      <c r="G110" s="588"/>
      <c r="H110" s="588"/>
      <c r="I110" s="588"/>
      <c r="J110" s="588"/>
      <c r="K110" s="589"/>
      <c r="L110" s="590"/>
      <c r="M110" s="591"/>
      <c r="N110" s="1154"/>
      <c r="O110" s="1154"/>
      <c r="P110" s="45"/>
      <c r="Q110" s="505"/>
    </row>
    <row r="111" spans="1:17" ht="15.75" hidden="1" thickBot="1">
      <c r="A111" s="535"/>
      <c r="B111" s="570"/>
      <c r="C111" s="561"/>
      <c r="D111" s="561"/>
      <c r="E111" s="561"/>
      <c r="F111" s="561"/>
      <c r="G111" s="592"/>
      <c r="H111" s="592"/>
      <c r="I111" s="592"/>
      <c r="J111" s="592"/>
      <c r="K111" s="592"/>
      <c r="L111" s="592"/>
      <c r="M111" s="593"/>
      <c r="N111" s="1155"/>
      <c r="O111" s="1155"/>
      <c r="P111" s="45"/>
      <c r="Q111" s="505"/>
    </row>
    <row r="112" spans="1:17" ht="15" hidden="1" thickTop="1">
      <c r="A112" s="675"/>
      <c r="B112" s="539">
        <f>B36</f>
        <v>111</v>
      </c>
      <c r="C112" s="524"/>
      <c r="D112" s="524"/>
      <c r="E112" s="524"/>
      <c r="F112" s="524"/>
      <c r="G112" s="584"/>
      <c r="H112" s="584"/>
      <c r="I112" s="584"/>
      <c r="J112" s="584"/>
      <c r="K112" s="585"/>
      <c r="L112" s="586"/>
      <c r="M112" s="587"/>
      <c r="N112" s="1154"/>
      <c r="O112" s="1154"/>
      <c r="P112" s="45"/>
      <c r="Q112" s="505"/>
    </row>
    <row r="113" spans="1:17" ht="15.75" hidden="1" thickBot="1">
      <c r="A113" s="535"/>
      <c r="B113" s="544"/>
      <c r="C113" s="571"/>
      <c r="D113" s="571"/>
      <c r="E113" s="571"/>
      <c r="F113" s="571"/>
      <c r="G113" s="537"/>
      <c r="H113" s="537"/>
      <c r="I113" s="537"/>
      <c r="J113" s="537"/>
      <c r="K113" s="537"/>
      <c r="L113" s="537"/>
      <c r="M113" s="538"/>
      <c r="N113" s="1155"/>
      <c r="O113" s="1155"/>
      <c r="P113" s="45"/>
      <c r="Q113" s="505"/>
    </row>
    <row r="114" spans="1:17" s="472" customFormat="1" ht="15" hidden="1" thickTop="1">
      <c r="A114" s="594"/>
      <c r="B114" s="595">
        <f>B37</f>
        <v>111</v>
      </c>
      <c r="C114" s="596"/>
      <c r="D114" s="596"/>
      <c r="E114" s="596"/>
      <c r="F114" s="596"/>
      <c r="G114" s="596"/>
      <c r="H114" s="596"/>
      <c r="I114" s="596"/>
      <c r="J114" s="597"/>
      <c r="K114" s="597"/>
      <c r="L114" s="598"/>
      <c r="M114" s="599"/>
      <c r="N114" s="1156"/>
      <c r="O114" s="1156"/>
      <c r="P114" s="559"/>
      <c r="Q114" s="560"/>
    </row>
    <row r="115" spans="1:17" s="472" customFormat="1" ht="15.75" hidden="1" thickBot="1">
      <c r="A115" s="554"/>
      <c r="B115" s="547"/>
      <c r="C115" s="513"/>
      <c r="D115" s="677"/>
      <c r="E115" s="677"/>
      <c r="F115" s="677"/>
      <c r="G115" s="677"/>
      <c r="H115" s="677"/>
      <c r="I115" s="677"/>
      <c r="J115" s="677"/>
      <c r="K115" s="677"/>
      <c r="L115" s="677"/>
      <c r="M115" s="699"/>
      <c r="N115" s="1155"/>
      <c r="O115" s="1155"/>
      <c r="P115" s="559"/>
      <c r="Q115" s="560"/>
    </row>
    <row r="116" spans="1:17" ht="29.25" thickTop="1">
      <c r="A116" s="528" t="s">
        <v>2559</v>
      </c>
      <c r="B116" s="529" t="s">
        <v>2786</v>
      </c>
      <c r="C116" s="530" t="str">
        <f>C117&amp;"(含)"&amp;"-"&amp;D117</f>
        <v>0(含)-50000</v>
      </c>
      <c r="D116" s="530" t="str">
        <f t="shared" ref="D116:M116" si="25">D117&amp;"(含)"&amp;"-"&amp;E117</f>
        <v>50000(含)-100000</v>
      </c>
      <c r="E116" s="530" t="str">
        <f t="shared" si="25"/>
        <v>100000(含)-150000</v>
      </c>
      <c r="F116" s="530" t="str">
        <f t="shared" si="25"/>
        <v>150000(含)-200000</v>
      </c>
      <c r="G116" s="530" t="str">
        <f t="shared" si="25"/>
        <v>200000(含)-</v>
      </c>
      <c r="H116" s="530" t="str">
        <f t="shared" si="25"/>
        <v>(含)-</v>
      </c>
      <c r="I116" s="530" t="str">
        <f t="shared" si="25"/>
        <v>(含)-</v>
      </c>
      <c r="J116" s="530" t="str">
        <f t="shared" si="25"/>
        <v>(含)-</v>
      </c>
      <c r="K116" s="530" t="str">
        <f t="shared" si="25"/>
        <v>(含)-</v>
      </c>
      <c r="L116" s="530" t="str">
        <f t="shared" si="25"/>
        <v>(含)-</v>
      </c>
      <c r="M116" s="530" t="str">
        <f t="shared" si="25"/>
        <v>(含)-</v>
      </c>
      <c r="N116" s="1154"/>
      <c r="O116" s="1154"/>
      <c r="P116" s="45"/>
      <c r="Q116" s="505"/>
    </row>
    <row r="117" spans="1:17" ht="15">
      <c r="A117" s="535"/>
      <c r="B117" s="547"/>
      <c r="C117" s="596">
        <v>0</v>
      </c>
      <c r="D117" s="596">
        <v>50000</v>
      </c>
      <c r="E117" s="596">
        <v>100000</v>
      </c>
      <c r="F117" s="596">
        <v>150000</v>
      </c>
      <c r="G117" s="596">
        <v>200000</v>
      </c>
      <c r="H117" s="596"/>
      <c r="I117" s="596"/>
      <c r="J117" s="597"/>
      <c r="K117" s="597"/>
      <c r="L117" s="598"/>
      <c r="M117" s="599"/>
      <c r="N117" s="1154"/>
      <c r="O117" s="1154"/>
      <c r="P117" s="45"/>
      <c r="Q117" s="505"/>
    </row>
    <row r="118" spans="1:17" ht="15.75" thickBot="1">
      <c r="A118" s="535"/>
      <c r="B118" s="544"/>
      <c r="C118" s="571">
        <v>100</v>
      </c>
      <c r="D118" s="592">
        <v>101</v>
      </c>
      <c r="E118" s="592">
        <v>102</v>
      </c>
      <c r="F118" s="592">
        <v>103</v>
      </c>
      <c r="G118" s="592">
        <v>104</v>
      </c>
      <c r="H118" s="592"/>
      <c r="I118" s="592"/>
      <c r="J118" s="592"/>
      <c r="K118" s="592"/>
      <c r="L118" s="592"/>
      <c r="M118" s="593"/>
      <c r="N118" s="1155"/>
      <c r="O118" s="1155"/>
      <c r="P118" s="45"/>
      <c r="Q118" s="505"/>
    </row>
    <row r="119" spans="1:17" ht="15" thickTop="1">
      <c r="A119" s="600"/>
      <c r="B119" s="539" t="s">
        <v>2787</v>
      </c>
      <c r="C119" s="2932" t="s">
        <v>3074</v>
      </c>
      <c r="D119" s="2932" t="s">
        <v>3076</v>
      </c>
      <c r="E119" s="2932" t="s">
        <v>3077</v>
      </c>
      <c r="F119" s="2932" t="s">
        <v>3078</v>
      </c>
      <c r="G119" s="584"/>
      <c r="H119" s="584"/>
      <c r="I119" s="584"/>
      <c r="J119" s="584"/>
      <c r="K119" s="585"/>
      <c r="L119" s="586"/>
      <c r="M119" s="587"/>
      <c r="N119" s="1154"/>
      <c r="O119" s="1154"/>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5"/>
      <c r="O120" s="1155"/>
      <c r="P120" s="45"/>
      <c r="Q120" s="505"/>
    </row>
    <row r="121" spans="1:17" ht="15" thickTop="1">
      <c r="A121" s="600"/>
      <c r="B121" s="539" t="s">
        <v>2788</v>
      </c>
      <c r="C121" s="2931" t="s">
        <v>3079</v>
      </c>
      <c r="D121" s="2931" t="s">
        <v>3081</v>
      </c>
      <c r="E121" s="2931" t="s">
        <v>3083</v>
      </c>
      <c r="F121" s="2932" t="s">
        <v>3085</v>
      </c>
      <c r="G121" s="2932" t="s">
        <v>3087</v>
      </c>
      <c r="H121" s="584"/>
      <c r="I121" s="584"/>
      <c r="J121" s="584"/>
      <c r="K121" s="585"/>
      <c r="L121" s="586"/>
      <c r="M121" s="587"/>
      <c r="N121" s="1154"/>
      <c r="O121" s="1154"/>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5"/>
      <c r="O122" s="1155"/>
      <c r="P122" s="45"/>
      <c r="Q122" s="505"/>
    </row>
    <row r="123" spans="1:17" s="472" customFormat="1" ht="15" thickTop="1">
      <c r="A123" s="594"/>
      <c r="B123" s="539" t="s">
        <v>2789</v>
      </c>
      <c r="C123" s="2931" t="s">
        <v>3089</v>
      </c>
      <c r="D123" s="2931" t="s">
        <v>3090</v>
      </c>
      <c r="E123" s="2931" t="s">
        <v>3091</v>
      </c>
      <c r="F123" s="2932" t="s">
        <v>3092</v>
      </c>
      <c r="G123" s="2932" t="s">
        <v>3093</v>
      </c>
      <c r="H123" s="584"/>
      <c r="I123" s="584"/>
      <c r="J123" s="584"/>
      <c r="K123" s="585"/>
      <c r="L123" s="586"/>
      <c r="M123" s="587"/>
      <c r="N123" s="1156"/>
      <c r="O123" s="1156"/>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6"/>
      <c r="O124" s="1156"/>
      <c r="P124" s="559"/>
      <c r="Q124" s="560"/>
    </row>
    <row r="125" spans="1:17" ht="15" thickTop="1">
      <c r="A125" s="600"/>
      <c r="B125" s="539" t="s">
        <v>2790</v>
      </c>
      <c r="C125" s="2931" t="s">
        <v>3079</v>
      </c>
      <c r="D125" s="2931" t="s">
        <v>3081</v>
      </c>
      <c r="E125" s="2931" t="s">
        <v>3083</v>
      </c>
      <c r="F125" s="2932" t="s">
        <v>3085</v>
      </c>
      <c r="G125" s="2932" t="s">
        <v>3087</v>
      </c>
      <c r="H125" s="584"/>
      <c r="I125" s="584"/>
      <c r="J125" s="584"/>
      <c r="K125" s="585"/>
      <c r="L125" s="586"/>
      <c r="M125" s="587"/>
      <c r="N125" s="1154"/>
      <c r="O125" s="1154"/>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5"/>
      <c r="O126" s="1155"/>
      <c r="P126" s="45"/>
      <c r="Q126" s="505"/>
    </row>
    <row r="127" spans="1:17" ht="15" hidden="1" thickTop="1">
      <c r="A127" s="600"/>
      <c r="B127" s="539">
        <f>B43</f>
        <v>111</v>
      </c>
      <c r="C127" s="555"/>
      <c r="D127" s="555"/>
      <c r="E127" s="555"/>
      <c r="F127" s="555"/>
      <c r="G127" s="555"/>
      <c r="H127" s="584"/>
      <c r="I127" s="584"/>
      <c r="J127" s="584"/>
      <c r="K127" s="585"/>
      <c r="L127" s="586"/>
      <c r="M127" s="587"/>
      <c r="N127" s="1154"/>
      <c r="O127" s="1154"/>
      <c r="P127" s="45"/>
      <c r="Q127" s="505"/>
    </row>
    <row r="128" spans="1:17" ht="15.75" hidden="1" thickBot="1">
      <c r="A128" s="535"/>
      <c r="B128" s="544"/>
      <c r="C128" s="561"/>
      <c r="D128" s="561"/>
      <c r="E128" s="561"/>
      <c r="F128" s="561"/>
      <c r="G128" s="537"/>
      <c r="H128" s="537"/>
      <c r="I128" s="537"/>
      <c r="J128" s="537"/>
      <c r="K128" s="537"/>
      <c r="L128" s="537"/>
      <c r="M128" s="538"/>
      <c r="N128" s="1155"/>
      <c r="O128" s="1155"/>
      <c r="P128" s="45"/>
      <c r="Q128" s="505"/>
    </row>
    <row r="129" spans="1:17" ht="15" hidden="1" thickTop="1">
      <c r="A129" s="600"/>
      <c r="B129" s="539">
        <f>B44</f>
        <v>111</v>
      </c>
      <c r="C129" s="524"/>
      <c r="D129" s="524"/>
      <c r="E129" s="524"/>
      <c r="F129" s="524"/>
      <c r="G129" s="584"/>
      <c r="H129" s="584"/>
      <c r="I129" s="584"/>
      <c r="J129" s="584"/>
      <c r="K129" s="585"/>
      <c r="L129" s="586"/>
      <c r="M129" s="587"/>
      <c r="N129" s="1154"/>
      <c r="O129" s="1154"/>
      <c r="P129" s="45"/>
      <c r="Q129" s="505"/>
    </row>
    <row r="130" spans="1:17" ht="15.75" hidden="1" thickBot="1">
      <c r="A130" s="535"/>
      <c r="B130" s="544"/>
      <c r="C130" s="571"/>
      <c r="D130" s="571"/>
      <c r="E130" s="571"/>
      <c r="F130" s="571"/>
      <c r="G130" s="537"/>
      <c r="H130" s="537"/>
      <c r="I130" s="537"/>
      <c r="J130" s="537"/>
      <c r="K130" s="537"/>
      <c r="L130" s="537"/>
      <c r="M130" s="538"/>
      <c r="N130" s="1155"/>
      <c r="O130" s="1155"/>
      <c r="P130" s="45"/>
      <c r="Q130" s="505"/>
    </row>
    <row r="131" spans="1:17" s="472" customFormat="1" ht="15" hidden="1" thickTop="1">
      <c r="A131" s="594"/>
      <c r="B131" s="539">
        <f>B45</f>
        <v>111</v>
      </c>
      <c r="C131" s="524"/>
      <c r="D131" s="524"/>
      <c r="E131" s="524"/>
      <c r="F131" s="524"/>
      <c r="G131" s="556"/>
      <c r="H131" s="556"/>
      <c r="I131" s="556"/>
      <c r="J131" s="556"/>
      <c r="K131" s="556"/>
      <c r="L131" s="557"/>
      <c r="M131" s="558"/>
      <c r="N131" s="1156"/>
      <c r="O131" s="1156"/>
      <c r="P131" s="559"/>
      <c r="Q131" s="560"/>
    </row>
    <row r="132" spans="1:17" s="472" customFormat="1" ht="15.75" hidden="1" thickBot="1">
      <c r="A132" s="569"/>
      <c r="B132" s="700"/>
      <c r="C132" s="571"/>
      <c r="D132" s="571"/>
      <c r="E132" s="571"/>
      <c r="F132" s="571"/>
      <c r="G132" s="592"/>
      <c r="H132" s="592"/>
      <c r="I132" s="592"/>
      <c r="J132" s="592"/>
      <c r="K132" s="592"/>
      <c r="L132" s="592"/>
      <c r="M132" s="593"/>
      <c r="N132" s="1156"/>
      <c r="O132" s="1156"/>
      <c r="P132" s="559"/>
      <c r="Q132" s="560"/>
    </row>
    <row r="133" spans="1:17" ht="15" thickTop="1"/>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9" sqref="C9"/>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1" t="s">
        <v>2458</v>
      </c>
      <c r="B1" s="1584"/>
      <c r="C1" s="1585"/>
      <c r="D1" s="1583"/>
      <c r="E1" s="321"/>
      <c r="F1" s="321"/>
      <c r="G1" s="1584"/>
      <c r="H1" s="321"/>
      <c r="I1" s="321"/>
      <c r="J1" s="321"/>
      <c r="K1" s="321">
        <f>MATCH(C1,'数据-取费表'!A6:A16,0)+5</f>
        <v>8</v>
      </c>
    </row>
    <row r="2" spans="1:33" ht="18" customHeight="1">
      <c r="A2" s="246" t="s">
        <v>2326</v>
      </c>
      <c r="B2" s="249">
        <f ca="1">C32</f>
        <v>412</v>
      </c>
      <c r="C2" s="321" t="s">
        <v>2459</v>
      </c>
      <c r="D2" s="321"/>
      <c r="E2" s="321"/>
      <c r="F2" s="321"/>
      <c r="G2" s="321"/>
      <c r="H2" s="321"/>
      <c r="I2" s="321"/>
      <c r="J2" s="321"/>
      <c r="K2" s="321"/>
    </row>
    <row r="3" spans="1:33" ht="18" customHeight="1" thickBot="1">
      <c r="A3" s="248" t="s">
        <v>2328</v>
      </c>
      <c r="B3" s="249">
        <f ca="1">ROUND(B2*10000/IF(C1="",'数据-汇总表'!E3,INDIRECT("'数据-取费表'!K"&amp;$K$1)),0)</f>
        <v>531</v>
      </c>
      <c r="C3" s="321" t="s">
        <v>2460</v>
      </c>
      <c r="D3" s="321"/>
      <c r="E3" s="321"/>
      <c r="F3" s="321"/>
      <c r="G3" s="321"/>
      <c r="H3" s="321"/>
      <c r="I3" s="321"/>
      <c r="J3" s="321"/>
      <c r="K3" s="321"/>
    </row>
    <row r="4" spans="1:33" s="958" customFormat="1" ht="16.5" customHeight="1">
      <c r="A4" s="955" t="s">
        <v>2461</v>
      </c>
      <c r="B4" s="956"/>
      <c r="C4" s="998">
        <f ca="1">SUM(C8:K8)</f>
        <v>533</v>
      </c>
      <c r="D4" s="956"/>
      <c r="E4" s="956"/>
      <c r="F4" s="956"/>
      <c r="G4" s="956"/>
      <c r="H4" s="956"/>
      <c r="I4" s="956"/>
      <c r="J4" s="956"/>
      <c r="K4" s="957"/>
    </row>
    <row r="5" spans="1:33" s="962" customFormat="1" ht="15">
      <c r="A5" s="959" t="s">
        <v>2462</v>
      </c>
      <c r="B5" s="960" t="s">
        <v>2463</v>
      </c>
      <c r="C5" s="2551" t="s">
        <v>3045</v>
      </c>
      <c r="D5" s="2551" t="s">
        <v>1378</v>
      </c>
      <c r="E5" s="2551"/>
      <c r="F5" s="2551"/>
      <c r="G5" s="2551"/>
      <c r="H5" s="2551"/>
      <c r="I5" s="2551"/>
      <c r="J5" s="2551"/>
      <c r="K5" s="2551"/>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2464</v>
      </c>
      <c r="C6" s="964">
        <f>'比较法-住宅'!B3</f>
        <v>9424</v>
      </c>
      <c r="D6" s="964">
        <f ca="1">收益法!B3</f>
        <v>3432</v>
      </c>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2465</v>
      </c>
      <c r="B7" s="140" t="s">
        <v>2466</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2" t="s">
        <v>2467</v>
      </c>
      <c r="B8" s="178" t="s">
        <v>2468</v>
      </c>
      <c r="C8" s="999">
        <f>'比较法-住宅'!B2</f>
        <v>0</v>
      </c>
      <c r="D8" s="999">
        <f ca="1">收益法!B2</f>
        <v>533</v>
      </c>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2469</v>
      </c>
      <c r="B9" s="956"/>
      <c r="C9" s="956"/>
      <c r="D9" s="956"/>
      <c r="E9" s="956"/>
      <c r="F9" s="956"/>
      <c r="G9" s="956"/>
      <c r="H9" s="956"/>
      <c r="I9" s="956"/>
      <c r="J9" s="956"/>
      <c r="K9" s="957"/>
    </row>
    <row r="10" spans="1:33" s="972" customFormat="1" ht="13.5" customHeight="1">
      <c r="A10" s="959" t="s">
        <v>2470</v>
      </c>
      <c r="B10" s="8" t="s">
        <v>2471</v>
      </c>
      <c r="C10" s="968" t="s">
        <v>2472</v>
      </c>
      <c r="D10" s="969" t="s">
        <v>2473</v>
      </c>
      <c r="E10" s="969" t="s">
        <v>2474</v>
      </c>
      <c r="F10" s="969" t="s">
        <v>2475</v>
      </c>
      <c r="G10" s="8"/>
      <c r="H10" s="970"/>
      <c r="I10" s="970"/>
      <c r="J10" s="970"/>
      <c r="K10" s="971"/>
    </row>
    <row r="11" spans="1:33" s="977" customFormat="1" ht="13.5" customHeight="1">
      <c r="A11" s="973" t="s">
        <v>1335</v>
      </c>
      <c r="B11" s="974" t="s">
        <v>2476</v>
      </c>
      <c r="C11" s="324">
        <f ca="1">IF(C1="",'数据-取费表'!P16,INDIRECT("'数据-取费表'!p"&amp;$K$1)+INDIRECT("'数据-取费表'!ar"&amp;$K$1))</f>
        <v>0</v>
      </c>
      <c r="D11" s="975"/>
      <c r="E11" s="376"/>
      <c r="F11" s="976">
        <f ca="1">1-IF('数据-取费表'!B24=0,1,IF(C1="",'数据-取费表'!N16,INDIRECT("'数据-取费表'!n"&amp;$K$1)))</f>
        <v>0</v>
      </c>
      <c r="G11" s="8"/>
      <c r="H11" s="970"/>
      <c r="I11" s="970"/>
      <c r="J11" s="970"/>
      <c r="K11" s="971"/>
    </row>
    <row r="12" spans="1:33" s="977" customFormat="1" ht="13.5" customHeight="1">
      <c r="A12" s="973" t="s">
        <v>1336</v>
      </c>
      <c r="B12" s="974" t="s">
        <v>2477</v>
      </c>
      <c r="C12" s="24">
        <f ca="1">ROUND(C11*F12,0)</f>
        <v>0</v>
      </c>
      <c r="D12" s="975"/>
      <c r="E12" s="376"/>
      <c r="F12" s="978">
        <f>'数据-取费表'!B33</f>
        <v>0.03</v>
      </c>
      <c r="G12" s="8" t="s">
        <v>2478</v>
      </c>
      <c r="H12" s="970"/>
      <c r="I12" s="970"/>
      <c r="J12" s="970"/>
      <c r="K12" s="971"/>
    </row>
    <row r="13" spans="1:33" s="977" customFormat="1" ht="13.5" customHeight="1">
      <c r="A13" s="973" t="s">
        <v>1337</v>
      </c>
      <c r="B13" s="974" t="s">
        <v>2479</v>
      </c>
      <c r="C13" s="24">
        <f ca="1">ROUND(IF(C1="",SUMIF('数据-取费表'!C:C,"住宅",'数据-取费表'!P:P)*F13,IF(INDIRECT("'数据-取费表'!c"&amp;$K$1)="住宅",INDIRECT("'数据-取费表'!P"&amp;$K$1)*F13,0)),0)</f>
        <v>0</v>
      </c>
      <c r="D13" s="1035"/>
      <c r="E13" s="376"/>
      <c r="F13" s="978">
        <f>'数据-取费表'!B34</f>
        <v>0.05</v>
      </c>
      <c r="G13" s="8" t="s">
        <v>2480</v>
      </c>
      <c r="H13" s="970"/>
      <c r="I13" s="970"/>
      <c r="J13" s="970"/>
      <c r="K13" s="971"/>
    </row>
    <row r="14" spans="1:33" s="979" customFormat="1" ht="13.5" customHeight="1">
      <c r="A14" s="973" t="s">
        <v>1338</v>
      </c>
      <c r="B14" s="974" t="s">
        <v>2481</v>
      </c>
      <c r="C14" s="24">
        <f ca="1">ROUND(D14*E14*F11/10000,0)</f>
        <v>0</v>
      </c>
      <c r="D14" s="1035">
        <f ca="1">IF(C1="",'数据-汇总表'!E3,INDIRECT("'数据-取费表'!K"&amp;$K$1)+INDIRECT("'数据-取费表'!S"&amp;$K$1))</f>
        <v>7765.3499999999995</v>
      </c>
      <c r="E14" s="24">
        <f>'数据-取费表'!B35</f>
        <v>150</v>
      </c>
      <c r="F14" s="978"/>
      <c r="G14" s="8" t="s">
        <v>2482</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1339</v>
      </c>
      <c r="B15" s="974" t="s">
        <v>2483</v>
      </c>
      <c r="C15" s="985">
        <f ca="1">ROUND(C11*F15,0)</f>
        <v>0</v>
      </c>
      <c r="D15" s="980"/>
      <c r="E15" s="985"/>
      <c r="F15" s="986">
        <f>'数据-取费表'!B36</f>
        <v>1.4999999999999999E-2</v>
      </c>
      <c r="G15" s="140" t="s">
        <v>2484</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2485</v>
      </c>
      <c r="C16" s="985">
        <f ca="1">SUM(C11:C15)</f>
        <v>0</v>
      </c>
      <c r="D16" s="980"/>
      <c r="E16" s="985"/>
      <c r="F16" s="986"/>
      <c r="G16" s="140"/>
      <c r="H16" s="1581"/>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2486</v>
      </c>
      <c r="C17" s="24">
        <f ca="1">ROUND(D17*E17/10000,0)</f>
        <v>0</v>
      </c>
      <c r="D17" s="1035">
        <f ca="1">D14</f>
        <v>7765.3499999999995</v>
      </c>
      <c r="E17" s="24">
        <f>'数据-取费表'!B32</f>
        <v>0</v>
      </c>
      <c r="F17" s="980"/>
      <c r="G17" s="140" t="s">
        <v>2487</v>
      </c>
      <c r="H17" s="1581"/>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1340</v>
      </c>
      <c r="B18" s="974" t="s">
        <v>2488</v>
      </c>
      <c r="C18" s="24">
        <f ca="1">C19+C20-IF(C1="",'数据-取费表'!B29,IF(G18="已全部缴纳",C19+C20,H18))</f>
        <v>70</v>
      </c>
      <c r="D18" s="1035"/>
      <c r="E18" s="24"/>
      <c r="F18" s="978"/>
      <c r="G18" s="2553"/>
      <c r="H18" s="1580"/>
      <c r="I18" s="2554" t="s">
        <v>2489</v>
      </c>
      <c r="J18" s="981"/>
      <c r="K18" s="982"/>
    </row>
    <row r="19" spans="1:33" s="977" customFormat="1" ht="13.5" customHeight="1">
      <c r="A19" s="973" t="s">
        <v>805</v>
      </c>
      <c r="B19" s="974" t="s">
        <v>2490</v>
      </c>
      <c r="C19" s="24">
        <f ca="1">ROUND(D19*E19/10000,0)</f>
        <v>0</v>
      </c>
      <c r="D19" s="1035">
        <f ca="1">IF(C1="",'数据-汇总表'!E5,IF(INDIRECT("'数据-取费表'!c"&amp;$K$1)="住宅",INDIRECT("'数据-取费表'!k"&amp;$K$1),0))</f>
        <v>0</v>
      </c>
      <c r="E19" s="24">
        <f>'数据-取费表'!B27</f>
        <v>90</v>
      </c>
      <c r="F19" s="978"/>
      <c r="G19" s="15"/>
      <c r="H19" s="1582"/>
      <c r="I19" s="983"/>
      <c r="J19" s="983"/>
      <c r="K19" s="984"/>
    </row>
    <row r="20" spans="1:33" s="977" customFormat="1" ht="13.5" customHeight="1">
      <c r="A20" s="973" t="s">
        <v>806</v>
      </c>
      <c r="B20" s="974" t="s">
        <v>2491</v>
      </c>
      <c r="C20" s="24">
        <f ca="1">ROUND(D20*E20/10000,0)</f>
        <v>70</v>
      </c>
      <c r="D20" s="1035">
        <f ca="1">IF(C1="",'数据-汇总表'!E6,IF(INDIRECT("'数据-取费表'!c"&amp;$K$1)="住宅",INDIRECT("'数据-取费表'!s"&amp;$K$1),INDIRECT("'数据-取费表'!k"&amp;$K$1)+INDIRECT("'数据-取费表'!s"&amp;$K$1)))</f>
        <v>7765.3499999999995</v>
      </c>
      <c r="E20" s="24">
        <f>'数据-取费表'!B28</f>
        <v>90</v>
      </c>
      <c r="F20" s="978"/>
      <c r="G20" s="15"/>
      <c r="H20" s="983"/>
      <c r="I20" s="983"/>
      <c r="J20" s="983"/>
      <c r="K20" s="984"/>
    </row>
    <row r="21" spans="1:33" s="977" customFormat="1" ht="13.5" customHeight="1">
      <c r="A21" s="963" t="s">
        <v>802</v>
      </c>
      <c r="B21" s="987" t="s">
        <v>2492</v>
      </c>
      <c r="C21" s="988">
        <f ca="1">C16+C17+C18</f>
        <v>70</v>
      </c>
      <c r="D21" s="989"/>
      <c r="E21" s="326"/>
      <c r="F21" s="326"/>
      <c r="G21" s="140" t="s">
        <v>2493</v>
      </c>
      <c r="H21" s="981"/>
      <c r="I21" s="981"/>
      <c r="J21" s="981"/>
      <c r="K21" s="982"/>
    </row>
    <row r="22" spans="1:33" s="977" customFormat="1" ht="13.5" customHeight="1">
      <c r="A22" s="963" t="s">
        <v>2465</v>
      </c>
      <c r="B22" s="987" t="s">
        <v>2494</v>
      </c>
      <c r="C22" s="988">
        <f ca="1">ROUND(C21*F22,0)</f>
        <v>1</v>
      </c>
      <c r="D22" s="326"/>
      <c r="E22" s="326"/>
      <c r="F22" s="990">
        <f>'数据-取费表'!B37</f>
        <v>0.02</v>
      </c>
      <c r="G22" s="8" t="s">
        <v>2495</v>
      </c>
      <c r="H22" s="970"/>
      <c r="I22" s="970"/>
      <c r="J22" s="970"/>
      <c r="K22" s="971"/>
    </row>
    <row r="23" spans="1:33" s="977" customFormat="1" ht="13.5" customHeight="1">
      <c r="A23" s="963" t="s">
        <v>2467</v>
      </c>
      <c r="B23" s="987" t="s">
        <v>2496</v>
      </c>
      <c r="C23" s="988">
        <f ca="1">ROUND(C4*F23*F11,0)</f>
        <v>0</v>
      </c>
      <c r="D23" s="326"/>
      <c r="E23" s="326"/>
      <c r="F23" s="990">
        <f>'数据-取费表'!B38</f>
        <v>0.02</v>
      </c>
      <c r="G23" s="8" t="s">
        <v>2497</v>
      </c>
      <c r="H23" s="970"/>
      <c r="I23" s="970"/>
      <c r="J23" s="970"/>
      <c r="K23" s="971"/>
    </row>
    <row r="24" spans="1:33" s="977" customFormat="1" ht="13.5" customHeight="1">
      <c r="A24" s="963" t="s">
        <v>2498</v>
      </c>
      <c r="B24" s="987" t="s">
        <v>2499</v>
      </c>
      <c r="C24" s="325">
        <f>ROUND(F24/(1+'数据-取费表'!C42),4)</f>
        <v>2.8899999999999999E-2</v>
      </c>
      <c r="D24" s="326" t="s">
        <v>15</v>
      </c>
      <c r="E24" s="326"/>
      <c r="F24" s="990">
        <f>'数据-取费表'!B48+'数据-取费表'!B49</f>
        <v>3.0499999999999999E-2</v>
      </c>
      <c r="G24" s="8" t="s">
        <v>2500</v>
      </c>
      <c r="H24" s="992"/>
      <c r="I24" s="992"/>
      <c r="J24" s="992"/>
      <c r="K24" s="993"/>
    </row>
    <row r="25" spans="1:33" s="977" customFormat="1" ht="13.5" customHeight="1">
      <c r="A25" s="963" t="s">
        <v>2501</v>
      </c>
      <c r="B25" s="989" t="s">
        <v>2502</v>
      </c>
      <c r="C25" s="1358">
        <f ca="1">C27</f>
        <v>0</v>
      </c>
      <c r="D25" s="325">
        <f ca="1">C26</f>
        <v>0</v>
      </c>
      <c r="E25" s="327" t="s">
        <v>15</v>
      </c>
      <c r="F25" s="328">
        <f ca="1">'数据-取费表'!B40</f>
        <v>4.3499999999999997E-2</v>
      </c>
      <c r="G25" s="140" t="str">
        <f>IF('数据-取费表'!B22&lt;=1,"单利计息。","复利计息。")&amp;"后续开发成本、管理费用及销售费用产生的利息。"</f>
        <v>单利计息。后续开发成本、管理费用及销售费用产生的利息。</v>
      </c>
      <c r="H25" s="992"/>
      <c r="I25" s="992"/>
      <c r="J25" s="992"/>
      <c r="K25" s="993"/>
    </row>
    <row r="26" spans="1:33" s="995" customFormat="1" ht="13.5" customHeight="1">
      <c r="A26" s="973" t="s">
        <v>803</v>
      </c>
      <c r="B26" s="994" t="s">
        <v>2503</v>
      </c>
      <c r="C26" s="1359">
        <f ca="1">ROUND(IF('数据-取费表'!B22&lt;=1,(1+C24)*F25*'数据-取费表'!B24,(1+C24)*(POWER((1+F25),'数据-取费表'!B24)-1)),4)</f>
        <v>0</v>
      </c>
      <c r="D26" s="329"/>
      <c r="E26" s="330"/>
      <c r="F26" s="331"/>
      <c r="G26" s="2555" t="str">
        <f>IF('数据-取费表'!B22&lt;=1,"（(1)+取得税费率/(1+5%)）×年利率×建设期","（(1)+取得税费率）/(1+5%)×((1+年利率)^建设期-1)")</f>
        <v>（(1)+取得税费率/(1+5%)）×年利率×建设期</v>
      </c>
      <c r="H26" s="981"/>
      <c r="I26" s="981"/>
      <c r="J26" s="981"/>
      <c r="K26" s="982"/>
    </row>
    <row r="27" spans="1:33" s="995" customFormat="1" ht="13.5" customHeight="1">
      <c r="A27" s="973" t="s">
        <v>804</v>
      </c>
      <c r="B27" s="994" t="s">
        <v>2504</v>
      </c>
      <c r="C27" s="1360">
        <f ca="1">ROUND(IF('数据-取费表'!B22&lt;=1,(C21+C22+C23)*F25*'数据-取费表'!B24/2,(C21+C22+C23)*(POWER((1+F25),'数据-取费表'!B24/2)-1)),0)</f>
        <v>0</v>
      </c>
      <c r="D27" s="329"/>
      <c r="E27" s="330"/>
      <c r="F27" s="331"/>
      <c r="G27" s="2555" t="str">
        <f>IF('数据-取费表'!B22&lt;=1,"（1）-（3）项×年利率×建设期÷2","（1）-（3）项×((1+年利率)^(建设期÷2)-1)")</f>
        <v>（1）-（3）项×年利率×建设期÷2</v>
      </c>
      <c r="H27" s="981"/>
      <c r="I27" s="981"/>
      <c r="J27" s="981"/>
      <c r="K27" s="982"/>
    </row>
    <row r="28" spans="1:33" s="334" customFormat="1" ht="13.5" customHeight="1">
      <c r="A28" s="963" t="s">
        <v>2505</v>
      </c>
      <c r="B28" s="2556" t="s">
        <v>2506</v>
      </c>
      <c r="C28" s="332">
        <f ca="1">C30</f>
        <v>7</v>
      </c>
      <c r="D28" s="325">
        <f ca="1">C29</f>
        <v>0</v>
      </c>
      <c r="E28" s="327" t="s">
        <v>15</v>
      </c>
      <c r="F28" s="333">
        <f ca="1">IF(C1="",'数据-取费表'!Q16,INDIRECT("'数据-取费表'!q"&amp;$K$1))</f>
        <v>0.1</v>
      </c>
      <c r="G28" s="991"/>
      <c r="H28" s="992"/>
      <c r="I28" s="992"/>
      <c r="J28" s="992"/>
      <c r="K28" s="993"/>
    </row>
    <row r="29" spans="1:33" s="336" customFormat="1" ht="13.5" customHeight="1">
      <c r="A29" s="973" t="s">
        <v>803</v>
      </c>
      <c r="B29" s="996" t="s">
        <v>2507</v>
      </c>
      <c r="C29" s="329">
        <f ca="1">ROUND((1+C24)*F28*'数据-取费表'!B24/'数据-取费表'!B20,4)</f>
        <v>0</v>
      </c>
      <c r="D29" s="329"/>
      <c r="E29" s="330"/>
      <c r="F29" s="335"/>
      <c r="G29" s="140" t="s">
        <v>2508</v>
      </c>
      <c r="H29" s="981"/>
      <c r="I29" s="981"/>
      <c r="J29" s="981"/>
      <c r="K29" s="982"/>
    </row>
    <row r="30" spans="1:33" s="336" customFormat="1" ht="13.5" customHeight="1">
      <c r="A30" s="973" t="s">
        <v>804</v>
      </c>
      <c r="B30" s="996" t="s">
        <v>2509</v>
      </c>
      <c r="C30" s="337">
        <f ca="1">ROUND((C21+C22+C23)*F28,0)</f>
        <v>7</v>
      </c>
      <c r="D30" s="329"/>
      <c r="E30" s="330"/>
      <c r="F30" s="335"/>
      <c r="G30" s="140"/>
      <c r="H30" s="981"/>
      <c r="I30" s="981"/>
      <c r="J30" s="981"/>
      <c r="K30" s="982"/>
    </row>
    <row r="31" spans="1:33" s="977" customFormat="1" ht="13.5" customHeight="1" thickBot="1">
      <c r="A31" s="2557" t="s">
        <v>2510</v>
      </c>
      <c r="B31" s="1007" t="s">
        <v>2511</v>
      </c>
      <c r="C31" s="1008">
        <f ca="1">ROUND(C4*F31/(1+'数据-取费表'!C42),0)</f>
        <v>31</v>
      </c>
      <c r="D31" s="1009"/>
      <c r="E31" s="1010"/>
      <c r="F31" s="1011">
        <f>'数据-取费表'!B41</f>
        <v>6.1600000000000002E-2</v>
      </c>
      <c r="G31" s="1012" t="s">
        <v>2512</v>
      </c>
      <c r="H31" s="1013"/>
      <c r="I31" s="1013"/>
      <c r="J31" s="1013"/>
      <c r="K31" s="1014"/>
    </row>
    <row r="32" spans="1:33" s="972" customFormat="1" ht="13.5" customHeight="1" thickBot="1">
      <c r="A32" s="1002" t="s">
        <v>2513</v>
      </c>
      <c r="B32" s="1003"/>
      <c r="C32" s="1004">
        <f ca="1">ROUND((C4-C21-C22-C23-C25-C28-C31)/(1+C24+D25+D28),0)</f>
        <v>412</v>
      </c>
      <c r="D32" s="1003"/>
      <c r="E32" s="1003"/>
      <c r="F32" s="1003"/>
      <c r="G32" s="1005" t="s">
        <v>2514</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5"/>
  <sheetViews>
    <sheetView zoomScale="85" zoomScaleNormal="85" zoomScaleSheetLayoutView="90" workbookViewId="0">
      <selection activeCell="D48" sqref="D48"/>
    </sheetView>
  </sheetViews>
  <sheetFormatPr defaultRowHeight="12.75"/>
  <cols>
    <col min="1" max="1" width="9" style="303" customWidth="1"/>
    <col min="2" max="2" width="20.625" style="707" customWidth="1"/>
    <col min="3" max="3" width="11.875" style="707"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7" customWidth="1"/>
    <col min="12" max="12" width="16.375" style="303" customWidth="1"/>
    <col min="13" max="13" width="13" style="303"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3"/>
  </cols>
  <sheetData>
    <row r="1" spans="1:37" s="338" customFormat="1" ht="21">
      <c r="A1" s="1835" t="s">
        <v>1590</v>
      </c>
      <c r="B1" s="781"/>
      <c r="C1" s="1839" t="s">
        <v>3182</v>
      </c>
      <c r="D1" s="1823" t="s">
        <v>70</v>
      </c>
      <c r="E1" s="1824" t="s">
        <v>1388</v>
      </c>
      <c r="F1" s="1285">
        <f ca="1">J53</f>
        <v>34.44</v>
      </c>
      <c r="G1" s="1838">
        <f>MATCH(C1,'数据-取费表'!A6:A16,0)+5</f>
        <v>6</v>
      </c>
      <c r="H1" s="751"/>
      <c r="I1" s="340"/>
      <c r="J1" s="340"/>
      <c r="K1" s="752"/>
      <c r="L1" s="340"/>
      <c r="M1" s="340"/>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1516</v>
      </c>
      <c r="B2" s="1846">
        <f ca="1">C40+J29+L46</f>
        <v>533</v>
      </c>
      <c r="C2" s="1847" t="s">
        <v>1517</v>
      </c>
      <c r="D2" s="1847"/>
      <c r="E2" s="1848"/>
      <c r="F2" s="1849"/>
      <c r="G2" s="1850"/>
      <c r="H2" s="1842"/>
      <c r="I2" s="1842"/>
      <c r="J2" s="1842"/>
      <c r="K2" s="1843"/>
      <c r="L2" s="1842"/>
      <c r="M2" s="1842"/>
    </row>
    <row r="3" spans="1:37" ht="18" customHeight="1" thickBot="1">
      <c r="A3" s="1851" t="s">
        <v>1518</v>
      </c>
      <c r="B3" s="1852">
        <f ca="1">IF(ISERROR(B2*10000/F43),0,ROUND(B2*10000/F43,0))</f>
        <v>3432</v>
      </c>
      <c r="C3" s="1847" t="s">
        <v>1519</v>
      </c>
      <c r="D3" s="1847"/>
      <c r="E3" s="1848"/>
      <c r="F3" s="1849"/>
      <c r="G3" s="1850"/>
      <c r="H3" s="743" t="s">
        <v>1589</v>
      </c>
      <c r="I3" s="1842"/>
      <c r="J3" s="1842"/>
      <c r="K3" s="1843"/>
      <c r="L3" s="1842"/>
      <c r="M3" s="1842"/>
    </row>
    <row r="4" spans="1:37" ht="18" customHeight="1">
      <c r="A4" s="2974" t="s">
        <v>1397</v>
      </c>
      <c r="B4" s="2975" t="s">
        <v>1398</v>
      </c>
      <c r="C4" s="2975" t="s">
        <v>1399</v>
      </c>
      <c r="D4" s="2975" t="s">
        <v>1400</v>
      </c>
      <c r="E4" s="2976" t="s">
        <v>1401</v>
      </c>
      <c r="F4" s="2977"/>
      <c r="G4" s="1853"/>
      <c r="H4" s="2974" t="s">
        <v>1397</v>
      </c>
      <c r="I4" s="2975" t="s">
        <v>1398</v>
      </c>
      <c r="J4" s="2975" t="s">
        <v>1399</v>
      </c>
      <c r="K4" s="2975" t="s">
        <v>1400</v>
      </c>
      <c r="L4" s="2976" t="s">
        <v>1401</v>
      </c>
      <c r="M4" s="2977"/>
    </row>
    <row r="5" spans="1:37" ht="18" customHeight="1">
      <c r="A5" s="2978">
        <v>1</v>
      </c>
      <c r="B5" s="346" t="s">
        <v>1402</v>
      </c>
      <c r="C5" s="31">
        <f ca="1">C6+C10+C12</f>
        <v>31</v>
      </c>
      <c r="D5" s="2783" t="s">
        <v>1403</v>
      </c>
      <c r="E5" s="2979"/>
      <c r="F5" s="1349"/>
      <c r="G5" s="1853"/>
      <c r="H5" s="2978">
        <v>1</v>
      </c>
      <c r="I5" s="346" t="s">
        <v>1402</v>
      </c>
      <c r="J5" s="31">
        <f ca="1">J6+J10+J12</f>
        <v>0</v>
      </c>
      <c r="K5" s="2783" t="s">
        <v>1403</v>
      </c>
      <c r="L5" s="2979"/>
      <c r="M5" s="1349"/>
    </row>
    <row r="6" spans="1:37" ht="18" customHeight="1">
      <c r="A6" s="2980" t="s">
        <v>1035</v>
      </c>
      <c r="B6" s="3313" t="s">
        <v>1404</v>
      </c>
      <c r="C6" s="2981">
        <f ca="1">ROUND(F6*F8*F7*(1-F9)/10000,0)</f>
        <v>31</v>
      </c>
      <c r="D6" s="2982" t="s">
        <v>3029</v>
      </c>
      <c r="E6" s="2963" t="s">
        <v>1406</v>
      </c>
      <c r="F6" s="2983">
        <f ca="1">INDIRECT("'数据-取费表'!u"&amp;$G$1)</f>
        <v>0.6</v>
      </c>
      <c r="G6" s="1853"/>
      <c r="H6" s="2980" t="s">
        <v>1035</v>
      </c>
      <c r="I6" s="3313" t="s">
        <v>1404</v>
      </c>
      <c r="J6" s="3018">
        <f ca="1">ROUND(M6*M8*M7*(1-M9)/10000,0)</f>
        <v>0</v>
      </c>
      <c r="K6" s="2982" t="s">
        <v>3028</v>
      </c>
      <c r="L6" s="2963" t="s">
        <v>1406</v>
      </c>
      <c r="M6" s="2983">
        <f ca="1">INDIRECT("'数据-取费表'!z"&amp;$G$1)</f>
        <v>0</v>
      </c>
    </row>
    <row r="7" spans="1:37" ht="18" customHeight="1">
      <c r="A7" s="2984"/>
      <c r="B7" s="3314"/>
      <c r="C7" s="2985"/>
      <c r="D7" s="2986"/>
      <c r="E7" s="2961" t="s">
        <v>1407</v>
      </c>
      <c r="F7" s="2983">
        <f ca="1">IF(INDIRECT("'数据-取费表'!ah"&amp;$G$1)="",INDIRECT("'数据-取费表'!k"&amp;$G$1),INDIRECT("'数据-取费表'!ah"&amp;$G$1))</f>
        <v>1553.07</v>
      </c>
      <c r="G7" s="1853"/>
      <c r="H7" s="2987"/>
      <c r="I7" s="3314"/>
      <c r="J7" s="2988"/>
      <c r="K7" s="2986"/>
      <c r="L7" s="2963" t="s">
        <v>1407</v>
      </c>
      <c r="M7" s="2983">
        <f ca="1">F7</f>
        <v>1553.07</v>
      </c>
    </row>
    <row r="8" spans="1:37" ht="18" customHeight="1">
      <c r="A8" s="2987"/>
      <c r="B8" s="3314"/>
      <c r="C8" s="2988"/>
      <c r="D8" s="2986"/>
      <c r="E8" s="2963" t="s">
        <v>1408</v>
      </c>
      <c r="F8" s="2983">
        <f ca="1">INDIRECT("'数据-取费表'!ai"&amp;$G$1)</f>
        <v>365</v>
      </c>
      <c r="G8" s="1853"/>
      <c r="H8" s="2987"/>
      <c r="I8" s="3314"/>
      <c r="J8" s="2988"/>
      <c r="K8" s="2986"/>
      <c r="L8" s="2963" t="s">
        <v>1408</v>
      </c>
      <c r="M8" s="2983">
        <f ca="1">INDIRECT("'数据-取费表'!ai"&amp;$G$1)</f>
        <v>365</v>
      </c>
    </row>
    <row r="9" spans="1:37" ht="18" customHeight="1">
      <c r="A9" s="2987"/>
      <c r="B9" s="3315"/>
      <c r="C9" s="2988"/>
      <c r="D9" s="2986"/>
      <c r="E9" s="2963" t="s">
        <v>1409</v>
      </c>
      <c r="F9" s="2989">
        <f ca="1">INDIRECT("'数据-取费表'!w"&amp;$G$1)</f>
        <v>0.1</v>
      </c>
      <c r="G9" s="1853"/>
      <c r="H9" s="2987"/>
      <c r="I9" s="3315"/>
      <c r="J9" s="2988"/>
      <c r="K9" s="2986"/>
      <c r="L9" s="371" t="s">
        <v>1409</v>
      </c>
      <c r="M9" s="2995">
        <f ca="1">INDIRECT("'数据-取费表'!ab"&amp;$G$1)</f>
        <v>0</v>
      </c>
    </row>
    <row r="10" spans="1:37" ht="18" customHeight="1">
      <c r="A10" s="2980" t="s">
        <v>1039</v>
      </c>
      <c r="B10" s="1826" t="s">
        <v>1410</v>
      </c>
      <c r="C10" s="2990">
        <f ca="1">ROUND(IF(F10="押一",F6*F8*F7/12*F11,IF(F10="押二",F6*F8*F7/12*2*F11,IF(F10="押三",F6*F8*F7/12*3*F11,C11*F11)))/10000,0)</f>
        <v>0</v>
      </c>
      <c r="D10" s="1826" t="s">
        <v>3030</v>
      </c>
      <c r="E10" s="371" t="s">
        <v>1412</v>
      </c>
      <c r="F10" s="2991" t="s">
        <v>3113</v>
      </c>
      <c r="G10" s="1853"/>
      <c r="H10" s="2980" t="s">
        <v>1039</v>
      </c>
      <c r="I10" s="1826" t="s">
        <v>1410</v>
      </c>
      <c r="J10" s="3018">
        <f ca="1">ROUND(IF(M10="押一",M6*M8*M7/12*M11,IF(M10="押二",M6*M8*M7/12*2*M11,IF(M10="押三",M6*M8*M7/12*3*M11,J11*M11)))/10000,0)</f>
        <v>0</v>
      </c>
      <c r="K10" s="1826" t="s">
        <v>3031</v>
      </c>
      <c r="L10" s="371" t="s">
        <v>1412</v>
      </c>
      <c r="M10" s="2991" t="s">
        <v>3113</v>
      </c>
    </row>
    <row r="11" spans="1:37" ht="18" customHeight="1">
      <c r="A11" s="2992"/>
      <c r="B11" s="1828" t="s">
        <v>1389</v>
      </c>
      <c r="C11" s="2993"/>
      <c r="D11" s="2994"/>
      <c r="E11" s="371" t="s">
        <v>1413</v>
      </c>
      <c r="F11" s="2995">
        <f ca="1">'数据-取费表'!B39</f>
        <v>1.4999999999999999E-2</v>
      </c>
      <c r="G11" s="1853"/>
      <c r="H11" s="3023"/>
      <c r="I11" s="1828" t="s">
        <v>1389</v>
      </c>
      <c r="J11" s="2993"/>
      <c r="K11" s="3024"/>
      <c r="L11" s="371" t="s">
        <v>1413</v>
      </c>
      <c r="M11" s="3025">
        <f ca="1">'数据-取费表'!B39</f>
        <v>1.4999999999999999E-2</v>
      </c>
    </row>
    <row r="12" spans="1:37" ht="18" customHeight="1" thickBot="1">
      <c r="A12" s="2996" t="s">
        <v>1075</v>
      </c>
      <c r="B12" s="1829" t="s">
        <v>1414</v>
      </c>
      <c r="C12" s="2997"/>
      <c r="D12" s="2998"/>
      <c r="E12" s="1344"/>
      <c r="F12" s="2999"/>
      <c r="G12" s="1853"/>
      <c r="H12" s="2996" t="s">
        <v>1075</v>
      </c>
      <c r="I12" s="1829" t="s">
        <v>1414</v>
      </c>
      <c r="J12" s="2997"/>
      <c r="K12" s="3026"/>
      <c r="L12" s="1344"/>
      <c r="M12" s="3027"/>
    </row>
    <row r="13" spans="1:37" ht="18" customHeight="1" thickTop="1">
      <c r="A13" s="3000">
        <v>2</v>
      </c>
      <c r="B13" s="1346" t="s">
        <v>1415</v>
      </c>
      <c r="C13" s="3001">
        <f ca="1">ROUND(C29*F13,0)</f>
        <v>333</v>
      </c>
      <c r="D13" s="379" t="s">
        <v>1416</v>
      </c>
      <c r="E13" s="379" t="s">
        <v>1417</v>
      </c>
      <c r="F13" s="3002">
        <f ca="1">INDIRECT("'数据-取费表'!y"&amp;$G$1)</f>
        <v>0.95</v>
      </c>
      <c r="G13" s="1853"/>
      <c r="H13" s="3000">
        <v>2</v>
      </c>
      <c r="I13" s="1346" t="s">
        <v>1415</v>
      </c>
      <c r="J13" s="3028">
        <f ca="1">ROUND(J14*J15,0)</f>
        <v>0</v>
      </c>
      <c r="K13" s="1347" t="s">
        <v>1416</v>
      </c>
      <c r="L13" s="3029"/>
      <c r="M13" s="3030"/>
    </row>
    <row r="14" spans="1:37" ht="18" customHeight="1">
      <c r="A14" s="198" t="s">
        <v>1034</v>
      </c>
      <c r="B14" s="2963" t="s">
        <v>1418</v>
      </c>
      <c r="C14" s="2485">
        <f ca="1">INDIRECT("'数据-取费表'!m"&amp;$G$1)+INDIRECT("'数据-取费表'!t"&amp;$G$1)</f>
        <v>248</v>
      </c>
      <c r="D14" s="2960" t="s">
        <v>1419</v>
      </c>
      <c r="E14" s="2959"/>
      <c r="F14" s="3003"/>
      <c r="G14" s="1853"/>
      <c r="H14" s="198" t="s">
        <v>1035</v>
      </c>
      <c r="I14" s="2963" t="s">
        <v>1420</v>
      </c>
      <c r="J14" s="11">
        <f ca="1">C29</f>
        <v>351</v>
      </c>
      <c r="K14" s="2960"/>
      <c r="L14" s="2424"/>
      <c r="M14" s="3031"/>
    </row>
    <row r="15" spans="1:37" s="1860" customFormat="1" ht="18" customHeight="1" thickBot="1">
      <c r="A15" s="198" t="s">
        <v>1036</v>
      </c>
      <c r="B15" s="2963" t="s">
        <v>1421</v>
      </c>
      <c r="C15" s="11">
        <f ca="1">ROUND(C14*F15,0)</f>
        <v>7</v>
      </c>
      <c r="D15" s="374" t="s">
        <v>1422</v>
      </c>
      <c r="E15" s="374" t="s">
        <v>1423</v>
      </c>
      <c r="F15" s="3004">
        <f>'数据-取费表'!B33</f>
        <v>0.03</v>
      </c>
      <c r="G15" s="1856"/>
      <c r="H15" s="3010" t="s">
        <v>1039</v>
      </c>
      <c r="I15" s="1344" t="s">
        <v>1417</v>
      </c>
      <c r="J15" s="3027">
        <f ca="1">INDIRECT("'数据-取费表'!ad"&amp;$G$1)</f>
        <v>0</v>
      </c>
      <c r="K15" s="3032"/>
      <c r="L15" s="3033"/>
      <c r="M15" s="3034"/>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98" t="s">
        <v>1390</v>
      </c>
      <c r="B16" s="2963" t="s">
        <v>1424</v>
      </c>
      <c r="C16" s="11">
        <f ca="1">ROUND(INDIRECT("'数据-取费表'!m"&amp;$G$1)*F16,0)</f>
        <v>0</v>
      </c>
      <c r="D16" s="2963" t="s">
        <v>1422</v>
      </c>
      <c r="E16" s="2963" t="s">
        <v>1423</v>
      </c>
      <c r="F16" s="3005">
        <f ca="1">IF(INDIRECT("'数据-取费表'!c"&amp;$G$1)="住宅",'数据-取费表'!B34,0)</f>
        <v>0</v>
      </c>
      <c r="G16" s="1853"/>
      <c r="H16" s="3000" t="s">
        <v>1030</v>
      </c>
      <c r="I16" s="1346" t="s">
        <v>1425</v>
      </c>
      <c r="J16" s="3001">
        <f ca="1">ROUND(J17+J22+J23+J24,0)</f>
        <v>5</v>
      </c>
      <c r="K16" s="1347" t="s">
        <v>1426</v>
      </c>
      <c r="L16" s="1348"/>
      <c r="M16" s="1349"/>
    </row>
    <row r="17" spans="1:37" s="1860" customFormat="1" ht="18" customHeight="1">
      <c r="A17" s="198" t="s">
        <v>1391</v>
      </c>
      <c r="B17" s="2963" t="s">
        <v>1427</v>
      </c>
      <c r="C17" s="11">
        <f ca="1">ROUND(F17*(F43+INDIRECT("'数据-取费表'!S"&amp;$G$1))/10000,0)</f>
        <v>23</v>
      </c>
      <c r="D17" s="2963" t="s">
        <v>1428</v>
      </c>
      <c r="E17" s="2963" t="s">
        <v>1429</v>
      </c>
      <c r="F17" s="3006">
        <f>'数据-取费表'!B35</f>
        <v>150</v>
      </c>
      <c r="G17" s="1856"/>
      <c r="H17" s="198" t="s">
        <v>1035</v>
      </c>
      <c r="I17" s="2963" t="s">
        <v>1430</v>
      </c>
      <c r="J17" s="11">
        <f ca="1">ROUND(IF(项目基本情况!B11="自然人",J5*M17,J18+J19+J20),1)</f>
        <v>0.1</v>
      </c>
      <c r="K17" s="2960" t="s">
        <v>1431</v>
      </c>
      <c r="L17" s="2963" t="s">
        <v>1432</v>
      </c>
      <c r="M17" s="369"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98" t="s">
        <v>1392</v>
      </c>
      <c r="B18" s="2963" t="s">
        <v>1433</v>
      </c>
      <c r="C18" s="11">
        <f ca="1">ROUND(C14*F18,0)</f>
        <v>4</v>
      </c>
      <c r="D18" s="2963" t="s">
        <v>1422</v>
      </c>
      <c r="E18" s="2963" t="s">
        <v>1423</v>
      </c>
      <c r="F18" s="3005">
        <f>'数据-取费表'!B36</f>
        <v>1.4999999999999999E-2</v>
      </c>
      <c r="G18" s="1856"/>
      <c r="H18" s="198" t="s">
        <v>1034</v>
      </c>
      <c r="I18" s="2963" t="s">
        <v>1434</v>
      </c>
      <c r="J18" s="11">
        <f ca="1">ROUND(J5*M18/(1+'数据-取费表'!C42),2)</f>
        <v>0</v>
      </c>
      <c r="K18" s="2963" t="s">
        <v>1435</v>
      </c>
      <c r="L18" s="2963" t="s">
        <v>1423</v>
      </c>
      <c r="M18" s="3005">
        <f>'数据-取费表'!B41</f>
        <v>6.1600000000000002E-2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98" t="s">
        <v>1035</v>
      </c>
      <c r="B19" s="2963" t="s">
        <v>1436</v>
      </c>
      <c r="C19" s="11">
        <f ca="1">SUM(C14:C18)</f>
        <v>282</v>
      </c>
      <c r="D19" s="3007" t="s">
        <v>1437</v>
      </c>
      <c r="E19" s="2962"/>
      <c r="F19" s="3006"/>
      <c r="G19" s="1853"/>
      <c r="H19" s="198" t="s">
        <v>1036</v>
      </c>
      <c r="I19" s="2963" t="s">
        <v>1438</v>
      </c>
      <c r="J19" s="11">
        <f ca="1">IF(K19="按租金收入计税",ROUND(J5*M19,2),ROUND(C29*M19*0.7,2))</f>
        <v>0</v>
      </c>
      <c r="K19" s="1830" t="s">
        <v>3222</v>
      </c>
      <c r="L19" s="2963" t="s">
        <v>1423</v>
      </c>
      <c r="M19" s="3005">
        <f>IF(K19="按租金收入计税",'数据-取费表'!B51,'数据-取费表'!B50)</f>
        <v>0.12</v>
      </c>
    </row>
    <row r="20" spans="1:37" s="1860" customFormat="1" ht="18" customHeight="1">
      <c r="A20" s="198" t="s">
        <v>1039</v>
      </c>
      <c r="B20" s="2963" t="s">
        <v>1440</v>
      </c>
      <c r="C20" s="11">
        <f ca="1">ROUND(C19*F20,0)</f>
        <v>6</v>
      </c>
      <c r="D20" s="370" t="s">
        <v>1441</v>
      </c>
      <c r="E20" s="2963" t="s">
        <v>1423</v>
      </c>
      <c r="F20" s="3005">
        <f>'数据-取费表'!B37</f>
        <v>0.02</v>
      </c>
      <c r="G20" s="1856"/>
      <c r="H20" s="198" t="s">
        <v>1390</v>
      </c>
      <c r="I20" s="2982" t="s">
        <v>1442</v>
      </c>
      <c r="J20" s="23">
        <f ca="1">ROUND(M20*M21/10000,2)</f>
        <v>0.13</v>
      </c>
      <c r="K20" s="371" t="s">
        <v>1443</v>
      </c>
      <c r="L20" s="2963" t="s">
        <v>1444</v>
      </c>
      <c r="M20" s="3008">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98" t="s">
        <v>1075</v>
      </c>
      <c r="B21" s="2963" t="s">
        <v>1445</v>
      </c>
      <c r="C21" s="11" t="s">
        <v>18</v>
      </c>
      <c r="D21" s="370" t="s">
        <v>1446</v>
      </c>
      <c r="E21" s="2963" t="s">
        <v>1447</v>
      </c>
      <c r="F21" s="3005">
        <f>'数据-取费表'!B38</f>
        <v>0.02</v>
      </c>
      <c r="G21" s="1856"/>
      <c r="H21" s="3035"/>
      <c r="I21" s="3036"/>
      <c r="J21" s="30"/>
      <c r="K21" s="374"/>
      <c r="L21" s="2963" t="s">
        <v>1448</v>
      </c>
      <c r="M21" s="2983">
        <f ca="1">INDIRECT("'数据-取费表'!r"&amp;$G$1)</f>
        <v>443.73</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98" t="s">
        <v>1393</v>
      </c>
      <c r="B22" s="2963" t="s">
        <v>1449</v>
      </c>
      <c r="C22" s="11"/>
      <c r="D22" s="3007" t="str">
        <f>IF(F23&lt;=1,"单利计息。","复利计息。")&amp;"建造成本、管理费用、销售费用产生的利息。"</f>
        <v>单利计息。建造成本、管理费用、销售费用产生的利息。</v>
      </c>
      <c r="E22" s="2962"/>
      <c r="F22" s="3006"/>
      <c r="G22" s="1853"/>
      <c r="H22" s="198" t="s">
        <v>1039</v>
      </c>
      <c r="I22" s="2963" t="s">
        <v>1450</v>
      </c>
      <c r="J22" s="11">
        <f ca="1">ROUND(J14*M22,1)</f>
        <v>5.3</v>
      </c>
      <c r="K22" s="2963" t="s">
        <v>1451</v>
      </c>
      <c r="L22" s="2963" t="s">
        <v>1423</v>
      </c>
      <c r="M22" s="3016">
        <f ca="1">INDIRECT("'数据-取费表'!Ak"&amp;$G$1)</f>
        <v>1.4999999999999999E-2</v>
      </c>
    </row>
    <row r="23" spans="1:37" s="1860" customFormat="1" ht="18" customHeight="1">
      <c r="A23" s="198" t="s">
        <v>1034</v>
      </c>
      <c r="B23" s="2963" t="s">
        <v>1452</v>
      </c>
      <c r="C23" s="11">
        <f ca="1">IF('数据-取费表'!B22&lt;=1,ROUND(C19*F24*F23/2,0)+ROUND(C20*F24*F23/2,0),ROUND(C19*(POWER((1+F24),F23/2)-1),0)+ROUND(C20*(POWER((1+F24),F23/2)-1),0))</f>
        <v>6</v>
      </c>
      <c r="D23" s="370" t="str">
        <f>IF(F23&lt;=1,"(建造成本+管理费用)×利率×(建设周期÷2)","(建造成本+管理费用)×((1+利率)^(建设周期÷2)-1)")</f>
        <v>(建造成本+管理费用)×利率×(建设周期÷2)</v>
      </c>
      <c r="E23" s="2963" t="s">
        <v>1453</v>
      </c>
      <c r="F23" s="3008">
        <f>'数据-取费表'!B20</f>
        <v>1</v>
      </c>
      <c r="G23" s="1856"/>
      <c r="H23" s="198" t="s">
        <v>1075</v>
      </c>
      <c r="I23" s="2963" t="s">
        <v>1454</v>
      </c>
      <c r="J23" s="11">
        <f ca="1">ROUND(J13*M23,1)</f>
        <v>0</v>
      </c>
      <c r="K23" s="2963" t="s">
        <v>1455</v>
      </c>
      <c r="L23" s="2963" t="s">
        <v>1456</v>
      </c>
      <c r="M23" s="3017">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98" t="s">
        <v>1457</v>
      </c>
      <c r="B24" s="2963" t="s">
        <v>1458</v>
      </c>
      <c r="C24" s="11">
        <f ca="1">ROUND(IF('数据-取费表'!B22&lt;=1,F21*F24*F23/2,F21*(POWER((1+F24),F23/2)-1)),4)</f>
        <v>4.0000000000000002E-4</v>
      </c>
      <c r="D24" s="370" t="str">
        <f>IF(F23&lt;=1,"销售费用×利率×(建设周期÷2)","销售费用×((1+利率)^(建设周期÷2)-1)")</f>
        <v>销售费用×利率×(建设周期÷2)</v>
      </c>
      <c r="E24" s="2963" t="s">
        <v>1459</v>
      </c>
      <c r="F24" s="3009">
        <f ca="1">'数据-取费表'!B40</f>
        <v>4.3499999999999997E-2</v>
      </c>
      <c r="G24" s="1856"/>
      <c r="H24" s="3010" t="s">
        <v>1394</v>
      </c>
      <c r="I24" s="1344" t="s">
        <v>1440</v>
      </c>
      <c r="J24" s="3011">
        <f ca="1">ROUND(J5*M24,1)</f>
        <v>0</v>
      </c>
      <c r="K24" s="1344" t="s">
        <v>1460</v>
      </c>
      <c r="L24" s="1344" t="s">
        <v>1456</v>
      </c>
      <c r="M24" s="299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98" t="s">
        <v>1461</v>
      </c>
      <c r="B25" s="2963" t="s">
        <v>1462</v>
      </c>
      <c r="C25" s="11"/>
      <c r="D25" s="3007" t="s">
        <v>1463</v>
      </c>
      <c r="E25" s="2962"/>
      <c r="F25" s="3006"/>
      <c r="G25" s="1853"/>
      <c r="H25" s="3000" t="s">
        <v>1031</v>
      </c>
      <c r="I25" s="1346" t="s">
        <v>1464</v>
      </c>
      <c r="J25" s="3001">
        <f ca="1">J5-J16</f>
        <v>-5</v>
      </c>
      <c r="K25" s="1347" t="s">
        <v>1465</v>
      </c>
      <c r="L25" s="1348"/>
      <c r="M25" s="1349"/>
    </row>
    <row r="26" spans="1:37">
      <c r="A26" s="198" t="s">
        <v>1034</v>
      </c>
      <c r="B26" s="2963" t="s">
        <v>1466</v>
      </c>
      <c r="C26" s="11">
        <f ca="1">ROUND((C19+C20)*F26,0)</f>
        <v>29</v>
      </c>
      <c r="D26" s="370" t="s">
        <v>1467</v>
      </c>
      <c r="E26" s="371" t="s">
        <v>1468</v>
      </c>
      <c r="F26" s="2989">
        <f ca="1">INDIRECT("'数据-取费表'!q"&amp;$G$1)</f>
        <v>0.1</v>
      </c>
      <c r="G26" s="1853"/>
      <c r="H26" s="2978" t="s">
        <v>1032</v>
      </c>
      <c r="I26" s="346" t="s">
        <v>1469</v>
      </c>
      <c r="J26" s="3018">
        <f ca="1">IF(J5&lt;&gt;0,ROUND(J25*(1-((1+M28)/(1+M26))^M27)/(M26-M28),0),0)</f>
        <v>0</v>
      </c>
      <c r="K26" s="371" t="s">
        <v>1470</v>
      </c>
      <c r="L26" s="2963" t="s">
        <v>1471</v>
      </c>
      <c r="M26" s="2989">
        <f ca="1">INDIRECT("'数据-取费表'!I"&amp;$G$1)</f>
        <v>0.05</v>
      </c>
    </row>
    <row r="27" spans="1:37" ht="18" customHeight="1">
      <c r="A27" s="198" t="s">
        <v>1036</v>
      </c>
      <c r="B27" s="2963" t="s">
        <v>1472</v>
      </c>
      <c r="C27" s="11">
        <f ca="1">ROUND(F21*F26,4)</f>
        <v>2E-3</v>
      </c>
      <c r="D27" s="370" t="s">
        <v>1473</v>
      </c>
      <c r="E27" s="374"/>
      <c r="F27" s="3004"/>
      <c r="G27" s="1853"/>
      <c r="H27" s="2987"/>
      <c r="I27" s="351"/>
      <c r="J27" s="2988"/>
      <c r="K27" s="379" t="s">
        <v>1474</v>
      </c>
      <c r="L27" s="2963" t="s">
        <v>1475</v>
      </c>
      <c r="M27" s="3019">
        <f ca="1">INDIRECT("'数据-取费表'!ag"&amp;$G$1)</f>
        <v>0</v>
      </c>
    </row>
    <row r="28" spans="1:37" s="1860" customFormat="1" ht="18" customHeight="1">
      <c r="A28" s="198" t="s">
        <v>1037</v>
      </c>
      <c r="B28" s="2963" t="s">
        <v>1476</v>
      </c>
      <c r="C28" s="11">
        <f>ROUND(F28/(1+'数据-取费表'!C42),4)</f>
        <v>5.8299999999999998E-2</v>
      </c>
      <c r="D28" s="370" t="s">
        <v>1477</v>
      </c>
      <c r="E28" s="2963" t="s">
        <v>1423</v>
      </c>
      <c r="F28" s="3005">
        <f>'数据-取费表'!B41</f>
        <v>6.1600000000000002E-2</v>
      </c>
      <c r="G28" s="1856"/>
      <c r="H28" s="2992"/>
      <c r="I28" s="355"/>
      <c r="J28" s="3001"/>
      <c r="K28" s="374"/>
      <c r="L28" s="2963" t="s">
        <v>1478</v>
      </c>
      <c r="M28" s="2989">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3010" t="s">
        <v>1038</v>
      </c>
      <c r="B29" s="1344" t="s">
        <v>1479</v>
      </c>
      <c r="C29" s="3011">
        <f ca="1">ROUND((C19+C20+C23+C26)/(1-F21-C24-C27-C28),0)</f>
        <v>351</v>
      </c>
      <c r="D29" s="1344"/>
      <c r="E29" s="1344"/>
      <c r="F29" s="3012"/>
      <c r="G29" s="1856"/>
      <c r="H29" s="209" t="s">
        <v>1033</v>
      </c>
      <c r="I29" s="3020" t="s">
        <v>1480</v>
      </c>
      <c r="J29" s="229">
        <f ca="1">ROUND(J26/(1+F40)^F41,0)</f>
        <v>0</v>
      </c>
      <c r="K29" s="3021" t="s">
        <v>1481</v>
      </c>
      <c r="L29" s="2958"/>
      <c r="M29" s="3022">
        <f ca="1">INDIRECT("'数据-取费表'!k"&amp;$G$1)</f>
        <v>1553.07</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3000" t="s">
        <v>1030</v>
      </c>
      <c r="B30" s="1346" t="s">
        <v>1425</v>
      </c>
      <c r="C30" s="3001">
        <f ca="1">ROUND(C31+C36+C37+C38,0)</f>
        <v>12</v>
      </c>
      <c r="D30" s="1347" t="s">
        <v>1426</v>
      </c>
      <c r="E30" s="1348"/>
      <c r="F30" s="1349"/>
      <c r="G30" s="1853"/>
      <c r="H30" s="744"/>
      <c r="I30" s="745">
        <f>AVERAGE(I31:I35)</f>
        <v>0.65999999999999992</v>
      </c>
      <c r="J30" s="746"/>
      <c r="K30" s="747"/>
      <c r="L30" s="748"/>
      <c r="M30" s="749"/>
    </row>
    <row r="31" spans="1:37" ht="18" customHeight="1">
      <c r="A31" s="198" t="s">
        <v>1035</v>
      </c>
      <c r="B31" s="2963" t="s">
        <v>1430</v>
      </c>
      <c r="C31" s="11">
        <f ca="1">ROUND(IF(项目基本情况!B11="自然人",C5*F31,C32+C33+C34),1)</f>
        <v>5.7</v>
      </c>
      <c r="D31" s="2960" t="s">
        <v>1431</v>
      </c>
      <c r="E31" s="2963" t="s">
        <v>1482</v>
      </c>
      <c r="F31" s="369" t="str">
        <f ca="1">IF(项目基本情况!B11="企业","",IF(INDIRECT("'数据-取费表'!c"&amp;$G$1)="住宅",5%,IF(F6*F7*F8/12/(1+'数据-取费表'!C42)&gt;20000,12%,7%)))</f>
        <v/>
      </c>
      <c r="G31" s="1853"/>
      <c r="H31" s="3067">
        <v>1</v>
      </c>
      <c r="I31" s="2162">
        <f>典型户型修正!Q24</f>
        <v>1</v>
      </c>
      <c r="J31" s="3064">
        <v>0.6</v>
      </c>
      <c r="K31" s="747"/>
      <c r="L31" s="748"/>
      <c r="M31" s="749"/>
    </row>
    <row r="32" spans="1:37" ht="18" customHeight="1">
      <c r="A32" s="198" t="s">
        <v>1034</v>
      </c>
      <c r="B32" s="2963" t="s">
        <v>1434</v>
      </c>
      <c r="C32" s="11">
        <f ca="1">IF(项目基本情况!B11="自然人","——",ROUND(C5*F32/(1+'数据-取费表'!C42),2))</f>
        <v>1.81</v>
      </c>
      <c r="D32" s="2963" t="s">
        <v>1435</v>
      </c>
      <c r="E32" s="2963" t="s">
        <v>1423</v>
      </c>
      <c r="F32" s="3009">
        <f>'数据-取费表'!B41</f>
        <v>6.1600000000000002E-2</v>
      </c>
      <c r="G32" s="1853"/>
      <c r="H32" s="3067">
        <v>2</v>
      </c>
      <c r="I32" s="2162">
        <f>典型户型修正!Q25</f>
        <v>0.7</v>
      </c>
      <c r="J32" s="3064">
        <f>$J$31*I32</f>
        <v>0.42</v>
      </c>
      <c r="K32" s="747"/>
      <c r="L32" s="748"/>
      <c r="M32" s="749"/>
    </row>
    <row r="33" spans="1:18" ht="18" customHeight="1">
      <c r="A33" s="198" t="s">
        <v>1036</v>
      </c>
      <c r="B33" s="2963" t="s">
        <v>1438</v>
      </c>
      <c r="C33" s="11">
        <f ca="1">IF(项目基本情况!B11="自然人","——",IF(D33="按租金收入计税",ROUND(C5*F33,2),IF(D33="按房产原值计税",ROUND(C29*F33*0.7,2),INDIRECT("'数据-取费表'!Aj"&amp;$G$1))))</f>
        <v>3.72</v>
      </c>
      <c r="D33" s="1830" t="s">
        <v>3222</v>
      </c>
      <c r="E33" s="2963" t="s">
        <v>1423</v>
      </c>
      <c r="F33" s="3005">
        <f>IF(D33="按票据","——",IF(D33="按租金收入计税",'数据-取费表'!B51,'数据-取费表'!B50))</f>
        <v>0.12</v>
      </c>
      <c r="G33" s="1853"/>
      <c r="H33" s="3067">
        <v>3</v>
      </c>
      <c r="I33" s="2162">
        <f>典型户型修正!Q26</f>
        <v>0.6</v>
      </c>
      <c r="J33" s="3064">
        <f>$J$31*I33</f>
        <v>0.36</v>
      </c>
      <c r="K33" s="1864"/>
      <c r="L33" s="1861"/>
      <c r="M33" s="1861"/>
    </row>
    <row r="34" spans="1:18" ht="18" customHeight="1">
      <c r="A34" s="2980" t="s">
        <v>1390</v>
      </c>
      <c r="B34" s="2982" t="s">
        <v>1442</v>
      </c>
      <c r="C34" s="23">
        <f ca="1">IF(项目基本情况!B11="自然人","——",ROUND(F34*F35/10000,2))</f>
        <v>0.13</v>
      </c>
      <c r="D34" s="371" t="s">
        <v>1443</v>
      </c>
      <c r="E34" s="2963" t="s">
        <v>1444</v>
      </c>
      <c r="F34" s="3008">
        <f>'数据-取费表'!B52</f>
        <v>3</v>
      </c>
      <c r="G34" s="1853"/>
      <c r="H34" s="3067">
        <v>4</v>
      </c>
      <c r="I34" s="2162">
        <f>典型户型修正!Q27</f>
        <v>0.5</v>
      </c>
      <c r="J34" s="3064">
        <f>$J$31*I34</f>
        <v>0.3</v>
      </c>
      <c r="K34" s="1865"/>
      <c r="L34" s="1866"/>
      <c r="M34" s="1866"/>
    </row>
    <row r="35" spans="1:18" ht="18" customHeight="1">
      <c r="A35" s="3013"/>
      <c r="B35" s="3014"/>
      <c r="C35" s="30"/>
      <c r="D35" s="374"/>
      <c r="E35" s="2963" t="s">
        <v>1448</v>
      </c>
      <c r="F35" s="2983">
        <f ca="1">INDIRECT("'数据-取费表'!r"&amp;$G$1)</f>
        <v>443.73</v>
      </c>
      <c r="G35" s="1853"/>
      <c r="H35" s="3067">
        <v>5</v>
      </c>
      <c r="I35" s="2162">
        <f>典型户型修正!Q28</f>
        <v>0.5</v>
      </c>
      <c r="J35" s="3064">
        <f>$J$31*I35</f>
        <v>0.3</v>
      </c>
      <c r="K35" s="1864"/>
      <c r="L35" s="1861"/>
      <c r="M35" s="1861"/>
    </row>
    <row r="36" spans="1:18" ht="18" customHeight="1">
      <c r="A36" s="3015" t="s">
        <v>1039</v>
      </c>
      <c r="B36" s="2963" t="s">
        <v>1450</v>
      </c>
      <c r="C36" s="11">
        <f ca="1">ROUND(C29*F36,1)</f>
        <v>5.3</v>
      </c>
      <c r="D36" s="2963" t="s">
        <v>1483</v>
      </c>
      <c r="E36" s="2963" t="s">
        <v>1423</v>
      </c>
      <c r="F36" s="3016">
        <f ca="1">INDIRECT("'数据-取费表'!Ak"&amp;$G$1)</f>
        <v>1.4999999999999999E-2</v>
      </c>
      <c r="G36" s="1853"/>
      <c r="H36" s="3316" t="s">
        <v>3237</v>
      </c>
      <c r="I36" s="3316"/>
      <c r="J36" s="3066">
        <f>AVERAGE(J31:J35)</f>
        <v>0.39600000000000002</v>
      </c>
      <c r="K36" s="750"/>
      <c r="L36" s="1861"/>
      <c r="M36" s="1861"/>
    </row>
    <row r="37" spans="1:18" ht="18" customHeight="1">
      <c r="A37" s="198" t="s">
        <v>1075</v>
      </c>
      <c r="B37" s="2963" t="s">
        <v>1454</v>
      </c>
      <c r="C37" s="11">
        <f ca="1">ROUND(C13*F37,1)</f>
        <v>0.5</v>
      </c>
      <c r="D37" s="2963" t="s">
        <v>1455</v>
      </c>
      <c r="E37" s="2963" t="s">
        <v>1456</v>
      </c>
      <c r="F37" s="3017">
        <f ca="1">INDIRECT("'数据-取费表'!Al"&amp;$G$1)</f>
        <v>1.5E-3</v>
      </c>
      <c r="G37" s="1853"/>
      <c r="H37" s="1861"/>
      <c r="I37" s="1862"/>
      <c r="J37" s="1863"/>
      <c r="K37" s="750"/>
      <c r="L37" s="1861"/>
      <c r="M37" s="1861"/>
    </row>
    <row r="38" spans="1:18" ht="18" customHeight="1" thickBot="1">
      <c r="A38" s="3010" t="s">
        <v>1394</v>
      </c>
      <c r="B38" s="1344" t="s">
        <v>1440</v>
      </c>
      <c r="C38" s="3011">
        <f ca="1">ROUND(C5*F38,1)</f>
        <v>0.3</v>
      </c>
      <c r="D38" s="1344" t="s">
        <v>1460</v>
      </c>
      <c r="E38" s="1344" t="s">
        <v>1456</v>
      </c>
      <c r="F38" s="2999">
        <f ca="1">INDIRECT("'数据-取费表'!Am"&amp;$G$1)</f>
        <v>0.01</v>
      </c>
      <c r="G38" s="1853"/>
      <c r="H38" s="1861"/>
      <c r="I38" s="1862"/>
      <c r="J38" s="1863"/>
      <c r="K38" s="1867"/>
      <c r="L38" s="1861"/>
      <c r="M38" s="1861"/>
    </row>
    <row r="39" spans="1:18" ht="24.6" customHeight="1" thickTop="1">
      <c r="A39" s="3000" t="s">
        <v>1031</v>
      </c>
      <c r="B39" s="1346" t="s">
        <v>1484</v>
      </c>
      <c r="C39" s="3001">
        <f ca="1">C5-C30</f>
        <v>19</v>
      </c>
      <c r="D39" s="1347" t="s">
        <v>1485</v>
      </c>
      <c r="E39" s="1348"/>
      <c r="F39" s="1349"/>
      <c r="G39" s="1853"/>
      <c r="H39" s="1861"/>
      <c r="I39" s="1862"/>
      <c r="J39" s="1863"/>
      <c r="K39" s="1867"/>
      <c r="L39" s="1861"/>
      <c r="M39" s="1861"/>
    </row>
    <row r="40" spans="1:18" ht="18" customHeight="1">
      <c r="A40" s="2978" t="s">
        <v>1032</v>
      </c>
      <c r="B40" s="346" t="s">
        <v>1486</v>
      </c>
      <c r="C40" s="3018">
        <f ca="1">ROUND(C39*(1-((1+F42)/(1+F40))^F41)/(F40-F42),0)</f>
        <v>533</v>
      </c>
      <c r="D40" s="371" t="s">
        <v>1470</v>
      </c>
      <c r="E40" s="2963" t="s">
        <v>1471</v>
      </c>
      <c r="F40" s="2989">
        <f ca="1">INDIRECT("'数据-取费表'!I"&amp;$G$1)</f>
        <v>0.05</v>
      </c>
      <c r="G40" s="1853"/>
      <c r="H40" s="1841"/>
      <c r="I40" s="1862"/>
      <c r="J40" s="1863"/>
      <c r="K40" s="1867"/>
      <c r="L40" s="1841"/>
      <c r="M40" s="1841"/>
    </row>
    <row r="41" spans="1:18" ht="18" customHeight="1">
      <c r="A41" s="2987"/>
      <c r="B41" s="351"/>
      <c r="C41" s="2988"/>
      <c r="D41" s="379" t="s">
        <v>1487</v>
      </c>
      <c r="E41" s="2963" t="s">
        <v>1475</v>
      </c>
      <c r="F41" s="3019">
        <f ca="1">IF(INDIRECT("'数据-取费表'!af"&amp;$G$1)=0,INDIRECT("'数据-取费表'!ae"&amp;$G$1),INDIRECT("'数据-取费表'!af"&amp;$G$1))</f>
        <v>34.44</v>
      </c>
      <c r="G41" s="1853"/>
      <c r="H41" s="731"/>
      <c r="I41" s="1862"/>
      <c r="J41" s="1863"/>
      <c r="K41" s="750"/>
      <c r="L41" s="731"/>
      <c r="M41" s="731"/>
    </row>
    <row r="42" spans="1:18" ht="18" customHeight="1">
      <c r="A42" s="2992"/>
      <c r="B42" s="355"/>
      <c r="C42" s="3001"/>
      <c r="D42" s="374"/>
      <c r="E42" s="2963" t="s">
        <v>1478</v>
      </c>
      <c r="F42" s="2989">
        <f ca="1">INDIRECT("'数据-取费表'!v"&amp;$G$1)</f>
        <v>0.04</v>
      </c>
      <c r="G42" s="1853"/>
      <c r="H42" s="731"/>
      <c r="I42" s="1862"/>
      <c r="J42" s="1863"/>
      <c r="K42" s="750"/>
      <c r="L42" s="731"/>
      <c r="M42" s="731"/>
    </row>
    <row r="43" spans="1:18" ht="18" customHeight="1" thickBot="1">
      <c r="A43" s="209" t="s">
        <v>1033</v>
      </c>
      <c r="B43" s="3020" t="s">
        <v>1488</v>
      </c>
      <c r="C43" s="229">
        <f ca="1">ROUND(C40*10000/F43,0)</f>
        <v>3432</v>
      </c>
      <c r="D43" s="3021" t="s">
        <v>1489</v>
      </c>
      <c r="E43" s="2958" t="s">
        <v>1490</v>
      </c>
      <c r="F43" s="3022">
        <f ca="1">INDIRECT("'数据-取费表'!k"&amp;$G$1)</f>
        <v>1553.07</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1520</v>
      </c>
      <c r="P45" s="1841"/>
      <c r="Q45" s="1841"/>
      <c r="R45" s="1841"/>
    </row>
    <row r="46" spans="1:18" s="1844" customFormat="1" ht="13.5" thickBot="1">
      <c r="A46" s="1872" t="s">
        <v>1521</v>
      </c>
      <c r="C46" s="1873" t="e">
        <f ca="1">C68-C40</f>
        <v>#N/A</v>
      </c>
      <c r="D46" s="1874" t="str">
        <f>C2</f>
        <v>万元</v>
      </c>
      <c r="E46" s="1868"/>
      <c r="F46" s="1868"/>
      <c r="I46" s="1875" t="s">
        <v>1522</v>
      </c>
      <c r="J46" s="1876"/>
      <c r="K46" s="1877"/>
      <c r="L46" s="1878" t="str">
        <f ca="1">IF(M47="住宅",0,IF(L48&gt;J51,L60,J60))</f>
        <v>0</v>
      </c>
      <c r="O46" s="1879" t="s">
        <v>1523</v>
      </c>
      <c r="P46" s="1880" t="s">
        <v>1524</v>
      </c>
      <c r="Q46" s="1881" t="s">
        <v>1525</v>
      </c>
      <c r="R46" s="1881" t="s">
        <v>1526</v>
      </c>
    </row>
    <row r="47" spans="1:18" s="1844" customFormat="1" ht="13.5" thickBot="1">
      <c r="A47" s="1167" t="s">
        <v>1397</v>
      </c>
      <c r="B47" s="1199" t="s">
        <v>1398</v>
      </c>
      <c r="C47" s="1369" t="s">
        <v>1399</v>
      </c>
      <c r="D47" s="1199" t="s">
        <v>1400</v>
      </c>
      <c r="E47" s="1281" t="s">
        <v>1401</v>
      </c>
      <c r="F47" s="1282"/>
      <c r="G47" s="791"/>
      <c r="I47" s="1882" t="s">
        <v>1527</v>
      </c>
      <c r="J47" s="1883" t="s">
        <v>3111</v>
      </c>
      <c r="K47" s="1884" t="s">
        <v>1528</v>
      </c>
      <c r="L47" s="1885">
        <f ca="1">INDIRECT("'数据-取费表'!d"&amp;$G$1)</f>
        <v>40</v>
      </c>
      <c r="M47" s="1840" t="str">
        <f>IF(ISNUMBER(FIND("住宅",C1)),"住宅","非住宅")</f>
        <v>非住宅</v>
      </c>
      <c r="O47" s="1886" t="s">
        <v>1040</v>
      </c>
      <c r="P47" s="1887" t="s">
        <v>1529</v>
      </c>
      <c r="Q47" s="1888">
        <f ca="1">C40+J29</f>
        <v>533</v>
      </c>
      <c r="R47" s="1888" t="s">
        <v>1530</v>
      </c>
    </row>
    <row r="48" spans="1:18" s="1844" customFormat="1" ht="28.5" thickBot="1">
      <c r="A48" s="1362" t="s">
        <v>1135</v>
      </c>
      <c r="B48" s="346" t="s">
        <v>1402</v>
      </c>
      <c r="C48" s="1820" t="e">
        <f ca="1">C49+C53+C55</f>
        <v>#N/A</v>
      </c>
      <c r="D48" s="1364"/>
      <c r="E48" s="1365"/>
      <c r="F48" s="1183"/>
      <c r="G48" s="791"/>
      <c r="H48" s="792"/>
      <c r="I48" s="1889" t="s">
        <v>1531</v>
      </c>
      <c r="J48" s="1890" t="s">
        <v>3112</v>
      </c>
      <c r="K48" s="1891" t="s">
        <v>1532</v>
      </c>
      <c r="L48" s="1892">
        <f ca="1">INDIRECT("'数据-取费表'!f"&amp;$G$1)</f>
        <v>34.44</v>
      </c>
      <c r="O48" s="1886" t="s">
        <v>1041</v>
      </c>
      <c r="P48" s="1887" t="s">
        <v>1533</v>
      </c>
      <c r="Q48" s="1888" t="str">
        <f ca="1">J60</f>
        <v>0</v>
      </c>
      <c r="R48" s="1888" t="s">
        <v>1534</v>
      </c>
    </row>
    <row r="49" spans="1:18" s="1844" customFormat="1" ht="13.5" thickBot="1">
      <c r="A49" s="1196" t="s">
        <v>1136</v>
      </c>
      <c r="B49" s="1831" t="s">
        <v>1491</v>
      </c>
      <c r="C49" s="1366" t="e">
        <f ca="1">ROUND(F49*F51*F50*(1-F52)/10000,0)</f>
        <v>#N/A</v>
      </c>
      <c r="D49" s="1278" t="s">
        <v>3032</v>
      </c>
      <c r="E49" s="1832" t="s">
        <v>1492</v>
      </c>
      <c r="F49" s="3068">
        <f>J36</f>
        <v>0.39600000000000002</v>
      </c>
      <c r="G49" s="1893"/>
      <c r="H49" s="792"/>
      <c r="I49" s="1889" t="s">
        <v>1535</v>
      </c>
      <c r="J49" s="1894">
        <v>2014</v>
      </c>
      <c r="K49" s="1891" t="s">
        <v>1536</v>
      </c>
      <c r="L49" s="1895"/>
      <c r="O49" s="1896" t="s">
        <v>1042</v>
      </c>
      <c r="P49" s="1887" t="s">
        <v>1537</v>
      </c>
      <c r="Q49" s="1888">
        <f ca="1">C29</f>
        <v>351</v>
      </c>
      <c r="R49" s="1888" t="s">
        <v>1530</v>
      </c>
    </row>
    <row r="50" spans="1:18" s="1844" customFormat="1" ht="13.5" thickBot="1">
      <c r="A50" s="1197"/>
      <c r="B50" s="1200"/>
      <c r="C50" s="1370"/>
      <c r="D50" s="1174"/>
      <c r="E50" s="1279" t="s">
        <v>1407</v>
      </c>
      <c r="F50" s="1280">
        <f ca="1">F7</f>
        <v>1553.07</v>
      </c>
      <c r="H50" s="792"/>
      <c r="I50" s="1889" t="s">
        <v>1538</v>
      </c>
      <c r="J50" s="1897">
        <f>SUMPRODUCT((I63:I65=J47)*(J62:L62=J48)*(J63:L65))</f>
        <v>60</v>
      </c>
      <c r="K50" s="1891" t="s">
        <v>1539</v>
      </c>
      <c r="L50" s="1895"/>
      <c r="M50" s="1898"/>
      <c r="O50" s="1896" t="s">
        <v>1043</v>
      </c>
      <c r="P50" s="1887" t="s">
        <v>1540</v>
      </c>
      <c r="Q50" s="1899" t="e">
        <f ca="1">J58</f>
        <v>#VALUE!</v>
      </c>
      <c r="R50" s="1888"/>
    </row>
    <row r="51" spans="1:18" s="1844" customFormat="1" ht="13.5" thickBot="1">
      <c r="A51" s="1198"/>
      <c r="B51" s="1200"/>
      <c r="C51" s="1201"/>
      <c r="D51" s="1174"/>
      <c r="E51" s="1202" t="s">
        <v>1408</v>
      </c>
      <c r="F51" s="349">
        <f ca="1">F8</f>
        <v>365</v>
      </c>
      <c r="I51" s="1900" t="s">
        <v>1541</v>
      </c>
      <c r="J51" s="1901">
        <f>IF(J49="",J50,J49+J50-YEAR('数据-取费表'!B2))</f>
        <v>57</v>
      </c>
      <c r="K51" s="1902" t="s">
        <v>1542</v>
      </c>
      <c r="L51" s="1903">
        <f ca="1">ROUND(-PV(INDIRECT("'数据-取费表'!h"&amp;$G$1),L48,(C39-C13*C76),0),0)</f>
        <v>-75</v>
      </c>
      <c r="M51" s="1904"/>
      <c r="O51" s="1896" t="s">
        <v>1044</v>
      </c>
      <c r="P51" s="1887" t="s">
        <v>1543</v>
      </c>
      <c r="Q51" s="1899">
        <f>J52</f>
        <v>7.0000000000000007E-2</v>
      </c>
      <c r="R51" s="1888"/>
    </row>
    <row r="52" spans="1:18" s="1844" customFormat="1" ht="13.5" thickBot="1">
      <c r="A52" s="1198"/>
      <c r="B52" s="1200"/>
      <c r="C52" s="1201"/>
      <c r="D52" s="1174"/>
      <c r="E52" s="1202" t="s">
        <v>1409</v>
      </c>
      <c r="F52" s="1277" t="e">
        <f ca="1">'收益法 (2)'!F9</f>
        <v>#N/A</v>
      </c>
      <c r="I52" s="1905" t="s">
        <v>1544</v>
      </c>
      <c r="J52" s="1906">
        <f>'数据-取费表'!J7</f>
        <v>7.0000000000000007E-2</v>
      </c>
      <c r="K52" s="1905" t="s">
        <v>1545</v>
      </c>
      <c r="L52" s="1906"/>
      <c r="O52" s="1896" t="s">
        <v>1045</v>
      </c>
      <c r="P52" s="1887" t="s">
        <v>1546</v>
      </c>
      <c r="Q52" s="1888">
        <f ca="1">J53</f>
        <v>34.44</v>
      </c>
      <c r="R52" s="1888" t="s">
        <v>1547</v>
      </c>
    </row>
    <row r="53" spans="1:18" s="1844" customFormat="1" ht="24.75" hidden="1" thickBot="1">
      <c r="A53" s="1407" t="s">
        <v>1137</v>
      </c>
      <c r="B53" s="1833" t="s">
        <v>1410</v>
      </c>
      <c r="C53" s="362">
        <f ca="1">ROUND(IF(F53="押一",F49*F51*F50/12*F11,IF(F53="押二",F49*F51*F50/12*2*F11,IF(F53="押三",F49*F51*F50/12*3*F11,C54*F11)))/10000,0)</f>
        <v>0</v>
      </c>
      <c r="D53" s="1827" t="s">
        <v>3030</v>
      </c>
      <c r="E53" s="359" t="s">
        <v>1412</v>
      </c>
      <c r="F53" s="1368" t="s">
        <v>3238</v>
      </c>
      <c r="I53" s="1907" t="s">
        <v>1548</v>
      </c>
      <c r="J53" s="1908">
        <f ca="1">IF(M47="住宅",J51,IF(D1="——",MIN(J51,L48),IF(D1="在建（套用方法）",MIN(J51,L48-'数据-取费表'!B24),IF(D1="土地（套用方法）",MIN(J51,L48-'数据-取费表'!B20)))))</f>
        <v>34.44</v>
      </c>
      <c r="K53" s="3311" t="s">
        <v>1549</v>
      </c>
      <c r="L53" s="3312"/>
      <c r="O53" s="1886" t="s">
        <v>1046</v>
      </c>
      <c r="P53" s="1887" t="s">
        <v>1550</v>
      </c>
      <c r="Q53" s="1888">
        <f ca="1">Q47+Q48</f>
        <v>533</v>
      </c>
      <c r="R53" s="1888" t="s">
        <v>1047</v>
      </c>
    </row>
    <row r="54" spans="1:18" s="1844" customFormat="1" ht="13.5" hidden="1" thickBot="1">
      <c r="A54" s="1408"/>
      <c r="B54" s="1828" t="s">
        <v>1389</v>
      </c>
      <c r="C54" s="1180"/>
      <c r="D54" s="1827"/>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1551</v>
      </c>
      <c r="P54" s="1841"/>
      <c r="Q54" s="1841"/>
      <c r="R54" s="1841"/>
    </row>
    <row r="55" spans="1:18" s="1844" customFormat="1" ht="13.5" hidden="1" thickBot="1">
      <c r="A55" s="1335" t="s">
        <v>1075</v>
      </c>
      <c r="B55" s="1829" t="s">
        <v>1414</v>
      </c>
      <c r="C55" s="1336"/>
      <c r="D55" s="1827"/>
      <c r="E55" s="1834"/>
      <c r="F55" s="1909"/>
      <c r="I55" s="1912" t="s">
        <v>1552</v>
      </c>
      <c r="J55" s="1913" t="e">
        <f ca="1">ROUND(IF(J47="钢混",J57/J50,1-(1-2%)*(J50-J57)/J50),3)</f>
        <v>#VALUE!</v>
      </c>
      <c r="K55" s="1914" t="s">
        <v>1553</v>
      </c>
      <c r="L55" s="1915" t="s">
        <v>1554</v>
      </c>
      <c r="O55" s="1879" t="s">
        <v>1523</v>
      </c>
      <c r="P55" s="1880" t="s">
        <v>1524</v>
      </c>
      <c r="Q55" s="1881" t="s">
        <v>1525</v>
      </c>
      <c r="R55" s="1881" t="s">
        <v>1526</v>
      </c>
    </row>
    <row r="56" spans="1:18" s="1844" customFormat="1" ht="24.75" thickBot="1">
      <c r="A56" s="1178">
        <v>2</v>
      </c>
      <c r="B56" s="1179" t="s">
        <v>1415</v>
      </c>
      <c r="C56" s="277">
        <f ca="1">C13</f>
        <v>333</v>
      </c>
      <c r="D56" s="1916"/>
      <c r="E56" s="1917"/>
      <c r="F56" s="1909"/>
      <c r="I56" s="1918" t="s">
        <v>1555</v>
      </c>
      <c r="J56" s="1919" t="s">
        <v>3061</v>
      </c>
      <c r="K56" s="1889" t="s">
        <v>1556</v>
      </c>
      <c r="L56" s="1892" t="str">
        <f ca="1">IF(L48&lt;J51,"——",L48-J53)</f>
        <v>——</v>
      </c>
      <c r="O56" s="1886" t="s">
        <v>1040</v>
      </c>
      <c r="P56" s="1887" t="s">
        <v>1529</v>
      </c>
      <c r="Q56" s="1888">
        <f ca="1">C40+J29</f>
        <v>533</v>
      </c>
      <c r="R56" s="1888" t="s">
        <v>1530</v>
      </c>
    </row>
    <row r="57" spans="1:18" s="1844" customFormat="1" ht="24.75" thickBot="1">
      <c r="A57" s="1920"/>
      <c r="B57" s="1171" t="s">
        <v>1479</v>
      </c>
      <c r="C57" s="283">
        <f ca="1">C29</f>
        <v>351</v>
      </c>
      <c r="D57" s="1921"/>
      <c r="E57" s="1922"/>
      <c r="F57" s="1923"/>
      <c r="I57" s="1924" t="s">
        <v>1557</v>
      </c>
      <c r="J57" s="1925" t="str">
        <f ca="1">IF(OR(M47="住宅",J51&lt;L48,J56="是"),"——",J51-L48)</f>
        <v>——</v>
      </c>
      <c r="K57" s="1889" t="s">
        <v>1558</v>
      </c>
      <c r="L57" s="1892" t="str">
        <f ca="1">IF(L48&lt;J51,"——",IF(L55="比较法",L49,IF(L55="基准地价",L50,L51)))</f>
        <v>——</v>
      </c>
      <c r="O57" s="1886" t="s">
        <v>1041</v>
      </c>
      <c r="P57" s="1887" t="s">
        <v>1559</v>
      </c>
      <c r="Q57" s="1888">
        <f ca="1">L60</f>
        <v>0</v>
      </c>
      <c r="R57" s="1888" t="s">
        <v>1560</v>
      </c>
    </row>
    <row r="58" spans="1:18" s="1844" customFormat="1" ht="24.75" thickBot="1">
      <c r="A58" s="361" t="s">
        <v>1030</v>
      </c>
      <c r="B58" s="1179" t="s">
        <v>1425</v>
      </c>
      <c r="C58" s="362" t="e">
        <f ca="1">ROUND(C59+C64+C65+C66,0)</f>
        <v>#N/A</v>
      </c>
      <c r="D58" s="1181" t="s">
        <v>1426</v>
      </c>
      <c r="E58" s="1182"/>
      <c r="F58" s="1183"/>
      <c r="I58" s="1924" t="s">
        <v>1561</v>
      </c>
      <c r="J58" s="1926" t="e">
        <f ca="1">IF(J55&lt;0.4,0.4,J55)</f>
        <v>#VALUE!</v>
      </c>
      <c r="K58" s="1902" t="s">
        <v>1562</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3" t="s">
        <v>1035</v>
      </c>
      <c r="B59" s="1171" t="s">
        <v>1430</v>
      </c>
      <c r="C59" s="24" t="e">
        <f ca="1">ROUND(IF(项目基本情况!B11="自然人",C48*F59,C60+C61+C62),1)</f>
        <v>#N/A</v>
      </c>
      <c r="D59" s="1184" t="s">
        <v>1431</v>
      </c>
      <c r="E59" s="1185" t="s">
        <v>1432</v>
      </c>
      <c r="F59" s="369" t="str">
        <f ca="1">IF(项目基本情况!B11="企业","",IF(INDIRECT("'数据-取费表'!c"&amp;$G$1)="住宅",5%,IF(F49*F50*F51/12/(1+'数据-取费表'!C42)&gt;20000,12%,7%)))</f>
        <v/>
      </c>
      <c r="I59" s="1924" t="s">
        <v>1564</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1565</v>
      </c>
      <c r="Q59" s="1899">
        <f>L52</f>
        <v>0</v>
      </c>
      <c r="R59" s="1888"/>
    </row>
    <row r="60" spans="1:18" s="1844" customFormat="1" ht="16.5" thickBot="1">
      <c r="A60" s="1203" t="s">
        <v>1034</v>
      </c>
      <c r="B60" s="1171" t="s">
        <v>1434</v>
      </c>
      <c r="C60" s="24" t="e">
        <f ca="1">IF(项目基本情况!B11="自然人","——",ROUND(C48*F60/(1+'数据-取费表'!C42),2))</f>
        <v>#N/A</v>
      </c>
      <c r="D60" s="1185" t="s">
        <v>1435</v>
      </c>
      <c r="E60" s="1171" t="s">
        <v>1423</v>
      </c>
      <c r="F60" s="378">
        <f t="shared" ref="F60:F66" si="0">F32</f>
        <v>6.1600000000000002E-2</v>
      </c>
      <c r="I60" s="1927" t="s">
        <v>1566</v>
      </c>
      <c r="J60" s="1928" t="str">
        <f ca="1">IF(OR(M47="住宅",J51&lt;L48,J56="是"),"0",ROUND(J59/(1+J52)^J53,0))</f>
        <v>0</v>
      </c>
      <c r="K60" s="1929" t="s">
        <v>1567</v>
      </c>
      <c r="L60" s="1928">
        <f ca="1">IF(OR(M47="住宅",L48&lt;J51),0,ROUND(L57*(L58/L59-1),0))</f>
        <v>0</v>
      </c>
      <c r="O60" s="1896" t="s">
        <v>1044</v>
      </c>
      <c r="P60" s="1887" t="s">
        <v>1568</v>
      </c>
      <c r="Q60" s="1888" t="e">
        <f ca="1">L58</f>
        <v>#DIV/0!</v>
      </c>
      <c r="R60" s="1888" t="s">
        <v>1569</v>
      </c>
    </row>
    <row r="61" spans="1:18" s="1844" customFormat="1" ht="13.5" thickBot="1">
      <c r="A61" s="1203" t="s">
        <v>1493</v>
      </c>
      <c r="B61" s="1171" t="s">
        <v>1494</v>
      </c>
      <c r="C61" s="24" t="e">
        <f ca="1">IF(项目基本情况!B11="自然人","——",IF(D61="按租金收入计税",ROUND(C48*F61,2),IF(D61="按房产原值计税",ROUND(C57*F61*0.7,2),INDIRECT("'数据-取费表'!Aj"&amp;$G$1))))</f>
        <v>#N/A</v>
      </c>
      <c r="D61" s="1830" t="s">
        <v>3222</v>
      </c>
      <c r="E61" s="1171" t="s">
        <v>1495</v>
      </c>
      <c r="F61" s="368">
        <f t="shared" si="0"/>
        <v>0.12</v>
      </c>
      <c r="I61" s="1930"/>
      <c r="J61" s="1930"/>
      <c r="K61" s="1930"/>
      <c r="L61" s="1930"/>
      <c r="O61" s="1896" t="s">
        <v>1045</v>
      </c>
      <c r="P61" s="1887" t="str">
        <f>K59</f>
        <v>建筑物剩余耐用年限下的土地年期修正系数Kn</v>
      </c>
      <c r="Q61" s="1888" t="e">
        <f ca="1">L59</f>
        <v>#DIV/0!</v>
      </c>
      <c r="R61" s="1888" t="s">
        <v>1570</v>
      </c>
    </row>
    <row r="62" spans="1:18" s="1844" customFormat="1" ht="13.5" thickBot="1">
      <c r="A62" s="1203" t="s">
        <v>1496</v>
      </c>
      <c r="B62" s="1170" t="s">
        <v>1497</v>
      </c>
      <c r="C62" s="25">
        <f ca="1">IF(项目基本情况!B11="自然人","——",ROUND(F62*F63/10000,2))</f>
        <v>0.13</v>
      </c>
      <c r="D62" s="1186" t="s">
        <v>1498</v>
      </c>
      <c r="E62" s="1171" t="s">
        <v>1499</v>
      </c>
      <c r="F62" s="372">
        <f t="shared" si="0"/>
        <v>3</v>
      </c>
      <c r="I62" s="1931" t="s">
        <v>1571</v>
      </c>
      <c r="J62" s="1932" t="s">
        <v>1572</v>
      </c>
      <c r="K62" s="1932" t="s">
        <v>1573</v>
      </c>
      <c r="L62" s="1932" t="s">
        <v>1574</v>
      </c>
      <c r="M62" s="1933" t="s">
        <v>1575</v>
      </c>
      <c r="O62" s="1886" t="s">
        <v>1046</v>
      </c>
      <c r="P62" s="1887" t="s">
        <v>1576</v>
      </c>
      <c r="Q62" s="1888">
        <f ca="1">Q56+Q57</f>
        <v>533</v>
      </c>
      <c r="R62" s="1888" t="s">
        <v>1047</v>
      </c>
    </row>
    <row r="63" spans="1:18" s="1844" customFormat="1" ht="13.5" thickBot="1">
      <c r="A63" s="373"/>
      <c r="B63" s="1177"/>
      <c r="C63" s="29"/>
      <c r="D63" s="1187"/>
      <c r="E63" s="1171" t="s">
        <v>1500</v>
      </c>
      <c r="F63" s="349">
        <f t="shared" ca="1" si="0"/>
        <v>443.73</v>
      </c>
      <c r="I63" s="1931" t="s">
        <v>1577</v>
      </c>
      <c r="J63" s="1932">
        <v>70</v>
      </c>
      <c r="K63" s="1932">
        <v>50</v>
      </c>
      <c r="L63" s="1932">
        <v>80</v>
      </c>
      <c r="M63" s="1934">
        <v>0.02</v>
      </c>
      <c r="O63" s="1871" t="s">
        <v>1578</v>
      </c>
      <c r="P63" s="1841"/>
      <c r="Q63" s="1841"/>
      <c r="R63" s="1841"/>
    </row>
    <row r="64" spans="1:18" s="1844" customFormat="1" ht="13.5" thickBot="1">
      <c r="A64" s="1203" t="s">
        <v>1501</v>
      </c>
      <c r="B64" s="1171" t="s">
        <v>1502</v>
      </c>
      <c r="C64" s="24">
        <f ca="1">ROUND(C57*F64,1)</f>
        <v>5.3</v>
      </c>
      <c r="D64" s="1185" t="s">
        <v>1503</v>
      </c>
      <c r="E64" s="1171" t="s">
        <v>1495</v>
      </c>
      <c r="F64" s="375">
        <f t="shared" ca="1" si="0"/>
        <v>1.4999999999999999E-2</v>
      </c>
      <c r="I64" s="1931" t="s">
        <v>1579</v>
      </c>
      <c r="J64" s="1932">
        <v>50</v>
      </c>
      <c r="K64" s="1932">
        <v>35</v>
      </c>
      <c r="L64" s="1932">
        <v>60</v>
      </c>
      <c r="M64" s="1933">
        <v>0</v>
      </c>
      <c r="O64" s="1879" t="s">
        <v>1523</v>
      </c>
      <c r="P64" s="1880" t="s">
        <v>1524</v>
      </c>
      <c r="Q64" s="1881" t="s">
        <v>1525</v>
      </c>
      <c r="R64" s="1881" t="s">
        <v>1526</v>
      </c>
    </row>
    <row r="65" spans="1:18" s="1844" customFormat="1" ht="13.5" thickBot="1">
      <c r="A65" s="1203" t="s">
        <v>1504</v>
      </c>
      <c r="B65" s="1171" t="s">
        <v>1454</v>
      </c>
      <c r="C65" s="24">
        <f ca="1">ROUND(C56*F65,1)</f>
        <v>0.5</v>
      </c>
      <c r="D65" s="1185" t="s">
        <v>1455</v>
      </c>
      <c r="E65" s="1171" t="s">
        <v>1456</v>
      </c>
      <c r="F65" s="377">
        <f t="shared" ca="1" si="0"/>
        <v>1.5E-3</v>
      </c>
      <c r="I65" s="1931" t="s">
        <v>1580</v>
      </c>
      <c r="J65" s="1932">
        <v>40</v>
      </c>
      <c r="K65" s="1932">
        <v>30</v>
      </c>
      <c r="L65" s="1932">
        <v>50</v>
      </c>
      <c r="M65" s="1934">
        <v>0.02</v>
      </c>
      <c r="O65" s="1886" t="s">
        <v>1040</v>
      </c>
      <c r="P65" s="1887" t="s">
        <v>1581</v>
      </c>
      <c r="Q65" s="1888">
        <f ca="1">C40+J29</f>
        <v>533</v>
      </c>
      <c r="R65" s="1888" t="s">
        <v>1530</v>
      </c>
    </row>
    <row r="66" spans="1:18" s="1844" customFormat="1" ht="16.5" thickBot="1">
      <c r="A66" s="1203" t="s">
        <v>1505</v>
      </c>
      <c r="B66" s="1171" t="s">
        <v>1440</v>
      </c>
      <c r="C66" s="24" t="e">
        <f ca="1">ROUND(C48*F66,1)</f>
        <v>#N/A</v>
      </c>
      <c r="D66" s="1185" t="s">
        <v>1506</v>
      </c>
      <c r="E66" s="1171" t="s">
        <v>1423</v>
      </c>
      <c r="F66" s="358">
        <f t="shared" ca="1" si="0"/>
        <v>0.01</v>
      </c>
      <c r="O66" s="1886" t="s">
        <v>1041</v>
      </c>
      <c r="P66" s="1887" t="s">
        <v>1559</v>
      </c>
      <c r="Q66" s="1888">
        <f ca="1">L60</f>
        <v>0</v>
      </c>
      <c r="R66" s="1888" t="s">
        <v>1582</v>
      </c>
    </row>
    <row r="67" spans="1:18" s="1844" customFormat="1" ht="16.5" thickBot="1">
      <c r="A67" s="1178" t="s">
        <v>1031</v>
      </c>
      <c r="B67" s="1188" t="s">
        <v>1464</v>
      </c>
      <c r="C67" s="362" t="e">
        <f ca="1">C48-C58</f>
        <v>#N/A</v>
      </c>
      <c r="D67" s="1184" t="s">
        <v>1465</v>
      </c>
      <c r="E67" s="1189"/>
      <c r="F67" s="1190"/>
      <c r="O67" s="1896" t="s">
        <v>1042</v>
      </c>
      <c r="P67" s="1887" t="s">
        <v>1563</v>
      </c>
      <c r="Q67" s="1935">
        <f ca="1">L51</f>
        <v>-75</v>
      </c>
      <c r="R67" s="1888" t="s">
        <v>1583</v>
      </c>
    </row>
    <row r="68" spans="1:18" s="1844" customFormat="1" ht="16.5" thickBot="1">
      <c r="A68" s="1168" t="s">
        <v>1032</v>
      </c>
      <c r="B68" s="1169" t="s">
        <v>1486</v>
      </c>
      <c r="C68" s="347" t="e">
        <f ca="1">ROUND(C67*(1-((1+F70)/(1+F68))^F69)/(F68-F70),0)</f>
        <v>#N/A</v>
      </c>
      <c r="D68" s="1186" t="s">
        <v>1470</v>
      </c>
      <c r="E68" s="1171" t="s">
        <v>1471</v>
      </c>
      <c r="F68" s="358">
        <f ca="1">F40</f>
        <v>0.05</v>
      </c>
      <c r="O68" s="1896" t="s">
        <v>1043</v>
      </c>
      <c r="P68" s="1936" t="s">
        <v>1584</v>
      </c>
      <c r="Q68" s="1888">
        <f ca="1">ROUND(Q69-Q70*Q71,0)</f>
        <v>-4</v>
      </c>
      <c r="R68" s="1888" t="s">
        <v>1051</v>
      </c>
    </row>
    <row r="69" spans="1:18" s="1844" customFormat="1" ht="13.5" thickBot="1">
      <c r="A69" s="1172"/>
      <c r="B69" s="1173"/>
      <c r="C69" s="352"/>
      <c r="D69" s="1191" t="s">
        <v>1474</v>
      </c>
      <c r="E69" s="1171" t="s">
        <v>1475</v>
      </c>
      <c r="F69" s="380">
        <f ca="1">F41</f>
        <v>34.44</v>
      </c>
      <c r="O69" s="1896" t="s">
        <v>1048</v>
      </c>
      <c r="P69" s="1936" t="s">
        <v>1585</v>
      </c>
      <c r="Q69" s="1888">
        <f ca="1">C39</f>
        <v>19</v>
      </c>
      <c r="R69" s="1888" t="s">
        <v>1530</v>
      </c>
    </row>
    <row r="70" spans="1:18" s="1844" customFormat="1" ht="13.5" thickBot="1">
      <c r="A70" s="1175"/>
      <c r="B70" s="1176"/>
      <c r="C70" s="356"/>
      <c r="D70" s="1187"/>
      <c r="E70" s="1171" t="s">
        <v>1478</v>
      </c>
      <c r="F70" s="1277" t="e">
        <f ca="1">'收益法 (2)'!F42</f>
        <v>#N/A</v>
      </c>
      <c r="O70" s="1896" t="s">
        <v>1049</v>
      </c>
      <c r="P70" s="1936" t="s">
        <v>1586</v>
      </c>
      <c r="Q70" s="1888">
        <f ca="1">C13</f>
        <v>333</v>
      </c>
      <c r="R70" s="1888" t="s">
        <v>1530</v>
      </c>
    </row>
    <row r="71" spans="1:18" s="1844" customFormat="1" ht="13.5" thickBot="1">
      <c r="A71" s="1192" t="s">
        <v>1033</v>
      </c>
      <c r="B71" s="1193" t="s">
        <v>1488</v>
      </c>
      <c r="C71" s="383" t="e">
        <f ca="1">ROUND(C68*10000/F71,0)</f>
        <v>#N/A</v>
      </c>
      <c r="D71" s="1194" t="s">
        <v>1489</v>
      </c>
      <c r="E71" s="1195" t="s">
        <v>1490</v>
      </c>
      <c r="F71" s="386">
        <f ca="1">F43</f>
        <v>1553.07</v>
      </c>
      <c r="O71" s="1896" t="s">
        <v>1050</v>
      </c>
      <c r="P71" s="1936" t="s">
        <v>1587</v>
      </c>
      <c r="Q71" s="1899">
        <f ca="1">C76</f>
        <v>7.0000000000000007E-2</v>
      </c>
      <c r="R71" s="1888"/>
    </row>
    <row r="72" spans="1:18" s="1844" customFormat="1" ht="13.5" thickBot="1">
      <c r="B72" s="795"/>
      <c r="C72" s="795"/>
      <c r="O72" s="1896" t="s">
        <v>1044</v>
      </c>
      <c r="P72" s="1887" t="s">
        <v>1565</v>
      </c>
      <c r="Q72" s="1899">
        <f>L52</f>
        <v>0</v>
      </c>
      <c r="R72" s="1888"/>
    </row>
    <row r="73" spans="1:18" ht="16.5" thickBot="1">
      <c r="A73" s="1844"/>
      <c r="B73" s="795"/>
      <c r="C73" s="795"/>
      <c r="D73" s="1844"/>
      <c r="E73" s="1844"/>
      <c r="F73" s="1844"/>
      <c r="O73" s="1896" t="s">
        <v>1045</v>
      </c>
      <c r="P73" s="1887" t="s">
        <v>1568</v>
      </c>
      <c r="Q73" s="1888" t="e">
        <f ca="1">L58</f>
        <v>#DIV/0!</v>
      </c>
      <c r="R73" s="1888" t="s">
        <v>1569</v>
      </c>
    </row>
    <row r="74" spans="1:18" ht="13.5" thickBot="1">
      <c r="A74" s="1844"/>
      <c r="B74" s="318" t="s">
        <v>1588</v>
      </c>
      <c r="C74" s="1938"/>
      <c r="D74" s="1844"/>
      <c r="E74" s="1844"/>
      <c r="F74" s="1844"/>
      <c r="O74" s="1896" t="s">
        <v>1052</v>
      </c>
      <c r="P74" s="1887" t="str">
        <f>K59</f>
        <v>建筑物剩余耐用年限下的土地年期修正系数Kn</v>
      </c>
      <c r="Q74" s="1888" t="e">
        <f ca="1">L59</f>
        <v>#DIV/0!</v>
      </c>
      <c r="R74" s="1888" t="s">
        <v>1570</v>
      </c>
    </row>
    <row r="75" spans="1:18" ht="13.5" thickBot="1">
      <c r="A75" s="1844"/>
      <c r="B75" s="387" t="s">
        <v>1507</v>
      </c>
      <c r="C75" s="388">
        <f ca="1">ROUND(C13*C76,0)</f>
        <v>23</v>
      </c>
      <c r="D75" s="1844"/>
      <c r="E75" s="1844"/>
      <c r="F75" s="1844"/>
      <c r="K75" s="1870"/>
      <c r="L75" s="1844"/>
      <c r="O75" s="1886" t="s">
        <v>1046</v>
      </c>
      <c r="P75" s="1887" t="s">
        <v>1550</v>
      </c>
      <c r="Q75" s="1888">
        <f ca="1">Q65+Q66</f>
        <v>533</v>
      </c>
      <c r="R75" s="1888" t="s">
        <v>1047</v>
      </c>
    </row>
    <row r="76" spans="1:18">
      <c r="B76" s="389" t="s">
        <v>1508</v>
      </c>
      <c r="C76" s="390">
        <f ca="1">INDIRECT("'数据-取费表'!j"&amp;$G$1)</f>
        <v>7.0000000000000007E-2</v>
      </c>
      <c r="I76" s="1844"/>
      <c r="J76" s="1844"/>
      <c r="K76" s="1870"/>
      <c r="L76" s="1844"/>
    </row>
    <row r="77" spans="1:18">
      <c r="B77" s="391" t="s">
        <v>1509</v>
      </c>
      <c r="C77" s="392"/>
      <c r="I77" s="1844"/>
      <c r="J77" s="1844"/>
      <c r="K77" s="1870"/>
      <c r="L77" s="1844"/>
    </row>
    <row r="78" spans="1:18">
      <c r="B78" s="315" t="s">
        <v>1510</v>
      </c>
      <c r="C78" s="393"/>
    </row>
    <row r="79" spans="1:18">
      <c r="B79" s="387" t="s">
        <v>1511</v>
      </c>
      <c r="C79" s="319">
        <f ca="1">1-C80</f>
        <v>-0.21100000000000008</v>
      </c>
    </row>
    <row r="80" spans="1:18">
      <c r="B80" s="387" t="s">
        <v>1512</v>
      </c>
      <c r="C80" s="319">
        <f ca="1">ROUND(C75/C39,3)</f>
        <v>1.2110000000000001</v>
      </c>
      <c r="G80" s="303">
        <v>1</v>
      </c>
      <c r="H80" s="303">
        <v>17000</v>
      </c>
      <c r="I80" s="303">
        <f>H80</f>
        <v>17000</v>
      </c>
    </row>
    <row r="81" spans="2:10">
      <c r="B81" s="315" t="s">
        <v>1513</v>
      </c>
      <c r="C81" s="283"/>
      <c r="G81" s="303">
        <v>2</v>
      </c>
      <c r="I81" s="303">
        <f>H80*0.6</f>
        <v>10200</v>
      </c>
    </row>
    <row r="82" spans="2:10">
      <c r="B82" s="318" t="s">
        <v>1514</v>
      </c>
      <c r="C82" s="320">
        <f ca="1">1-C83</f>
        <v>0.375</v>
      </c>
      <c r="G82" s="303">
        <v>3</v>
      </c>
      <c r="I82" s="303">
        <f>H80*0.5</f>
        <v>8500</v>
      </c>
    </row>
    <row r="83" spans="2:10">
      <c r="B83" s="318" t="s">
        <v>1515</v>
      </c>
      <c r="C83" s="319">
        <f ca="1">ROUND(C13/C40,3)</f>
        <v>0.625</v>
      </c>
      <c r="G83" s="303">
        <v>4</v>
      </c>
      <c r="I83" s="303">
        <f>H80*0.4</f>
        <v>6800</v>
      </c>
    </row>
    <row r="84" spans="2:10">
      <c r="G84" s="303">
        <v>5</v>
      </c>
      <c r="I84" s="303">
        <f>H80*0.35</f>
        <v>5950</v>
      </c>
    </row>
    <row r="85" spans="2:10">
      <c r="I85" s="303">
        <f>SUM(I80:I84)</f>
        <v>48450</v>
      </c>
      <c r="J85" s="303">
        <f>I85/5</f>
        <v>9690</v>
      </c>
    </row>
  </sheetData>
  <sheetProtection formatCells="0" formatColumns="0" formatRows="0"/>
  <mergeCells count="4">
    <mergeCell ref="K53:L53"/>
    <mergeCell ref="B6:B9"/>
    <mergeCell ref="I6:I9"/>
    <mergeCell ref="H36:I36"/>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zoomScale="90" zoomScaleNormal="90" zoomScaleSheetLayoutView="90" workbookViewId="0">
      <selection activeCell="G12" sqref="G12"/>
    </sheetView>
  </sheetViews>
  <sheetFormatPr defaultRowHeight="12.75"/>
  <cols>
    <col min="1" max="1" width="9" style="303" customWidth="1"/>
    <col min="2" max="2" width="20.625" style="707" customWidth="1"/>
    <col min="3" max="3" width="11.875" style="707"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37" customWidth="1"/>
    <col min="12" max="12" width="16.375" style="303" customWidth="1"/>
    <col min="13" max="13" width="13" style="303"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3"/>
  </cols>
  <sheetData>
    <row r="1" spans="1:37" s="338" customFormat="1" ht="21">
      <c r="A1" s="1835" t="s">
        <v>1590</v>
      </c>
      <c r="B1" s="781"/>
      <c r="C1" s="1839" t="s">
        <v>1378</v>
      </c>
      <c r="D1" s="1823" t="s">
        <v>3110</v>
      </c>
      <c r="E1" s="1824" t="s">
        <v>1388</v>
      </c>
      <c r="F1" s="1285" t="e">
        <f ca="1">J53</f>
        <v>#N/A</v>
      </c>
      <c r="G1" s="1838" t="e">
        <f>MATCH(C1,'数据-取费表'!A6:A16,0)+5</f>
        <v>#N/A</v>
      </c>
      <c r="H1" s="751"/>
      <c r="I1" s="340"/>
      <c r="J1" s="340"/>
      <c r="K1" s="752"/>
      <c r="L1" s="340"/>
      <c r="M1" s="340"/>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1591</v>
      </c>
      <c r="B2" s="1846" t="e">
        <f ca="1">ROUND(D2/10000,0)</f>
        <v>#N/A</v>
      </c>
      <c r="C2" s="1847" t="s">
        <v>1592</v>
      </c>
      <c r="D2" s="1940" t="e">
        <f ca="1">C40+J29+L46</f>
        <v>#N/A</v>
      </c>
      <c r="E2" s="1848" t="s">
        <v>1593</v>
      </c>
      <c r="F2" s="1849"/>
      <c r="G2" s="1850"/>
      <c r="H2" s="1842"/>
      <c r="I2" s="1842"/>
      <c r="J2" s="1842"/>
      <c r="K2" s="1843"/>
      <c r="L2" s="1842"/>
      <c r="M2" s="1842"/>
    </row>
    <row r="3" spans="1:37" ht="18" customHeight="1" thickBot="1">
      <c r="A3" s="1851" t="s">
        <v>1594</v>
      </c>
      <c r="B3" s="1852">
        <f ca="1">IF(ISERROR(D2/F43),0,ROUND(D2/F43,0))</f>
        <v>0</v>
      </c>
      <c r="C3" s="1847" t="s">
        <v>1595</v>
      </c>
      <c r="D3" s="1847"/>
      <c r="E3" s="1848"/>
      <c r="F3" s="1849"/>
      <c r="G3" s="1850"/>
      <c r="H3" s="743" t="s">
        <v>1589</v>
      </c>
      <c r="I3" s="1842"/>
      <c r="J3" s="1842"/>
      <c r="K3" s="1843"/>
      <c r="L3" s="1842"/>
      <c r="M3" s="1842"/>
    </row>
    <row r="4" spans="1:37" ht="18" customHeight="1">
      <c r="A4" s="341" t="s">
        <v>1596</v>
      </c>
      <c r="B4" s="342" t="s">
        <v>1597</v>
      </c>
      <c r="C4" s="342" t="s">
        <v>1598</v>
      </c>
      <c r="D4" s="342" t="s">
        <v>1599</v>
      </c>
      <c r="E4" s="343" t="s">
        <v>1600</v>
      </c>
      <c r="F4" s="344"/>
      <c r="G4" s="1853"/>
      <c r="H4" s="341" t="s">
        <v>1596</v>
      </c>
      <c r="I4" s="342" t="s">
        <v>1597</v>
      </c>
      <c r="J4" s="342" t="s">
        <v>1598</v>
      </c>
      <c r="K4" s="342" t="s">
        <v>1599</v>
      </c>
      <c r="L4" s="343" t="s">
        <v>1600</v>
      </c>
      <c r="M4" s="344"/>
    </row>
    <row r="5" spans="1:37" ht="18" customHeight="1">
      <c r="A5" s="345">
        <v>1</v>
      </c>
      <c r="B5" s="346" t="s">
        <v>1601</v>
      </c>
      <c r="C5" s="1294" t="e">
        <f ca="1">C6+C10+C12</f>
        <v>#N/A</v>
      </c>
      <c r="D5" s="1825" t="s">
        <v>1602</v>
      </c>
      <c r="E5" s="1295"/>
      <c r="F5" s="1296"/>
      <c r="G5" s="1853"/>
      <c r="H5" s="345">
        <v>1</v>
      </c>
      <c r="I5" s="346" t="s">
        <v>1601</v>
      </c>
      <c r="J5" s="1294" t="e">
        <f ca="1">J6+J10+J12</f>
        <v>#N/A</v>
      </c>
      <c r="K5" s="1825" t="s">
        <v>1602</v>
      </c>
      <c r="L5" s="1295"/>
      <c r="M5" s="1296"/>
    </row>
    <row r="6" spans="1:37" ht="18" customHeight="1">
      <c r="A6" s="1293" t="s">
        <v>1035</v>
      </c>
      <c r="B6" s="3313" t="s">
        <v>1404</v>
      </c>
      <c r="C6" s="1298" t="e">
        <f ca="1">ROUND(F6*F8*F7*(1-F9),0)</f>
        <v>#N/A</v>
      </c>
      <c r="D6" s="165" t="s">
        <v>3024</v>
      </c>
      <c r="E6" s="348" t="s">
        <v>1406</v>
      </c>
      <c r="F6" s="349" t="e">
        <f ca="1">INDIRECT("'数据-取费表'!u"&amp;$G$1)</f>
        <v>#N/A</v>
      </c>
      <c r="G6" s="1853"/>
      <c r="H6" s="1293" t="s">
        <v>1035</v>
      </c>
      <c r="I6" s="3313" t="s">
        <v>1404</v>
      </c>
      <c r="J6" s="347" t="e">
        <f ca="1">ROUND(M6*M8*M7*(1-M9),0)</f>
        <v>#N/A</v>
      </c>
      <c r="K6" s="1836" t="s">
        <v>3027</v>
      </c>
      <c r="L6" s="348" t="s">
        <v>1406</v>
      </c>
      <c r="M6" s="349" t="e">
        <f ca="1">INDIRECT("'数据-取费表'!z"&amp;$G$1)</f>
        <v>#N/A</v>
      </c>
    </row>
    <row r="7" spans="1:37" ht="18" customHeight="1">
      <c r="A7" s="1297"/>
      <c r="B7" s="3314"/>
      <c r="C7" s="1299"/>
      <c r="D7" s="353"/>
      <c r="E7" s="1300" t="s">
        <v>1407</v>
      </c>
      <c r="F7" s="349" t="e">
        <f ca="1">IF(INDIRECT("'数据-取费表'!ah"&amp;$G$1)="",INDIRECT("'数据-取费表'!k"&amp;$G$1),INDIRECT("'数据-取费表'!ah"&amp;$G$1))</f>
        <v>#N/A</v>
      </c>
      <c r="G7" s="1853"/>
      <c r="H7" s="350"/>
      <c r="I7" s="3314"/>
      <c r="J7" s="352"/>
      <c r="K7" s="353"/>
      <c r="L7" s="348" t="s">
        <v>1407</v>
      </c>
      <c r="M7" s="349" t="e">
        <f ca="1">F7</f>
        <v>#N/A</v>
      </c>
    </row>
    <row r="8" spans="1:37" ht="18" customHeight="1">
      <c r="A8" s="350"/>
      <c r="B8" s="3314"/>
      <c r="C8" s="352"/>
      <c r="D8" s="353"/>
      <c r="E8" s="348" t="s">
        <v>1408</v>
      </c>
      <c r="F8" s="349" t="e">
        <f ca="1">INDIRECT("'数据-取费表'!ai"&amp;$G$1)</f>
        <v>#N/A</v>
      </c>
      <c r="G8" s="1853"/>
      <c r="H8" s="350"/>
      <c r="I8" s="3314"/>
      <c r="J8" s="352"/>
      <c r="K8" s="353"/>
      <c r="L8" s="348" t="s">
        <v>1408</v>
      </c>
      <c r="M8" s="349" t="e">
        <f ca="1">INDIRECT("'数据-取费表'!ai"&amp;$G$1)</f>
        <v>#N/A</v>
      </c>
    </row>
    <row r="9" spans="1:37" ht="18" customHeight="1">
      <c r="A9" s="350"/>
      <c r="B9" s="3315"/>
      <c r="C9" s="352"/>
      <c r="D9" s="353"/>
      <c r="E9" s="348" t="s">
        <v>1409</v>
      </c>
      <c r="F9" s="358" t="e">
        <f ca="1">INDIRECT("'数据-取费表'!w"&amp;$G$1)</f>
        <v>#N/A</v>
      </c>
      <c r="G9" s="1853"/>
      <c r="H9" s="350"/>
      <c r="I9" s="3315"/>
      <c r="J9" s="352"/>
      <c r="K9" s="353"/>
      <c r="L9" s="359" t="s">
        <v>1409</v>
      </c>
      <c r="M9" s="360" t="e">
        <f ca="1">INDIRECT("'数据-取费表'!ab"&amp;$G$1)</f>
        <v>#N/A</v>
      </c>
    </row>
    <row r="10" spans="1:37" ht="18" customHeight="1">
      <c r="A10" s="1293" t="s">
        <v>1039</v>
      </c>
      <c r="B10" s="1826" t="s">
        <v>1410</v>
      </c>
      <c r="C10" s="362" t="e">
        <f ca="1">ROUND(IF(F10="押一",F6*F8*F7/12*F11,IF(F10="押二",F6*F8*F7/12*2*F11,IF(F10="押三",F6*F8*F7/12*3*F11,C11*F11))),0)</f>
        <v>#N/A</v>
      </c>
      <c r="D10" s="1827" t="s">
        <v>3025</v>
      </c>
      <c r="E10" s="359" t="s">
        <v>1412</v>
      </c>
      <c r="F10" s="1368" t="s">
        <v>3113</v>
      </c>
      <c r="G10" s="1853"/>
      <c r="H10" s="1293" t="s">
        <v>1039</v>
      </c>
      <c r="I10" s="1826" t="s">
        <v>1410</v>
      </c>
      <c r="J10" s="347">
        <f ca="1">ROUND(IF(M10="押一",M6*M8*M7/12*M11,IF(M10="押二",M6*M8*M7/12*2*M11,IF(M10="押三",M6*M8*M7/12*3*M11,J11*M11))),0)</f>
        <v>0</v>
      </c>
      <c r="K10" s="1837" t="s">
        <v>3026</v>
      </c>
      <c r="L10" s="359" t="s">
        <v>1412</v>
      </c>
      <c r="M10" s="1368"/>
    </row>
    <row r="11" spans="1:37" ht="18" customHeight="1">
      <c r="A11" s="354"/>
      <c r="B11" s="1828" t="s">
        <v>1603</v>
      </c>
      <c r="C11" s="1180"/>
      <c r="D11" s="353"/>
      <c r="E11" s="359" t="s">
        <v>1413</v>
      </c>
      <c r="F11" s="360">
        <f ca="1">'数据-取费表'!B39</f>
        <v>1.4999999999999999E-2</v>
      </c>
      <c r="G11" s="1853"/>
      <c r="H11" s="1301"/>
      <c r="I11" s="1828" t="s">
        <v>1604</v>
      </c>
      <c r="J11" s="1180"/>
      <c r="K11" s="747"/>
      <c r="L11" s="359" t="s">
        <v>1413</v>
      </c>
      <c r="M11" s="1058">
        <f ca="1">'数据-取费表'!B39</f>
        <v>1.4999999999999999E-2</v>
      </c>
    </row>
    <row r="12" spans="1:37" ht="18" customHeight="1" thickBot="1">
      <c r="A12" s="1335" t="s">
        <v>1075</v>
      </c>
      <c r="B12" s="1829" t="s">
        <v>1414</v>
      </c>
      <c r="C12" s="1336"/>
      <c r="D12" s="1337"/>
      <c r="E12" s="1342"/>
      <c r="F12" s="1338"/>
      <c r="G12" s="1853"/>
      <c r="H12" s="1335" t="s">
        <v>1075</v>
      </c>
      <c r="I12" s="1829" t="s">
        <v>1414</v>
      </c>
      <c r="J12" s="1336"/>
      <c r="K12" s="1350"/>
      <c r="L12" s="1342"/>
      <c r="M12" s="1351"/>
    </row>
    <row r="13" spans="1:37" ht="18" customHeight="1" thickTop="1">
      <c r="A13" s="1331">
        <v>2</v>
      </c>
      <c r="B13" s="1332" t="s">
        <v>1415</v>
      </c>
      <c r="C13" s="356" t="e">
        <f ca="1">ROUND(C29*F13,0)</f>
        <v>#N/A</v>
      </c>
      <c r="D13" s="1333" t="s">
        <v>1416</v>
      </c>
      <c r="E13" s="1333" t="s">
        <v>1417</v>
      </c>
      <c r="F13" s="1334" t="e">
        <f ca="1">INDIRECT("'数据-取费表'!y"&amp;$G$1)</f>
        <v>#N/A</v>
      </c>
      <c r="G13" s="1853"/>
      <c r="H13" s="1331">
        <v>2</v>
      </c>
      <c r="I13" s="1332" t="s">
        <v>1415</v>
      </c>
      <c r="J13" s="1292" t="e">
        <f ca="1">ROUND(J14*J15,0)</f>
        <v>#N/A</v>
      </c>
      <c r="K13" s="1339" t="s">
        <v>1416</v>
      </c>
      <c r="L13" s="1854"/>
      <c r="M13" s="1855"/>
    </row>
    <row r="14" spans="1:37" ht="18" customHeight="1">
      <c r="A14" s="1203" t="s">
        <v>1034</v>
      </c>
      <c r="B14" s="348" t="s">
        <v>1418</v>
      </c>
      <c r="C14" s="364" t="e">
        <f ca="1">ROUND(INDIRECT("'数据-取费表'!l"&amp;$G$1)*F43+'数据-取费表'!L14*INDIRECT("'数据-取费表'!S"&amp;$G$1),0)</f>
        <v>#N/A</v>
      </c>
      <c r="D14" s="1803" t="s">
        <v>1419</v>
      </c>
      <c r="E14" s="1797"/>
      <c r="F14" s="365"/>
      <c r="G14" s="1853"/>
      <c r="H14" s="1203" t="s">
        <v>1035</v>
      </c>
      <c r="I14" s="348" t="s">
        <v>1420</v>
      </c>
      <c r="J14" s="24" t="e">
        <f ca="1">C29</f>
        <v>#N/A</v>
      </c>
      <c r="K14" s="15"/>
      <c r="L14" s="981"/>
      <c r="M14" s="982"/>
    </row>
    <row r="15" spans="1:37" s="1860" customFormat="1" ht="18" customHeight="1" thickBot="1">
      <c r="A15" s="1203" t="s">
        <v>1036</v>
      </c>
      <c r="B15" s="348" t="s">
        <v>1421</v>
      </c>
      <c r="C15" s="24" t="e">
        <f ca="1">ROUND(C14*F15,0)</f>
        <v>#N/A</v>
      </c>
      <c r="D15" s="366" t="s">
        <v>1422</v>
      </c>
      <c r="E15" s="366" t="s">
        <v>1423</v>
      </c>
      <c r="F15" s="367">
        <f>'数据-取费表'!B33</f>
        <v>0.03</v>
      </c>
      <c r="G15" s="1856"/>
      <c r="H15" s="1341" t="s">
        <v>1039</v>
      </c>
      <c r="I15" s="1342" t="s">
        <v>1417</v>
      </c>
      <c r="J15" s="1351" t="e">
        <f ca="1">INDIRECT("'数据-取费表'!ad"&amp;$G$1)</f>
        <v>#N/A</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1390</v>
      </c>
      <c r="B16" s="348" t="s">
        <v>1424</v>
      </c>
      <c r="C16" s="24" t="e">
        <f ca="1">ROUND(INDIRECT("'数据-取费表'!l"&amp;$G$1)*F43*F16,0)</f>
        <v>#N/A</v>
      </c>
      <c r="D16" s="348" t="s">
        <v>1422</v>
      </c>
      <c r="E16" s="348" t="s">
        <v>1423</v>
      </c>
      <c r="F16" s="368" t="e">
        <f ca="1">IF(INDIRECT("'数据-取费表'!c"&amp;$G$1)="住宅",'数据-取费表'!B34,0)</f>
        <v>#N/A</v>
      </c>
      <c r="G16" s="1853"/>
      <c r="H16" s="1331" t="s">
        <v>1030</v>
      </c>
      <c r="I16" s="1332" t="s">
        <v>1425</v>
      </c>
      <c r="J16" s="356" t="e">
        <f ca="1">ROUND(J17+J22+J23+J24,0)</f>
        <v>#N/A</v>
      </c>
      <c r="K16" s="1339" t="s">
        <v>1426</v>
      </c>
      <c r="L16" s="1340"/>
      <c r="M16" s="1296"/>
    </row>
    <row r="17" spans="1:37" s="1860" customFormat="1" ht="18" customHeight="1">
      <c r="A17" s="1203" t="s">
        <v>1391</v>
      </c>
      <c r="B17" s="348" t="s">
        <v>1427</v>
      </c>
      <c r="C17" s="24" t="e">
        <f ca="1">ROUND(F17*(F43+INDIRECT("'数据-取费表'!S"&amp;$G$1)),0)</f>
        <v>#N/A</v>
      </c>
      <c r="D17" s="348" t="s">
        <v>1428</v>
      </c>
      <c r="E17" s="348" t="s">
        <v>1429</v>
      </c>
      <c r="F17" s="26">
        <f>'数据-取费表'!B35</f>
        <v>150</v>
      </c>
      <c r="G17" s="1856"/>
      <c r="H17" s="1203" t="s">
        <v>1035</v>
      </c>
      <c r="I17" s="348" t="s">
        <v>1430</v>
      </c>
      <c r="J17" s="24" t="e">
        <f ca="1">ROUND(IF(项目基本情况!B11="自然人",J5*M17,J18+J19+J20),0)</f>
        <v>#N/A</v>
      </c>
      <c r="K17" s="1803" t="s">
        <v>1431</v>
      </c>
      <c r="L17" s="1801" t="s">
        <v>1432</v>
      </c>
      <c r="M17" s="369"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1392</v>
      </c>
      <c r="B18" s="348" t="s">
        <v>1433</v>
      </c>
      <c r="C18" s="24" t="e">
        <f ca="1">ROUND(C14*F18,0)</f>
        <v>#N/A</v>
      </c>
      <c r="D18" s="348" t="s">
        <v>1422</v>
      </c>
      <c r="E18" s="348" t="s">
        <v>1423</v>
      </c>
      <c r="F18" s="368">
        <f>'数据-取费表'!B36</f>
        <v>1.4999999999999999E-2</v>
      </c>
      <c r="G18" s="1856"/>
      <c r="H18" s="1203" t="s">
        <v>1034</v>
      </c>
      <c r="I18" s="348" t="s">
        <v>1434</v>
      </c>
      <c r="J18" s="24" t="e">
        <f ca="1">ROUND(J5*M18/(1+'数据-取费表'!C42),0)</f>
        <v>#N/A</v>
      </c>
      <c r="K18" s="1801" t="s">
        <v>1435</v>
      </c>
      <c r="L18" s="348" t="s">
        <v>1423</v>
      </c>
      <c r="M18" s="368">
        <f>'数据-取费表'!B41</f>
        <v>6.1600000000000002E-2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8" t="s">
        <v>1436</v>
      </c>
      <c r="C19" s="24" t="e">
        <f ca="1">SUM(C14:C18)</f>
        <v>#N/A</v>
      </c>
      <c r="D19" s="140" t="s">
        <v>1437</v>
      </c>
      <c r="E19" s="1821"/>
      <c r="F19" s="26"/>
      <c r="G19" s="1853"/>
      <c r="H19" s="1203" t="s">
        <v>1036</v>
      </c>
      <c r="I19" s="348" t="s">
        <v>1438</v>
      </c>
      <c r="J19" s="24" t="e">
        <f ca="1">IF(K19="按租金收入计税",ROUND(J5*M19,0),ROUND(C29*M19*0.7,0))</f>
        <v>#N/A</v>
      </c>
      <c r="K19" s="1830" t="s">
        <v>1439</v>
      </c>
      <c r="L19" s="348" t="s">
        <v>1423</v>
      </c>
      <c r="M19" s="368">
        <f>IF(K19="按租金收入计税",'数据-取费表'!B51,'数据-取费表'!B50)</f>
        <v>1.2E-2</v>
      </c>
    </row>
    <row r="20" spans="1:37" s="1860" customFormat="1" ht="18" customHeight="1">
      <c r="A20" s="1203" t="s">
        <v>1039</v>
      </c>
      <c r="B20" s="348" t="s">
        <v>1440</v>
      </c>
      <c r="C20" s="24" t="e">
        <f ca="1">ROUND(C19*F20,0)</f>
        <v>#N/A</v>
      </c>
      <c r="D20" s="370" t="s">
        <v>1441</v>
      </c>
      <c r="E20" s="348" t="s">
        <v>1423</v>
      </c>
      <c r="F20" s="368">
        <f>'数据-取费表'!B37</f>
        <v>0.02</v>
      </c>
      <c r="G20" s="1856"/>
      <c r="H20" s="1203" t="s">
        <v>1390</v>
      </c>
      <c r="I20" s="165" t="s">
        <v>1442</v>
      </c>
      <c r="J20" s="25" t="e">
        <f ca="1">ROUND(M20*M21,0)</f>
        <v>#N/A</v>
      </c>
      <c r="K20" s="371" t="s">
        <v>1443</v>
      </c>
      <c r="L20" s="348" t="s">
        <v>1444</v>
      </c>
      <c r="M20" s="372">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8" t="s">
        <v>1445</v>
      </c>
      <c r="C21" s="24" t="s">
        <v>1</v>
      </c>
      <c r="D21" s="370" t="s">
        <v>1446</v>
      </c>
      <c r="E21" s="348" t="s">
        <v>1447</v>
      </c>
      <c r="F21" s="368">
        <f>'数据-取费表'!B38</f>
        <v>0.02</v>
      </c>
      <c r="G21" s="1856"/>
      <c r="H21" s="373"/>
      <c r="I21" s="357"/>
      <c r="J21" s="29"/>
      <c r="K21" s="374"/>
      <c r="L21" s="348" t="s">
        <v>1448</v>
      </c>
      <c r="M21" s="349"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1393</v>
      </c>
      <c r="B22" s="348" t="s">
        <v>1449</v>
      </c>
      <c r="C22" s="24"/>
      <c r="D22" s="140" t="str">
        <f>IF(F23&lt;=1,"单利计息。","复利计息。")&amp;"建造成本、管理费用、销售费用产生的利息。"</f>
        <v>单利计息。建造成本、管理费用、销售费用产生的利息。</v>
      </c>
      <c r="E22" s="1821"/>
      <c r="F22" s="26"/>
      <c r="G22" s="1853"/>
      <c r="H22" s="1203" t="s">
        <v>1039</v>
      </c>
      <c r="I22" s="348" t="s">
        <v>1450</v>
      </c>
      <c r="J22" s="24" t="e">
        <f ca="1">ROUND(J14*M22,0)</f>
        <v>#N/A</v>
      </c>
      <c r="K22" s="1801" t="s">
        <v>1451</v>
      </c>
      <c r="L22" s="348" t="s">
        <v>1423</v>
      </c>
      <c r="M22" s="375" t="e">
        <f ca="1">INDIRECT("'数据-取费表'!Ak"&amp;$G$1)</f>
        <v>#N/A</v>
      </c>
    </row>
    <row r="23" spans="1:37" s="1860" customFormat="1" ht="18" customHeight="1">
      <c r="A23" s="1203" t="s">
        <v>1034</v>
      </c>
      <c r="B23" s="348" t="s">
        <v>1452</v>
      </c>
      <c r="C23" s="24" t="e">
        <f ca="1">IF('数据-取费表'!B22&lt;=1,ROUND(C19*F24*F23/2,0)+ROUND(C20*F24*F23/2,0),ROUND(C19*(POWER((1+F24),F23/2)-1),0)+ROUND(C20*(POWER((1+F24),F23/2)-1),0))</f>
        <v>#N/A</v>
      </c>
      <c r="D23" s="376" t="str">
        <f>IF(F23&lt;=1,"(建造成本+管理费用)×利率×(建设周期÷2)","(建造成本+管理费用)×((1+利率)^(建设周期÷2)-1)")</f>
        <v>(建造成本+管理费用)×利率×(建设周期÷2)</v>
      </c>
      <c r="E23" s="348" t="s">
        <v>1453</v>
      </c>
      <c r="F23" s="372">
        <f>'数据-取费表'!B20</f>
        <v>1</v>
      </c>
      <c r="G23" s="1856"/>
      <c r="H23" s="1203" t="s">
        <v>1075</v>
      </c>
      <c r="I23" s="348" t="s">
        <v>1454</v>
      </c>
      <c r="J23" s="24" t="e">
        <f ca="1">ROUND(J13*M23,0)</f>
        <v>#N/A</v>
      </c>
      <c r="K23" s="1801" t="s">
        <v>1455</v>
      </c>
      <c r="L23" s="348" t="s">
        <v>1456</v>
      </c>
      <c r="M23" s="377"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1457</v>
      </c>
      <c r="B24" s="348" t="s">
        <v>1458</v>
      </c>
      <c r="C24" s="24">
        <f ca="1">ROUND(IF('数据-取费表'!B22&lt;=1,F21*F24*F23/2,F21*(POWER((1+F24),F23/2)-1)),4)</f>
        <v>4.0000000000000002E-4</v>
      </c>
      <c r="D24" s="376" t="str">
        <f>IF(F23&lt;=1,"销售费用×利率×(建设周期÷2)","销售费用×((1+利率)^(建设周期÷2)-1)")</f>
        <v>销售费用×利率×(建设周期÷2)</v>
      </c>
      <c r="E24" s="348" t="s">
        <v>1459</v>
      </c>
      <c r="F24" s="378">
        <f ca="1">'数据-取费表'!B40</f>
        <v>4.3499999999999997E-2</v>
      </c>
      <c r="G24" s="1856"/>
      <c r="H24" s="1341" t="s">
        <v>1394</v>
      </c>
      <c r="I24" s="1342" t="s">
        <v>1440</v>
      </c>
      <c r="J24" s="1343" t="e">
        <f ca="1">ROUND(J5*M24,0)</f>
        <v>#N/A</v>
      </c>
      <c r="K24" s="1344" t="s">
        <v>1460</v>
      </c>
      <c r="L24" s="1342" t="s">
        <v>1456</v>
      </c>
      <c r="M24" s="1338"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1461</v>
      </c>
      <c r="B25" s="348" t="s">
        <v>1462</v>
      </c>
      <c r="C25" s="24"/>
      <c r="D25" s="140" t="s">
        <v>1463</v>
      </c>
      <c r="E25" s="1821"/>
      <c r="F25" s="26"/>
      <c r="G25" s="1853"/>
      <c r="H25" s="1331" t="s">
        <v>1031</v>
      </c>
      <c r="I25" s="1346" t="s">
        <v>1464</v>
      </c>
      <c r="J25" s="356" t="e">
        <f ca="1">J5-J16</f>
        <v>#N/A</v>
      </c>
      <c r="K25" s="1347" t="s">
        <v>1465</v>
      </c>
      <c r="L25" s="1348"/>
      <c r="M25" s="1349"/>
    </row>
    <row r="26" spans="1:37" ht="18" customHeight="1">
      <c r="A26" s="1203" t="s">
        <v>1034</v>
      </c>
      <c r="B26" s="348" t="s">
        <v>1466</v>
      </c>
      <c r="C26" s="24" t="e">
        <f ca="1">ROUND((C19+C20)*F26,0)</f>
        <v>#N/A</v>
      </c>
      <c r="D26" s="370" t="s">
        <v>1467</v>
      </c>
      <c r="E26" s="359" t="s">
        <v>1468</v>
      </c>
      <c r="F26" s="358" t="e">
        <f ca="1">INDIRECT("'数据-取费表'!q"&amp;$G$1)</f>
        <v>#N/A</v>
      </c>
      <c r="G26" s="1853"/>
      <c r="H26" s="345" t="s">
        <v>1032</v>
      </c>
      <c r="I26" s="346" t="s">
        <v>1469</v>
      </c>
      <c r="J26" s="347" t="e">
        <f ca="1">IF(J5&lt;&gt;0,ROUND(J25*(1-((1+M28)/(1+M26))^M27)/(M26-M28),0),0)</f>
        <v>#N/A</v>
      </c>
      <c r="K26" s="371" t="s">
        <v>1470</v>
      </c>
      <c r="L26" s="348" t="s">
        <v>1471</v>
      </c>
      <c r="M26" s="358" t="e">
        <f ca="1">INDIRECT("'数据-取费表'!I"&amp;$G$1)</f>
        <v>#N/A</v>
      </c>
    </row>
    <row r="27" spans="1:37" ht="18" customHeight="1">
      <c r="A27" s="1203" t="s">
        <v>1036</v>
      </c>
      <c r="B27" s="348" t="s">
        <v>1472</v>
      </c>
      <c r="C27" s="24" t="e">
        <f ca="1">ROUND(F21*F26,4)</f>
        <v>#N/A</v>
      </c>
      <c r="D27" s="370" t="s">
        <v>1473</v>
      </c>
      <c r="E27" s="366"/>
      <c r="F27" s="367"/>
      <c r="G27" s="1853"/>
      <c r="H27" s="350"/>
      <c r="I27" s="351"/>
      <c r="J27" s="352"/>
      <c r="K27" s="379" t="s">
        <v>1474</v>
      </c>
      <c r="L27" s="348" t="s">
        <v>1475</v>
      </c>
      <c r="M27" s="380" t="e">
        <f ca="1">INDIRECT("'数据-取费表'!ag"&amp;$G$1)</f>
        <v>#N/A</v>
      </c>
    </row>
    <row r="28" spans="1:37" s="1860" customFormat="1" ht="18" customHeight="1">
      <c r="A28" s="1203" t="s">
        <v>1037</v>
      </c>
      <c r="B28" s="348" t="s">
        <v>1476</v>
      </c>
      <c r="C28" s="24">
        <f>ROUND(F28/(1+'数据-取费表'!C42),4)</f>
        <v>5.8299999999999998E-2</v>
      </c>
      <c r="D28" s="370" t="s">
        <v>1477</v>
      </c>
      <c r="E28" s="348" t="s">
        <v>1423</v>
      </c>
      <c r="F28" s="368">
        <f>'数据-取费表'!B41</f>
        <v>6.1600000000000002E-2</v>
      </c>
      <c r="G28" s="1856"/>
      <c r="H28" s="354"/>
      <c r="I28" s="355"/>
      <c r="J28" s="356"/>
      <c r="K28" s="374"/>
      <c r="L28" s="348" t="s">
        <v>1478</v>
      </c>
      <c r="M28" s="358"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1479</v>
      </c>
      <c r="C29" s="1343" t="e">
        <f ca="1">ROUND((C19+C20+C23+C26)/(1-F21-C24-C27-C28),0)</f>
        <v>#N/A</v>
      </c>
      <c r="D29" s="1344"/>
      <c r="E29" s="1342"/>
      <c r="F29" s="1345"/>
      <c r="G29" s="1856"/>
      <c r="H29" s="381" t="s">
        <v>1033</v>
      </c>
      <c r="I29" s="382" t="s">
        <v>1480</v>
      </c>
      <c r="J29" s="383" t="e">
        <f ca="1">ROUND(J26/(1+F40)^F41,0)</f>
        <v>#N/A</v>
      </c>
      <c r="K29" s="384" t="s">
        <v>1481</v>
      </c>
      <c r="L29" s="385"/>
      <c r="M29" s="386"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1425</v>
      </c>
      <c r="C30" s="356" t="e">
        <f ca="1">ROUND(C31+C36+C37+C38,0)</f>
        <v>#N/A</v>
      </c>
      <c r="D30" s="1339" t="s">
        <v>1426</v>
      </c>
      <c r="E30" s="1340"/>
      <c r="F30" s="1296"/>
      <c r="G30" s="1853"/>
      <c r="H30" s="744"/>
      <c r="I30" s="745"/>
      <c r="J30" s="746"/>
      <c r="K30" s="747"/>
      <c r="L30" s="748"/>
      <c r="M30" s="749"/>
    </row>
    <row r="31" spans="1:37" ht="18" customHeight="1">
      <c r="A31" s="1203" t="s">
        <v>1035</v>
      </c>
      <c r="B31" s="348" t="s">
        <v>1430</v>
      </c>
      <c r="C31" s="24" t="e">
        <f ca="1">ROUND(IF(项目基本情况!B11="自然人",C5*F31,C32+C33+C34),0)</f>
        <v>#N/A</v>
      </c>
      <c r="D31" s="1803" t="s">
        <v>1431</v>
      </c>
      <c r="E31" s="1801" t="s">
        <v>1482</v>
      </c>
      <c r="F31" s="369"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8" t="s">
        <v>1434</v>
      </c>
      <c r="C32" s="24" t="e">
        <f ca="1">IF(项目基本情况!B11="自然人","——",ROUND(C5*F32/(1+'数据-取费表'!C42),0))</f>
        <v>#N/A</v>
      </c>
      <c r="D32" s="1801" t="s">
        <v>1435</v>
      </c>
      <c r="E32" s="348" t="s">
        <v>1423</v>
      </c>
      <c r="F32" s="378">
        <f>'数据-取费表'!B41</f>
        <v>6.1600000000000002E-2</v>
      </c>
      <c r="G32" s="1853"/>
      <c r="H32" s="744"/>
      <c r="I32" s="745"/>
      <c r="J32" s="746"/>
      <c r="K32" s="747"/>
      <c r="L32" s="748"/>
      <c r="M32" s="749"/>
    </row>
    <row r="33" spans="1:18" ht="18" customHeight="1">
      <c r="A33" s="1203" t="s">
        <v>1036</v>
      </c>
      <c r="B33" s="348" t="s">
        <v>1438</v>
      </c>
      <c r="C33" s="24" t="e">
        <f ca="1">IF(项目基本情况!B11="自然人","——",IF(D33="按租金收入计税",ROUND(C5*F33,0),IF(D33="按房产原值计税",ROUND(C29*F33*0.7,0),INDIRECT("'数据-取费表'!Aj"&amp;$G$1))))</f>
        <v>#N/A</v>
      </c>
      <c r="D33" s="1830" t="s">
        <v>1439</v>
      </c>
      <c r="E33" s="348" t="s">
        <v>1423</v>
      </c>
      <c r="F33" s="368">
        <f>IF(D33="按票据","——",IF(D33="按租金收入计税",'数据-取费表'!B51,'数据-取费表'!B50))</f>
        <v>1.2E-2</v>
      </c>
      <c r="G33" s="1853"/>
      <c r="H33" s="1861"/>
      <c r="I33" s="1862"/>
      <c r="J33" s="1863"/>
      <c r="K33" s="1864"/>
      <c r="L33" s="1861"/>
      <c r="M33" s="1861"/>
    </row>
    <row r="34" spans="1:18" ht="18" customHeight="1">
      <c r="A34" s="1293" t="s">
        <v>1390</v>
      </c>
      <c r="B34" s="165" t="s">
        <v>1442</v>
      </c>
      <c r="C34" s="25" t="e">
        <f ca="1">IF(项目基本情况!B11="自然人","——",ROUND(F34*F35,))</f>
        <v>#N/A</v>
      </c>
      <c r="D34" s="371" t="s">
        <v>1443</v>
      </c>
      <c r="E34" s="348" t="s">
        <v>1444</v>
      </c>
      <c r="F34" s="372">
        <f>'数据-取费表'!B52</f>
        <v>3</v>
      </c>
      <c r="G34" s="1853"/>
      <c r="H34" s="744"/>
      <c r="I34" s="1862"/>
      <c r="J34" s="1863"/>
      <c r="K34" s="1865"/>
      <c r="L34" s="1866"/>
      <c r="M34" s="1866"/>
    </row>
    <row r="35" spans="1:18" ht="18" customHeight="1">
      <c r="A35" s="1355"/>
      <c r="B35" s="1353"/>
      <c r="C35" s="29"/>
      <c r="D35" s="374"/>
      <c r="E35" s="348" t="s">
        <v>1448</v>
      </c>
      <c r="F35" s="349" t="e">
        <f ca="1">INDIRECT("'数据-取费表'!r"&amp;$G$1)</f>
        <v>#N/A</v>
      </c>
      <c r="G35" s="1853"/>
      <c r="H35" s="744"/>
      <c r="I35" s="1862"/>
      <c r="J35" s="1863"/>
      <c r="K35" s="1864"/>
      <c r="L35" s="1861"/>
      <c r="M35" s="1861"/>
    </row>
    <row r="36" spans="1:18" ht="18" customHeight="1">
      <c r="A36" s="1354" t="s">
        <v>1039</v>
      </c>
      <c r="B36" s="348" t="s">
        <v>1450</v>
      </c>
      <c r="C36" s="24" t="e">
        <f ca="1">ROUND(C29*F36,0)</f>
        <v>#N/A</v>
      </c>
      <c r="D36" s="1801" t="s">
        <v>1483</v>
      </c>
      <c r="E36" s="348" t="s">
        <v>1423</v>
      </c>
      <c r="F36" s="375" t="e">
        <f ca="1">INDIRECT("'数据-取费表'!Ak"&amp;$G$1)</f>
        <v>#N/A</v>
      </c>
      <c r="G36" s="1853"/>
      <c r="H36" s="1861"/>
      <c r="I36" s="1862"/>
      <c r="J36" s="1863"/>
      <c r="K36" s="750"/>
      <c r="L36" s="1861"/>
      <c r="M36" s="1861"/>
    </row>
    <row r="37" spans="1:18" ht="18" customHeight="1">
      <c r="A37" s="1203" t="s">
        <v>1075</v>
      </c>
      <c r="B37" s="348" t="s">
        <v>1454</v>
      </c>
      <c r="C37" s="24" t="e">
        <f ca="1">ROUND(C13*F37,0)</f>
        <v>#N/A</v>
      </c>
      <c r="D37" s="1801" t="s">
        <v>1455</v>
      </c>
      <c r="E37" s="348" t="s">
        <v>1456</v>
      </c>
      <c r="F37" s="377" t="e">
        <f ca="1">INDIRECT("'数据-取费表'!Al"&amp;$G$1)</f>
        <v>#N/A</v>
      </c>
      <c r="G37" s="1853"/>
      <c r="H37" s="1861"/>
      <c r="I37" s="1862"/>
      <c r="J37" s="1863"/>
      <c r="K37" s="750"/>
      <c r="L37" s="1861"/>
      <c r="M37" s="1861"/>
    </row>
    <row r="38" spans="1:18" ht="18" customHeight="1" thickBot="1">
      <c r="A38" s="1341" t="s">
        <v>1394</v>
      </c>
      <c r="B38" s="1342" t="s">
        <v>1440</v>
      </c>
      <c r="C38" s="1343" t="e">
        <f ca="1">ROUND(C5*F38,1)</f>
        <v>#N/A</v>
      </c>
      <c r="D38" s="1344" t="s">
        <v>1460</v>
      </c>
      <c r="E38" s="1342" t="s">
        <v>1456</v>
      </c>
      <c r="F38" s="1338" t="e">
        <f ca="1">INDIRECT("'数据-取费表'!Am"&amp;$G$1)</f>
        <v>#N/A</v>
      </c>
      <c r="G38" s="1853"/>
      <c r="H38" s="1861"/>
      <c r="I38" s="1862"/>
      <c r="J38" s="1863"/>
      <c r="K38" s="1867"/>
      <c r="L38" s="1861"/>
      <c r="M38" s="1861"/>
    </row>
    <row r="39" spans="1:18" ht="24.6" customHeight="1" thickTop="1">
      <c r="A39" s="1331" t="s">
        <v>1031</v>
      </c>
      <c r="B39" s="1346" t="s">
        <v>1484</v>
      </c>
      <c r="C39" s="356" t="e">
        <f ca="1">C5-C30</f>
        <v>#N/A</v>
      </c>
      <c r="D39" s="1347" t="s">
        <v>1485</v>
      </c>
      <c r="E39" s="1348"/>
      <c r="F39" s="1349"/>
      <c r="G39" s="1853"/>
      <c r="H39" s="1861"/>
      <c r="I39" s="1862"/>
      <c r="J39" s="1863"/>
      <c r="K39" s="1867"/>
      <c r="L39" s="1861"/>
      <c r="M39" s="1861"/>
    </row>
    <row r="40" spans="1:18" ht="18" customHeight="1">
      <c r="A40" s="345" t="s">
        <v>1032</v>
      </c>
      <c r="B40" s="346" t="s">
        <v>1486</v>
      </c>
      <c r="C40" s="347" t="e">
        <f ca="1">ROUND(C39*(1-((1+F42)/(1+F40))^F41)/(F40-F42),0)</f>
        <v>#N/A</v>
      </c>
      <c r="D40" s="371" t="s">
        <v>1470</v>
      </c>
      <c r="E40" s="348" t="s">
        <v>1471</v>
      </c>
      <c r="F40" s="358" t="e">
        <f ca="1">INDIRECT("'数据-取费表'!I"&amp;$G$1)</f>
        <v>#N/A</v>
      </c>
      <c r="G40" s="1853"/>
      <c r="H40" s="1841"/>
      <c r="I40" s="1862"/>
      <c r="J40" s="1863"/>
      <c r="K40" s="1867"/>
      <c r="L40" s="1841"/>
      <c r="M40" s="1841"/>
    </row>
    <row r="41" spans="1:18" ht="18" customHeight="1">
      <c r="A41" s="350"/>
      <c r="B41" s="351"/>
      <c r="C41" s="352"/>
      <c r="D41" s="379" t="s">
        <v>1487</v>
      </c>
      <c r="E41" s="348" t="s">
        <v>1475</v>
      </c>
      <c r="F41" s="380" t="e">
        <f ca="1">IF(INDIRECT("'数据-取费表'!af"&amp;$G$1)=0,INDIRECT("'数据-取费表'!ae"&amp;$G$1),INDIRECT("'数据-取费表'!af"&amp;$G$1))</f>
        <v>#N/A</v>
      </c>
      <c r="G41" s="1853"/>
      <c r="H41" s="731"/>
      <c r="I41" s="1862"/>
      <c r="J41" s="1863"/>
      <c r="K41" s="750"/>
      <c r="L41" s="731"/>
      <c r="M41" s="731"/>
    </row>
    <row r="42" spans="1:18" ht="18" customHeight="1">
      <c r="A42" s="354"/>
      <c r="B42" s="355"/>
      <c r="C42" s="356"/>
      <c r="D42" s="374"/>
      <c r="E42" s="348" t="s">
        <v>1478</v>
      </c>
      <c r="F42" s="358" t="e">
        <f ca="1">INDIRECT("'数据-取费表'!v"&amp;$G$1)</f>
        <v>#N/A</v>
      </c>
      <c r="G42" s="1853"/>
      <c r="H42" s="731"/>
      <c r="I42" s="1862"/>
      <c r="J42" s="1863"/>
      <c r="K42" s="750"/>
      <c r="L42" s="731"/>
      <c r="M42" s="731"/>
    </row>
    <row r="43" spans="1:18" ht="18" customHeight="1" thickBot="1">
      <c r="A43" s="381" t="s">
        <v>1033</v>
      </c>
      <c r="B43" s="382" t="s">
        <v>1488</v>
      </c>
      <c r="C43" s="383" t="e">
        <f ca="1">ROUND(C40/F43,0)</f>
        <v>#N/A</v>
      </c>
      <c r="D43" s="384" t="s">
        <v>1489</v>
      </c>
      <c r="E43" s="385" t="s">
        <v>1490</v>
      </c>
      <c r="F43" s="386" t="e">
        <f ca="1">INDIRECT("'数据-取费表'!k"&amp;$G$1)</f>
        <v>#N/A</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#N/A</v>
      </c>
      <c r="D45" s="1942" t="s">
        <v>1605</v>
      </c>
      <c r="E45" s="1868"/>
      <c r="F45" s="1868"/>
      <c r="O45" s="1871" t="s">
        <v>1520</v>
      </c>
      <c r="P45" s="1841"/>
      <c r="Q45" s="1841"/>
      <c r="R45" s="1841"/>
    </row>
    <row r="46" spans="1:18" s="1844" customFormat="1" ht="13.5" thickBot="1">
      <c r="A46" s="1872" t="s">
        <v>1521</v>
      </c>
      <c r="C46" s="1873" t="e">
        <f ca="1">ROUND(C45/10000,0)</f>
        <v>#N/A</v>
      </c>
      <c r="D46" s="1874" t="str">
        <f>C2</f>
        <v>万元</v>
      </c>
      <c r="I46" s="1875" t="s">
        <v>1522</v>
      </c>
      <c r="J46" s="1876"/>
      <c r="K46" s="1877"/>
      <c r="L46" s="1878" t="e">
        <f ca="1">IF(M47="住宅",0,IF(L48&gt;J51,L60,J60))</f>
        <v>#N/A</v>
      </c>
      <c r="O46" s="1879" t="s">
        <v>1523</v>
      </c>
      <c r="P46" s="1880" t="s">
        <v>1524</v>
      </c>
      <c r="Q46" s="1881" t="s">
        <v>1525</v>
      </c>
      <c r="R46" s="1881" t="s">
        <v>1526</v>
      </c>
    </row>
    <row r="47" spans="1:18" s="1844" customFormat="1" ht="13.5" thickBot="1">
      <c r="A47" s="1167" t="s">
        <v>1397</v>
      </c>
      <c r="B47" s="1199" t="s">
        <v>1398</v>
      </c>
      <c r="C47" s="1199" t="s">
        <v>1399</v>
      </c>
      <c r="D47" s="1199" t="s">
        <v>1400</v>
      </c>
      <c r="E47" s="1281" t="s">
        <v>1401</v>
      </c>
      <c r="F47" s="1282"/>
      <c r="G47" s="791"/>
      <c r="I47" s="1882" t="s">
        <v>1527</v>
      </c>
      <c r="J47" s="1883" t="s">
        <v>3111</v>
      </c>
      <c r="K47" s="1884" t="s">
        <v>1528</v>
      </c>
      <c r="L47" s="1885" t="e">
        <f ca="1">INDIRECT("'数据-取费表'!d"&amp;$G$1)</f>
        <v>#N/A</v>
      </c>
      <c r="M47" s="1840" t="str">
        <f>IF(ISNUMBER(FIND("住宅",C1)),"住宅","非住宅")</f>
        <v>非住宅</v>
      </c>
      <c r="O47" s="1886" t="s">
        <v>1040</v>
      </c>
      <c r="P47" s="1887" t="s">
        <v>1529</v>
      </c>
      <c r="Q47" s="1888" t="e">
        <f ca="1">C40+J29</f>
        <v>#N/A</v>
      </c>
      <c r="R47" s="1888" t="s">
        <v>1530</v>
      </c>
    </row>
    <row r="48" spans="1:18" s="1844" customFormat="1" ht="28.5" thickBot="1">
      <c r="A48" s="1362" t="s">
        <v>1135</v>
      </c>
      <c r="B48" s="346" t="s">
        <v>1402</v>
      </c>
      <c r="C48" s="1820" t="e">
        <f ca="1">C49+C53+C55</f>
        <v>#N/A</v>
      </c>
      <c r="D48" s="1364"/>
      <c r="E48" s="1365"/>
      <c r="F48" s="1183"/>
      <c r="G48" s="791"/>
      <c r="H48" s="792"/>
      <c r="I48" s="1889" t="s">
        <v>1531</v>
      </c>
      <c r="J48" s="1890" t="s">
        <v>3112</v>
      </c>
      <c r="K48" s="1891" t="s">
        <v>1532</v>
      </c>
      <c r="L48" s="1892" t="e">
        <f ca="1">INDIRECT("'数据-取费表'!f"&amp;$G$1)</f>
        <v>#N/A</v>
      </c>
      <c r="O48" s="1886" t="s">
        <v>1041</v>
      </c>
      <c r="P48" s="1887" t="s">
        <v>1533</v>
      </c>
      <c r="Q48" s="1888" t="e">
        <f ca="1">J60</f>
        <v>#N/A</v>
      </c>
      <c r="R48" s="1888" t="s">
        <v>1534</v>
      </c>
    </row>
    <row r="49" spans="1:18" s="1844" customFormat="1" ht="13.5" thickBot="1">
      <c r="A49" s="1196" t="s">
        <v>1136</v>
      </c>
      <c r="B49" s="1831" t="s">
        <v>1491</v>
      </c>
      <c r="C49" s="1366" t="e">
        <f ca="1">ROUND(F49*F51*F50*(1-F52),0)</f>
        <v>#N/A</v>
      </c>
      <c r="D49" s="1278" t="s">
        <v>1405</v>
      </c>
      <c r="E49" s="1832" t="s">
        <v>1492</v>
      </c>
      <c r="F49" s="1283"/>
      <c r="G49" s="1893"/>
      <c r="H49" s="792"/>
      <c r="I49" s="1889" t="s">
        <v>1535</v>
      </c>
      <c r="J49" s="1894"/>
      <c r="K49" s="1891" t="s">
        <v>1536</v>
      </c>
      <c r="L49" s="1895"/>
      <c r="O49" s="1896" t="s">
        <v>1042</v>
      </c>
      <c r="P49" s="1887" t="s">
        <v>1537</v>
      </c>
      <c r="Q49" s="1888" t="e">
        <f ca="1">C29</f>
        <v>#N/A</v>
      </c>
      <c r="R49" s="1888" t="s">
        <v>1530</v>
      </c>
    </row>
    <row r="50" spans="1:18" s="1844" customFormat="1" ht="13.5" thickBot="1">
      <c r="A50" s="1197"/>
      <c r="B50" s="1200"/>
      <c r="C50" s="1201"/>
      <c r="D50" s="1174"/>
      <c r="E50" s="1279" t="s">
        <v>1407</v>
      </c>
      <c r="F50" s="1280" t="e">
        <f ca="1">F7</f>
        <v>#N/A</v>
      </c>
      <c r="H50" s="792"/>
      <c r="I50" s="1889" t="s">
        <v>1538</v>
      </c>
      <c r="J50" s="1897">
        <f>SUMPRODUCT((I63:I65=J47)*(J62:L62=J48)*(J63:L65))</f>
        <v>60</v>
      </c>
      <c r="K50" s="1891" t="s">
        <v>1539</v>
      </c>
      <c r="L50" s="1895"/>
      <c r="M50" s="1898"/>
      <c r="O50" s="1896" t="s">
        <v>1043</v>
      </c>
      <c r="P50" s="1887" t="s">
        <v>1540</v>
      </c>
      <c r="Q50" s="1899" t="e">
        <f ca="1">J58</f>
        <v>#N/A</v>
      </c>
      <c r="R50" s="1888"/>
    </row>
    <row r="51" spans="1:18" s="1844" customFormat="1" ht="13.5" thickBot="1">
      <c r="A51" s="1198"/>
      <c r="B51" s="1200"/>
      <c r="C51" s="1201"/>
      <c r="D51" s="1174"/>
      <c r="E51" s="1202" t="s">
        <v>1408</v>
      </c>
      <c r="F51" s="349" t="e">
        <f ca="1">F8</f>
        <v>#N/A</v>
      </c>
      <c r="I51" s="1900" t="s">
        <v>1541</v>
      </c>
      <c r="J51" s="1901">
        <f>IF(J49="",J50,J49+J50-YEAR('数据-取费表'!B2))</f>
        <v>60</v>
      </c>
      <c r="K51" s="1902" t="s">
        <v>1542</v>
      </c>
      <c r="L51" s="1903" t="e">
        <f ca="1">ROUND(-PV(INDIRECT("'数据-取费表'!h"&amp;$G$1),L48,(C39-C13*C76),0),0)</f>
        <v>#N/A</v>
      </c>
      <c r="M51" s="1904"/>
      <c r="O51" s="1896" t="s">
        <v>1044</v>
      </c>
      <c r="P51" s="1887" t="s">
        <v>1543</v>
      </c>
      <c r="Q51" s="1899">
        <f>J52</f>
        <v>0</v>
      </c>
      <c r="R51" s="1888"/>
    </row>
    <row r="52" spans="1:18" s="1844" customFormat="1" ht="13.5" thickBot="1">
      <c r="A52" s="1198"/>
      <c r="B52" s="1200"/>
      <c r="C52" s="1201"/>
      <c r="D52" s="1174"/>
      <c r="E52" s="1202" t="s">
        <v>1409</v>
      </c>
      <c r="F52" s="1277"/>
      <c r="I52" s="1905" t="s">
        <v>1544</v>
      </c>
      <c r="J52" s="1906"/>
      <c r="K52" s="1905" t="s">
        <v>1545</v>
      </c>
      <c r="L52" s="1906"/>
      <c r="O52" s="1896" t="s">
        <v>1045</v>
      </c>
      <c r="P52" s="1887" t="s">
        <v>1546</v>
      </c>
      <c r="Q52" s="1888" t="e">
        <f ca="1">J53</f>
        <v>#N/A</v>
      </c>
      <c r="R52" s="1888" t="s">
        <v>1547</v>
      </c>
    </row>
    <row r="53" spans="1:18" s="1844" customFormat="1" ht="30.75" customHeight="1" thickBot="1">
      <c r="A53" s="1363" t="s">
        <v>1137</v>
      </c>
      <c r="B53" s="370" t="s">
        <v>1410</v>
      </c>
      <c r="C53" s="362">
        <f ca="1">ROUND(IF(F53="押一",F49*F51*F50/12*F11,IF(F53="押二",F49*F51*F50/12*2*F11,IF(F53="押三",F49*F51*F50/12*3*F11,C54*F11))),0)</f>
        <v>0</v>
      </c>
      <c r="D53" s="1827" t="s">
        <v>1411</v>
      </c>
      <c r="E53" s="359" t="s">
        <v>1412</v>
      </c>
      <c r="F53" s="1368"/>
      <c r="I53" s="1907" t="s">
        <v>1548</v>
      </c>
      <c r="J53" s="1908" t="e">
        <f ca="1">IF(M47="住宅",J51,IF(D1="——",MIN(J51,L48),IF(D1="在建（套用方法）",MIN(J51,L48-'数据-取费表'!B24),IF(D1="土地（套用方法）",MIN(J51,L48-'数据-取费表'!B20)))))</f>
        <v>#N/A</v>
      </c>
      <c r="K53" s="3311" t="s">
        <v>1549</v>
      </c>
      <c r="L53" s="3312"/>
      <c r="O53" s="1886" t="s">
        <v>1046</v>
      </c>
      <c r="P53" s="1887" t="s">
        <v>1550</v>
      </c>
      <c r="Q53" s="1888" t="e">
        <f ca="1">Q47+Q48</f>
        <v>#N/A</v>
      </c>
      <c r="R53" s="1888" t="s">
        <v>1047</v>
      </c>
    </row>
    <row r="54" spans="1:18" s="1844" customFormat="1" ht="13.5" thickBot="1">
      <c r="A54" s="1196"/>
      <c r="B54" s="1943" t="s">
        <v>1604</v>
      </c>
      <c r="C54" s="1180"/>
      <c r="D54" s="1827"/>
      <c r="E54" s="1834"/>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1551</v>
      </c>
      <c r="P54" s="1841"/>
      <c r="Q54" s="1841"/>
      <c r="R54" s="1841"/>
    </row>
    <row r="55" spans="1:18" s="1844" customFormat="1" ht="13.5" thickBot="1">
      <c r="A55" s="1335" t="s">
        <v>1075</v>
      </c>
      <c r="B55" s="1829" t="s">
        <v>1414</v>
      </c>
      <c r="C55" s="1336"/>
      <c r="D55" s="1827"/>
      <c r="E55" s="1834"/>
      <c r="F55" s="1909"/>
      <c r="I55" s="1912" t="s">
        <v>1552</v>
      </c>
      <c r="J55" s="1913" t="e">
        <f ca="1">ROUND(IF(J47="钢混",J57/J50,1-(1-2%)*(J50-J57)/J50),3)</f>
        <v>#N/A</v>
      </c>
      <c r="K55" s="1914" t="s">
        <v>1553</v>
      </c>
      <c r="L55" s="1915"/>
      <c r="O55" s="1879" t="s">
        <v>1523</v>
      </c>
      <c r="P55" s="1880" t="s">
        <v>1524</v>
      </c>
      <c r="Q55" s="1881" t="s">
        <v>1525</v>
      </c>
      <c r="R55" s="1881" t="s">
        <v>1526</v>
      </c>
    </row>
    <row r="56" spans="1:18" s="1844" customFormat="1" ht="36" customHeight="1" thickTop="1" thickBot="1">
      <c r="A56" s="1178">
        <v>2</v>
      </c>
      <c r="B56" s="1179" t="s">
        <v>1415</v>
      </c>
      <c r="C56" s="277" t="e">
        <f ca="1">C13</f>
        <v>#N/A</v>
      </c>
      <c r="D56" s="1916"/>
      <c r="E56" s="1917"/>
      <c r="F56" s="1909"/>
      <c r="I56" s="1918" t="s">
        <v>1555</v>
      </c>
      <c r="J56" s="1919" t="s">
        <v>3061</v>
      </c>
      <c r="K56" s="1889" t="s">
        <v>1556</v>
      </c>
      <c r="L56" s="1892" t="e">
        <f ca="1">IF(L48&lt;J51,"——",L48-J51)</f>
        <v>#N/A</v>
      </c>
      <c r="O56" s="1886" t="s">
        <v>1040</v>
      </c>
      <c r="P56" s="1887" t="s">
        <v>1529</v>
      </c>
      <c r="Q56" s="1888" t="e">
        <f ca="1">C40+J29</f>
        <v>#N/A</v>
      </c>
      <c r="R56" s="1888" t="s">
        <v>1530</v>
      </c>
    </row>
    <row r="57" spans="1:18" s="1844" customFormat="1" ht="24.75" thickBot="1">
      <c r="A57" s="1920"/>
      <c r="B57" s="1171" t="s">
        <v>1479</v>
      </c>
      <c r="C57" s="283" t="e">
        <f ca="1">C29</f>
        <v>#N/A</v>
      </c>
      <c r="D57" s="1921"/>
      <c r="E57" s="1922"/>
      <c r="F57" s="1923"/>
      <c r="I57" s="1924" t="s">
        <v>1557</v>
      </c>
      <c r="J57" s="1925" t="e">
        <f ca="1">IF(OR(M47="住宅",J51&lt;L48,J56="是"),"——",J51-L48)</f>
        <v>#N/A</v>
      </c>
      <c r="K57" s="1889" t="s">
        <v>1606</v>
      </c>
      <c r="L57" s="1892" t="e">
        <f ca="1">IF(L48&lt;J51,"——",IF(L55="比较法",L49,IF(L55="基准地价",L50,L51)))</f>
        <v>#N/A</v>
      </c>
      <c r="O57" s="1886" t="s">
        <v>1041</v>
      </c>
      <c r="P57" s="1887" t="s">
        <v>1607</v>
      </c>
      <c r="Q57" s="1888" t="e">
        <f ca="1">L60</f>
        <v>#N/A</v>
      </c>
      <c r="R57" s="1888" t="s">
        <v>1608</v>
      </c>
    </row>
    <row r="58" spans="1:18" s="1844" customFormat="1" ht="24.75" thickBot="1">
      <c r="A58" s="361" t="s">
        <v>1030</v>
      </c>
      <c r="B58" s="1179" t="s">
        <v>1425</v>
      </c>
      <c r="C58" s="362" t="e">
        <f ca="1">ROUND(C59+C64+C65+C66,0)</f>
        <v>#N/A</v>
      </c>
      <c r="D58" s="1181" t="s">
        <v>1426</v>
      </c>
      <c r="E58" s="1182"/>
      <c r="F58" s="1183"/>
      <c r="I58" s="1924" t="s">
        <v>1561</v>
      </c>
      <c r="J58" s="1926" t="e">
        <f ca="1">IF(J55&lt;0.4,0.4,J55)</f>
        <v>#N/A</v>
      </c>
      <c r="K58" s="1902" t="s">
        <v>1609</v>
      </c>
      <c r="L58" s="1892" t="e">
        <f ca="1">ROUND(POWER(1+L52,L47-L48)*(POWER(1+L52,L48)-1)/(POWER(1+L52,L47)-1),4)</f>
        <v>#N/A</v>
      </c>
      <c r="O58" s="1896" t="s">
        <v>1042</v>
      </c>
      <c r="P58" s="1887" t="s">
        <v>1563</v>
      </c>
      <c r="Q58" s="1888">
        <f>IF(L55="比较法",L49,IF(L55="基准地价",L50,0))</f>
        <v>0</v>
      </c>
      <c r="R58" s="1888" t="s">
        <v>1530</v>
      </c>
    </row>
    <row r="59" spans="1:18" s="1844" customFormat="1" ht="24.75" thickBot="1">
      <c r="A59" s="1203" t="s">
        <v>1035</v>
      </c>
      <c r="B59" s="1171" t="s">
        <v>1430</v>
      </c>
      <c r="C59" s="24" t="e">
        <f ca="1">ROUND(IF(项目基本情况!B11="自然人",C48*F59,C60+C61+C62),0)</f>
        <v>#N/A</v>
      </c>
      <c r="D59" s="1184" t="s">
        <v>1431</v>
      </c>
      <c r="E59" s="1185" t="s">
        <v>1432</v>
      </c>
      <c r="F59" s="369" t="str">
        <f ca="1">IF(项目基本情况!B11="企业","",IF(INDIRECT("'数据-取费表'!c"&amp;$G$1)="住宅",5%,IF(F49*F50*F51/12/(1+'数据-取费表'!C42)&gt;20000,12%,7%)))</f>
        <v/>
      </c>
      <c r="I59" s="1924" t="s">
        <v>1564</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6" t="s">
        <v>1043</v>
      </c>
      <c r="P59" s="1887" t="s">
        <v>1565</v>
      </c>
      <c r="Q59" s="1899">
        <f>L52</f>
        <v>0</v>
      </c>
      <c r="R59" s="1888"/>
    </row>
    <row r="60" spans="1:18" s="1844" customFormat="1" ht="16.5" thickBot="1">
      <c r="A60" s="1203" t="s">
        <v>1034</v>
      </c>
      <c r="B60" s="1171" t="s">
        <v>1434</v>
      </c>
      <c r="C60" s="24" t="e">
        <f ca="1">IF(项目基本情况!B11="自然人","——",ROUND(C48*F60/(1+'数据-取费表'!C42),0))</f>
        <v>#N/A</v>
      </c>
      <c r="D60" s="1185" t="s">
        <v>1435</v>
      </c>
      <c r="E60" s="1171" t="s">
        <v>1423</v>
      </c>
      <c r="F60" s="378">
        <f t="shared" ref="F60:F66" si="0">F32</f>
        <v>6.1600000000000002E-2</v>
      </c>
      <c r="I60" s="1927" t="s">
        <v>1566</v>
      </c>
      <c r="J60" s="1928" t="e">
        <f ca="1">IF(OR(M47="住宅",J51&lt;L48,J56="是"),"0",ROUND(J59/(1+J52)^J53,0))</f>
        <v>#N/A</v>
      </c>
      <c r="K60" s="1929" t="s">
        <v>1567</v>
      </c>
      <c r="L60" s="1928" t="e">
        <f ca="1">IF(OR(M47="住宅",L48&lt;J51),0,ROUND(L57*(L58/L59-1),0))</f>
        <v>#N/A</v>
      </c>
      <c r="O60" s="1896" t="s">
        <v>1044</v>
      </c>
      <c r="P60" s="1887" t="s">
        <v>1568</v>
      </c>
      <c r="Q60" s="1888" t="e">
        <f ca="1">L58</f>
        <v>#N/A</v>
      </c>
      <c r="R60" s="1888" t="s">
        <v>1569</v>
      </c>
    </row>
    <row r="61" spans="1:18" s="1844" customFormat="1" ht="13.5" thickBot="1">
      <c r="A61" s="1203" t="s">
        <v>1493</v>
      </c>
      <c r="B61" s="1171" t="s">
        <v>1494</v>
      </c>
      <c r="C61" s="24" t="e">
        <f ca="1">IF(项目基本情况!B11="自然人","——",IF(D61="按租金收入计税",ROUND(C48*F61,0),IF(D61="按房产原值计税",ROUND(C57*F61*0.7,0),INDIRECT("'数据-取费表'!Aj"&amp;$G$1))))</f>
        <v>#N/A</v>
      </c>
      <c r="D61" s="1830" t="s">
        <v>1439</v>
      </c>
      <c r="E61" s="1171" t="s">
        <v>1495</v>
      </c>
      <c r="F61" s="368">
        <f t="shared" si="0"/>
        <v>1.2E-2</v>
      </c>
      <c r="I61" s="1930"/>
      <c r="J61" s="1930"/>
      <c r="K61" s="1930"/>
      <c r="L61" s="1930"/>
      <c r="O61" s="1896" t="s">
        <v>1045</v>
      </c>
      <c r="P61" s="1887" t="str">
        <f>K59</f>
        <v>续建工期及建筑物耐用年限下的土地年期修正系数Kn</v>
      </c>
      <c r="Q61" s="1888" t="e">
        <f ca="1">L59</f>
        <v>#N/A</v>
      </c>
      <c r="R61" s="1888" t="s">
        <v>1570</v>
      </c>
    </row>
    <row r="62" spans="1:18" s="1844" customFormat="1" ht="13.5" thickBot="1">
      <c r="A62" s="1203" t="s">
        <v>1496</v>
      </c>
      <c r="B62" s="1170" t="s">
        <v>1497</v>
      </c>
      <c r="C62" s="25" t="e">
        <f ca="1">IF(项目基本情况!B11="自然人","——",ROUND(F62*F63,0))</f>
        <v>#N/A</v>
      </c>
      <c r="D62" s="1186" t="s">
        <v>1498</v>
      </c>
      <c r="E62" s="1171" t="s">
        <v>1499</v>
      </c>
      <c r="F62" s="372">
        <f t="shared" si="0"/>
        <v>3</v>
      </c>
      <c r="I62" s="1931" t="s">
        <v>1571</v>
      </c>
      <c r="J62" s="1932" t="s">
        <v>1572</v>
      </c>
      <c r="K62" s="1932" t="s">
        <v>1573</v>
      </c>
      <c r="L62" s="1932" t="s">
        <v>1574</v>
      </c>
      <c r="M62" s="1933" t="s">
        <v>1575</v>
      </c>
      <c r="O62" s="1886" t="s">
        <v>1046</v>
      </c>
      <c r="P62" s="1887" t="s">
        <v>1576</v>
      </c>
      <c r="Q62" s="1888" t="e">
        <f ca="1">Q56+Q57</f>
        <v>#N/A</v>
      </c>
      <c r="R62" s="1888" t="s">
        <v>1047</v>
      </c>
    </row>
    <row r="63" spans="1:18" s="1844" customFormat="1" ht="13.5" thickBot="1">
      <c r="A63" s="373"/>
      <c r="B63" s="1177"/>
      <c r="C63" s="29"/>
      <c r="D63" s="1187"/>
      <c r="E63" s="1171" t="s">
        <v>1500</v>
      </c>
      <c r="F63" s="349" t="e">
        <f t="shared" ca="1" si="0"/>
        <v>#N/A</v>
      </c>
      <c r="I63" s="1931" t="s">
        <v>1577</v>
      </c>
      <c r="J63" s="1932">
        <v>70</v>
      </c>
      <c r="K63" s="1932">
        <v>50</v>
      </c>
      <c r="L63" s="1932">
        <v>80</v>
      </c>
      <c r="M63" s="1934">
        <v>0.02</v>
      </c>
      <c r="O63" s="1871" t="s">
        <v>1578</v>
      </c>
      <c r="P63" s="1841"/>
      <c r="Q63" s="1841"/>
      <c r="R63" s="1841"/>
    </row>
    <row r="64" spans="1:18" s="1844" customFormat="1" ht="13.5" thickBot="1">
      <c r="A64" s="1203" t="s">
        <v>1501</v>
      </c>
      <c r="B64" s="1171" t="s">
        <v>1502</v>
      </c>
      <c r="C64" s="24" t="e">
        <f ca="1">ROUND(C57*F64,0)</f>
        <v>#N/A</v>
      </c>
      <c r="D64" s="1185" t="s">
        <v>1503</v>
      </c>
      <c r="E64" s="1171" t="s">
        <v>1495</v>
      </c>
      <c r="F64" s="375" t="e">
        <f t="shared" ca="1" si="0"/>
        <v>#N/A</v>
      </c>
      <c r="I64" s="1931" t="s">
        <v>1579</v>
      </c>
      <c r="J64" s="1932">
        <v>50</v>
      </c>
      <c r="K64" s="1932">
        <v>35</v>
      </c>
      <c r="L64" s="1932">
        <v>60</v>
      </c>
      <c r="M64" s="1933">
        <v>0</v>
      </c>
      <c r="O64" s="1879" t="s">
        <v>1523</v>
      </c>
      <c r="P64" s="1880" t="s">
        <v>1524</v>
      </c>
      <c r="Q64" s="1881" t="s">
        <v>1525</v>
      </c>
      <c r="R64" s="1881" t="s">
        <v>1526</v>
      </c>
    </row>
    <row r="65" spans="1:18" s="1844" customFormat="1" ht="13.5" thickBot="1">
      <c r="A65" s="1203" t="s">
        <v>1504</v>
      </c>
      <c r="B65" s="1171" t="s">
        <v>1454</v>
      </c>
      <c r="C65" s="24" t="e">
        <f ca="1">ROUND(C56*F65,0)</f>
        <v>#N/A</v>
      </c>
      <c r="D65" s="1185" t="s">
        <v>1455</v>
      </c>
      <c r="E65" s="1171" t="s">
        <v>1456</v>
      </c>
      <c r="F65" s="377" t="e">
        <f t="shared" ca="1" si="0"/>
        <v>#N/A</v>
      </c>
      <c r="I65" s="1931" t="s">
        <v>1580</v>
      </c>
      <c r="J65" s="1932">
        <v>40</v>
      </c>
      <c r="K65" s="1932">
        <v>30</v>
      </c>
      <c r="L65" s="1932">
        <v>50</v>
      </c>
      <c r="M65" s="1934">
        <v>0.02</v>
      </c>
      <c r="O65" s="1886" t="s">
        <v>1040</v>
      </c>
      <c r="P65" s="1887" t="s">
        <v>1581</v>
      </c>
      <c r="Q65" s="1888" t="e">
        <f ca="1">C40+J29</f>
        <v>#N/A</v>
      </c>
      <c r="R65" s="1888" t="s">
        <v>1530</v>
      </c>
    </row>
    <row r="66" spans="1:18" s="1844" customFormat="1" ht="16.5" thickBot="1">
      <c r="A66" s="1203" t="s">
        <v>1505</v>
      </c>
      <c r="B66" s="1171" t="s">
        <v>1440</v>
      </c>
      <c r="C66" s="24" t="e">
        <f ca="1">ROUND(C48*F66,0)</f>
        <v>#N/A</v>
      </c>
      <c r="D66" s="1185" t="s">
        <v>1506</v>
      </c>
      <c r="E66" s="1171" t="s">
        <v>1423</v>
      </c>
      <c r="F66" s="358" t="e">
        <f t="shared" ca="1" si="0"/>
        <v>#N/A</v>
      </c>
      <c r="O66" s="1886" t="s">
        <v>1041</v>
      </c>
      <c r="P66" s="1887" t="s">
        <v>1559</v>
      </c>
      <c r="Q66" s="1888" t="e">
        <f ca="1">L60</f>
        <v>#N/A</v>
      </c>
      <c r="R66" s="1888" t="s">
        <v>1582</v>
      </c>
    </row>
    <row r="67" spans="1:18" s="1844" customFormat="1" ht="16.5" thickBot="1">
      <c r="A67" s="1178" t="s">
        <v>1031</v>
      </c>
      <c r="B67" s="1188" t="s">
        <v>1464</v>
      </c>
      <c r="C67" s="362" t="e">
        <f ca="1">C48-C58</f>
        <v>#N/A</v>
      </c>
      <c r="D67" s="1184" t="s">
        <v>1465</v>
      </c>
      <c r="E67" s="1189"/>
      <c r="F67" s="1190"/>
      <c r="O67" s="1896" t="s">
        <v>1042</v>
      </c>
      <c r="P67" s="1887" t="s">
        <v>1563</v>
      </c>
      <c r="Q67" s="1935" t="e">
        <f ca="1">L51</f>
        <v>#N/A</v>
      </c>
      <c r="R67" s="1888" t="s">
        <v>1583</v>
      </c>
    </row>
    <row r="68" spans="1:18" s="1844" customFormat="1" ht="16.5" thickBot="1">
      <c r="A68" s="1168" t="s">
        <v>1032</v>
      </c>
      <c r="B68" s="1169" t="s">
        <v>1486</v>
      </c>
      <c r="C68" s="347" t="e">
        <f ca="1">ROUND(C67*(1-((1+F70)/(1+F68))^F69)/(F68-F70),0)</f>
        <v>#N/A</v>
      </c>
      <c r="D68" s="1186" t="s">
        <v>1470</v>
      </c>
      <c r="E68" s="1171" t="s">
        <v>1471</v>
      </c>
      <c r="F68" s="358" t="e">
        <f ca="1">F40</f>
        <v>#N/A</v>
      </c>
      <c r="O68" s="1896" t="s">
        <v>1043</v>
      </c>
      <c r="P68" s="1936" t="s">
        <v>1584</v>
      </c>
      <c r="Q68" s="1888" t="e">
        <f ca="1">ROUND(Q69-Q70*Q71,0)</f>
        <v>#N/A</v>
      </c>
      <c r="R68" s="1888" t="s">
        <v>1051</v>
      </c>
    </row>
    <row r="69" spans="1:18" s="1844" customFormat="1" ht="13.5" thickBot="1">
      <c r="A69" s="1172"/>
      <c r="B69" s="1173"/>
      <c r="C69" s="352"/>
      <c r="D69" s="1191" t="s">
        <v>1474</v>
      </c>
      <c r="E69" s="1171" t="s">
        <v>1475</v>
      </c>
      <c r="F69" s="380" t="e">
        <f ca="1">F41</f>
        <v>#N/A</v>
      </c>
      <c r="O69" s="1896" t="s">
        <v>1048</v>
      </c>
      <c r="P69" s="1936" t="s">
        <v>1585</v>
      </c>
      <c r="Q69" s="1888" t="e">
        <f ca="1">C39</f>
        <v>#N/A</v>
      </c>
      <c r="R69" s="1888" t="s">
        <v>1530</v>
      </c>
    </row>
    <row r="70" spans="1:18" s="1844" customFormat="1" ht="13.5" thickBot="1">
      <c r="A70" s="1175"/>
      <c r="B70" s="1176"/>
      <c r="C70" s="356"/>
      <c r="D70" s="1187"/>
      <c r="E70" s="1171" t="s">
        <v>1478</v>
      </c>
      <c r="F70" s="1277" t="e">
        <f ca="1">F42</f>
        <v>#N/A</v>
      </c>
      <c r="O70" s="1896" t="s">
        <v>1049</v>
      </c>
      <c r="P70" s="1936" t="s">
        <v>1586</v>
      </c>
      <c r="Q70" s="1888" t="e">
        <f ca="1">C13</f>
        <v>#N/A</v>
      </c>
      <c r="R70" s="1888" t="s">
        <v>1530</v>
      </c>
    </row>
    <row r="71" spans="1:18" s="1844" customFormat="1" ht="13.5" thickBot="1">
      <c r="A71" s="1192" t="s">
        <v>1033</v>
      </c>
      <c r="B71" s="1193" t="s">
        <v>1488</v>
      </c>
      <c r="C71" s="383" t="e">
        <f ca="1">ROUND(C68/F71,0)</f>
        <v>#N/A</v>
      </c>
      <c r="D71" s="1194" t="s">
        <v>1489</v>
      </c>
      <c r="E71" s="1195" t="s">
        <v>1490</v>
      </c>
      <c r="F71" s="386" t="e">
        <f ca="1">F43</f>
        <v>#N/A</v>
      </c>
      <c r="O71" s="1896" t="s">
        <v>1050</v>
      </c>
      <c r="P71" s="1936" t="s">
        <v>1587</v>
      </c>
      <c r="Q71" s="1899" t="e">
        <f ca="1">C76</f>
        <v>#N/A</v>
      </c>
      <c r="R71" s="1888"/>
    </row>
    <row r="72" spans="1:18" s="1844" customFormat="1" ht="13.5" thickBot="1">
      <c r="B72" s="795"/>
      <c r="C72" s="795"/>
      <c r="O72" s="1896" t="s">
        <v>1044</v>
      </c>
      <c r="P72" s="1887" t="s">
        <v>1565</v>
      </c>
      <c r="Q72" s="1899">
        <f>L52</f>
        <v>0</v>
      </c>
      <c r="R72" s="1888"/>
    </row>
    <row r="73" spans="1:18" ht="16.5" thickBot="1">
      <c r="A73" s="1844"/>
      <c r="B73" s="795"/>
      <c r="C73" s="795"/>
      <c r="D73" s="1844"/>
      <c r="E73" s="1844"/>
      <c r="F73" s="1844"/>
      <c r="O73" s="1896" t="s">
        <v>1045</v>
      </c>
      <c r="P73" s="1887" t="s">
        <v>1568</v>
      </c>
      <c r="Q73" s="1888" t="e">
        <f ca="1">L58</f>
        <v>#N/A</v>
      </c>
      <c r="R73" s="1888" t="s">
        <v>1569</v>
      </c>
    </row>
    <row r="74" spans="1:18" ht="13.5" thickBot="1">
      <c r="A74" s="1844"/>
      <c r="B74" s="318" t="s">
        <v>1588</v>
      </c>
      <c r="C74" s="1938"/>
      <c r="D74" s="1844"/>
      <c r="E74" s="1844"/>
      <c r="F74" s="1844"/>
      <c r="O74" s="1896" t="s">
        <v>1052</v>
      </c>
      <c r="P74" s="1887" t="str">
        <f>K59</f>
        <v>续建工期及建筑物耐用年限下的土地年期修正系数Kn</v>
      </c>
      <c r="Q74" s="1888" t="e">
        <f ca="1">L59</f>
        <v>#N/A</v>
      </c>
      <c r="R74" s="1888" t="s">
        <v>1570</v>
      </c>
    </row>
    <row r="75" spans="1:18" ht="13.5" thickBot="1">
      <c r="A75" s="1844"/>
      <c r="B75" s="387" t="s">
        <v>1507</v>
      </c>
      <c r="C75" s="388" t="e">
        <f ca="1">ROUND(C13*C76,0)</f>
        <v>#N/A</v>
      </c>
      <c r="D75" s="1844"/>
      <c r="E75" s="1844"/>
      <c r="F75" s="1844"/>
      <c r="K75" s="1870"/>
      <c r="L75" s="1844"/>
      <c r="O75" s="1886" t="s">
        <v>1046</v>
      </c>
      <c r="P75" s="1887" t="s">
        <v>1550</v>
      </c>
      <c r="Q75" s="1888" t="e">
        <f ca="1">Q65+Q66</f>
        <v>#N/A</v>
      </c>
      <c r="R75" s="1888" t="s">
        <v>1047</v>
      </c>
    </row>
    <row r="76" spans="1:18">
      <c r="B76" s="389" t="s">
        <v>1508</v>
      </c>
      <c r="C76" s="390" t="e">
        <f ca="1">INDIRECT("'数据-取费表'!j"&amp;$G$1)</f>
        <v>#N/A</v>
      </c>
      <c r="I76" s="1844"/>
      <c r="J76" s="1844"/>
      <c r="K76" s="1870"/>
      <c r="L76" s="1844"/>
    </row>
    <row r="77" spans="1:18">
      <c r="B77" s="391" t="s">
        <v>1509</v>
      </c>
      <c r="C77" s="392"/>
      <c r="I77" s="1844"/>
      <c r="J77" s="1844"/>
      <c r="K77" s="1870"/>
      <c r="L77" s="1844"/>
    </row>
    <row r="78" spans="1:18">
      <c r="B78" s="315" t="s">
        <v>1510</v>
      </c>
      <c r="C78" s="393"/>
    </row>
    <row r="79" spans="1:18">
      <c r="B79" s="387" t="s">
        <v>1511</v>
      </c>
      <c r="C79" s="319" t="e">
        <f ca="1">1-C80</f>
        <v>#N/A</v>
      </c>
    </row>
    <row r="80" spans="1:18">
      <c r="B80" s="387" t="s">
        <v>1512</v>
      </c>
      <c r="C80" s="319" t="e">
        <f ca="1">ROUND(C75/C39,3)</f>
        <v>#N/A</v>
      </c>
    </row>
    <row r="81" spans="2:3">
      <c r="B81" s="315" t="s">
        <v>1513</v>
      </c>
      <c r="C81" s="283"/>
    </row>
    <row r="82" spans="2:3">
      <c r="B82" s="318" t="s">
        <v>1514</v>
      </c>
      <c r="C82" s="320" t="e">
        <f ca="1">1-C83</f>
        <v>#N/A</v>
      </c>
    </row>
    <row r="83" spans="2:3">
      <c r="B83" s="318" t="s">
        <v>1515</v>
      </c>
      <c r="C83" s="319"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5"/>
  <sheetViews>
    <sheetView zoomScale="85" zoomScaleNormal="85" zoomScaleSheetLayoutView="90" workbookViewId="0">
      <selection activeCell="J52" sqref="J52"/>
    </sheetView>
  </sheetViews>
  <sheetFormatPr defaultRowHeight="12.75"/>
  <cols>
    <col min="1" max="1" width="9" style="303" customWidth="1"/>
    <col min="2" max="2" width="20.625" style="707" customWidth="1"/>
    <col min="3" max="3" width="11.875" style="707"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7" customWidth="1"/>
    <col min="12" max="12" width="16.375" style="303" customWidth="1"/>
    <col min="13" max="13" width="13" style="303"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3"/>
  </cols>
  <sheetData>
    <row r="1" spans="1:37" s="338" customFormat="1" ht="21">
      <c r="A1" s="1835" t="s">
        <v>1590</v>
      </c>
      <c r="B1" s="781"/>
      <c r="C1" s="1839" t="s">
        <v>3235</v>
      </c>
      <c r="D1" s="1823" t="s">
        <v>3110</v>
      </c>
      <c r="E1" s="1824" t="s">
        <v>1388</v>
      </c>
      <c r="F1" s="1285" t="e">
        <f ca="1">J53</f>
        <v>#N/A</v>
      </c>
      <c r="G1" s="1838" t="e">
        <f>MATCH(C1,'数据-取费表'!A6:A16,0)+5</f>
        <v>#N/A</v>
      </c>
      <c r="H1" s="751"/>
      <c r="I1" s="340"/>
      <c r="J1" s="340"/>
      <c r="K1" s="752"/>
      <c r="L1" s="340"/>
      <c r="M1" s="340"/>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1516</v>
      </c>
      <c r="B2" s="1846" t="e">
        <f ca="1">C40+J29+L46</f>
        <v>#N/A</v>
      </c>
      <c r="C2" s="1847" t="s">
        <v>1517</v>
      </c>
      <c r="D2" s="1847"/>
      <c r="E2" s="1848"/>
      <c r="F2" s="1849"/>
      <c r="G2" s="1850"/>
      <c r="H2" s="1842"/>
      <c r="I2" s="1842"/>
      <c r="J2" s="1842"/>
      <c r="K2" s="1843"/>
      <c r="L2" s="1842"/>
      <c r="M2" s="1842"/>
    </row>
    <row r="3" spans="1:37" ht="18" customHeight="1" thickBot="1">
      <c r="A3" s="1851" t="s">
        <v>1518</v>
      </c>
      <c r="B3" s="1852">
        <f ca="1">IF(ISERROR(B2*10000/F43),0,ROUND(B2*10000/F43,0))</f>
        <v>0</v>
      </c>
      <c r="C3" s="1847" t="s">
        <v>1519</v>
      </c>
      <c r="D3" s="1847"/>
      <c r="E3" s="1848"/>
      <c r="F3" s="1849"/>
      <c r="G3" s="1850"/>
      <c r="H3" s="743" t="s">
        <v>1589</v>
      </c>
      <c r="I3" s="1842"/>
      <c r="J3" s="1842"/>
      <c r="K3" s="1843"/>
      <c r="L3" s="1842"/>
      <c r="M3" s="1842"/>
    </row>
    <row r="4" spans="1:37" ht="18" customHeight="1">
      <c r="A4" s="2974" t="s">
        <v>1397</v>
      </c>
      <c r="B4" s="2975" t="s">
        <v>1398</v>
      </c>
      <c r="C4" s="2975" t="s">
        <v>1399</v>
      </c>
      <c r="D4" s="2975" t="s">
        <v>1400</v>
      </c>
      <c r="E4" s="2976" t="s">
        <v>1401</v>
      </c>
      <c r="F4" s="2977"/>
      <c r="G4" s="1853"/>
      <c r="H4" s="2974" t="s">
        <v>1397</v>
      </c>
      <c r="I4" s="2975" t="s">
        <v>1398</v>
      </c>
      <c r="J4" s="2975" t="s">
        <v>1399</v>
      </c>
      <c r="K4" s="2975" t="s">
        <v>1400</v>
      </c>
      <c r="L4" s="2976" t="s">
        <v>1401</v>
      </c>
      <c r="M4" s="2977"/>
    </row>
    <row r="5" spans="1:37" ht="18" customHeight="1">
      <c r="A5" s="2978">
        <v>1</v>
      </c>
      <c r="B5" s="346" t="s">
        <v>1402</v>
      </c>
      <c r="C5" s="31" t="e">
        <f ca="1">C6+C10+C12</f>
        <v>#N/A</v>
      </c>
      <c r="D5" s="2783" t="s">
        <v>1403</v>
      </c>
      <c r="E5" s="2979"/>
      <c r="F5" s="1349"/>
      <c r="G5" s="1853"/>
      <c r="H5" s="2978">
        <v>1</v>
      </c>
      <c r="I5" s="346" t="s">
        <v>1402</v>
      </c>
      <c r="J5" s="31" t="e">
        <f ca="1">J6+J10+J12</f>
        <v>#N/A</v>
      </c>
      <c r="K5" s="2783" t="s">
        <v>1403</v>
      </c>
      <c r="L5" s="2979"/>
      <c r="M5" s="1349"/>
    </row>
    <row r="6" spans="1:37" ht="18" customHeight="1">
      <c r="A6" s="2980" t="s">
        <v>1035</v>
      </c>
      <c r="B6" s="3313" t="s">
        <v>1404</v>
      </c>
      <c r="C6" s="2981" t="e">
        <f ca="1">ROUND(F6*F8*F7*(1-F9)/10000,0)</f>
        <v>#N/A</v>
      </c>
      <c r="D6" s="2982" t="s">
        <v>3029</v>
      </c>
      <c r="E6" s="2965" t="s">
        <v>1406</v>
      </c>
      <c r="F6" s="2983" t="e">
        <f ca="1">INDIRECT("'数据-取费表'!u"&amp;$G$1)</f>
        <v>#N/A</v>
      </c>
      <c r="G6" s="1853"/>
      <c r="H6" s="2980" t="s">
        <v>1035</v>
      </c>
      <c r="I6" s="3313" t="s">
        <v>1404</v>
      </c>
      <c r="J6" s="3018" t="e">
        <f ca="1">ROUND(M6*M8*M7*(1-M9)/10000,0)</f>
        <v>#N/A</v>
      </c>
      <c r="K6" s="2982" t="s">
        <v>3028</v>
      </c>
      <c r="L6" s="2965" t="s">
        <v>1406</v>
      </c>
      <c r="M6" s="2983" t="e">
        <f ca="1">INDIRECT("'数据-取费表'!z"&amp;$G$1)</f>
        <v>#N/A</v>
      </c>
    </row>
    <row r="7" spans="1:37" ht="18" customHeight="1">
      <c r="A7" s="2984"/>
      <c r="B7" s="3314"/>
      <c r="C7" s="2985"/>
      <c r="D7" s="2986"/>
      <c r="E7" s="2967" t="s">
        <v>1407</v>
      </c>
      <c r="F7" s="2983" t="e">
        <f ca="1">IF(INDIRECT("'数据-取费表'!ah"&amp;$G$1)="",INDIRECT("'数据-取费表'!k"&amp;$G$1),INDIRECT("'数据-取费表'!ah"&amp;$G$1))</f>
        <v>#N/A</v>
      </c>
      <c r="G7" s="1853"/>
      <c r="H7" s="2987"/>
      <c r="I7" s="3314"/>
      <c r="J7" s="2988"/>
      <c r="K7" s="2986"/>
      <c r="L7" s="2965" t="s">
        <v>1407</v>
      </c>
      <c r="M7" s="2983" t="e">
        <f ca="1">F7</f>
        <v>#N/A</v>
      </c>
    </row>
    <row r="8" spans="1:37" ht="18" customHeight="1">
      <c r="A8" s="2987"/>
      <c r="B8" s="3314"/>
      <c r="C8" s="2988"/>
      <c r="D8" s="2986"/>
      <c r="E8" s="2965" t="s">
        <v>1408</v>
      </c>
      <c r="F8" s="2983" t="e">
        <f ca="1">INDIRECT("'数据-取费表'!ai"&amp;$G$1)</f>
        <v>#N/A</v>
      </c>
      <c r="G8" s="1853"/>
      <c r="H8" s="2987"/>
      <c r="I8" s="3314"/>
      <c r="J8" s="2988"/>
      <c r="K8" s="2986"/>
      <c r="L8" s="2965" t="s">
        <v>1408</v>
      </c>
      <c r="M8" s="2983" t="e">
        <f ca="1">INDIRECT("'数据-取费表'!ai"&amp;$G$1)</f>
        <v>#N/A</v>
      </c>
    </row>
    <row r="9" spans="1:37" ht="18" customHeight="1">
      <c r="A9" s="2987"/>
      <c r="B9" s="3315"/>
      <c r="C9" s="2988"/>
      <c r="D9" s="2986"/>
      <c r="E9" s="2965" t="s">
        <v>1409</v>
      </c>
      <c r="F9" s="2989" t="e">
        <f ca="1">INDIRECT("'数据-取费表'!w"&amp;$G$1)</f>
        <v>#N/A</v>
      </c>
      <c r="G9" s="1853"/>
      <c r="H9" s="2987"/>
      <c r="I9" s="3315"/>
      <c r="J9" s="2988"/>
      <c r="K9" s="2986"/>
      <c r="L9" s="371" t="s">
        <v>1409</v>
      </c>
      <c r="M9" s="2995" t="e">
        <f ca="1">INDIRECT("'数据-取费表'!ab"&amp;$G$1)</f>
        <v>#N/A</v>
      </c>
    </row>
    <row r="10" spans="1:37" ht="18" customHeight="1">
      <c r="A10" s="2980" t="s">
        <v>1039</v>
      </c>
      <c r="B10" s="1826" t="s">
        <v>1410</v>
      </c>
      <c r="C10" s="2990" t="e">
        <f ca="1">ROUND(IF(F10="押一",F6*F8*F7/12*F11,IF(F10="押二",F6*F8*F7/12*2*F11,IF(F10="押三",F6*F8*F7/12*3*F11,C11*F11)))/10000,0)</f>
        <v>#N/A</v>
      </c>
      <c r="D10" s="1826" t="s">
        <v>3030</v>
      </c>
      <c r="E10" s="371" t="s">
        <v>1412</v>
      </c>
      <c r="F10" s="2991" t="s">
        <v>3113</v>
      </c>
      <c r="G10" s="1853"/>
      <c r="H10" s="2980" t="s">
        <v>1039</v>
      </c>
      <c r="I10" s="1826" t="s">
        <v>1410</v>
      </c>
      <c r="J10" s="3018" t="e">
        <f ca="1">ROUND(IF(M10="押一",M6*M8*M7/12*M11,IF(M10="押二",M6*M8*M7/12*2*M11,IF(M10="押三",M6*M8*M7/12*3*M11,J11*M11)))/10000,0)</f>
        <v>#N/A</v>
      </c>
      <c r="K10" s="1826" t="s">
        <v>3031</v>
      </c>
      <c r="L10" s="371" t="s">
        <v>1412</v>
      </c>
      <c r="M10" s="2991" t="s">
        <v>3113</v>
      </c>
    </row>
    <row r="11" spans="1:37" ht="18" customHeight="1">
      <c r="A11" s="2992"/>
      <c r="B11" s="1828" t="s">
        <v>1389</v>
      </c>
      <c r="C11" s="2993"/>
      <c r="D11" s="2994"/>
      <c r="E11" s="371" t="s">
        <v>1413</v>
      </c>
      <c r="F11" s="2995">
        <f ca="1">'数据-取费表'!B39</f>
        <v>1.4999999999999999E-2</v>
      </c>
      <c r="G11" s="1853"/>
      <c r="H11" s="3023"/>
      <c r="I11" s="1828" t="s">
        <v>1389</v>
      </c>
      <c r="J11" s="2993"/>
      <c r="K11" s="3024"/>
      <c r="L11" s="371" t="s">
        <v>1413</v>
      </c>
      <c r="M11" s="3025">
        <f ca="1">'数据-取费表'!B39</f>
        <v>1.4999999999999999E-2</v>
      </c>
    </row>
    <row r="12" spans="1:37" ht="18" customHeight="1" thickBot="1">
      <c r="A12" s="2996" t="s">
        <v>1075</v>
      </c>
      <c r="B12" s="1829" t="s">
        <v>1414</v>
      </c>
      <c r="C12" s="2997"/>
      <c r="D12" s="2998"/>
      <c r="E12" s="1344"/>
      <c r="F12" s="2999"/>
      <c r="G12" s="1853"/>
      <c r="H12" s="2996" t="s">
        <v>1075</v>
      </c>
      <c r="I12" s="1829" t="s">
        <v>1414</v>
      </c>
      <c r="J12" s="2997"/>
      <c r="K12" s="3026"/>
      <c r="L12" s="1344"/>
      <c r="M12" s="3027"/>
    </row>
    <row r="13" spans="1:37" ht="18" customHeight="1" thickTop="1">
      <c r="A13" s="3000">
        <v>2</v>
      </c>
      <c r="B13" s="1346" t="s">
        <v>1415</v>
      </c>
      <c r="C13" s="3001" t="e">
        <f ca="1">ROUND(C29*F13,0)</f>
        <v>#N/A</v>
      </c>
      <c r="D13" s="379" t="s">
        <v>1416</v>
      </c>
      <c r="E13" s="379" t="s">
        <v>1417</v>
      </c>
      <c r="F13" s="3002" t="e">
        <f ca="1">INDIRECT("'数据-取费表'!y"&amp;$G$1)</f>
        <v>#N/A</v>
      </c>
      <c r="G13" s="1853"/>
      <c r="H13" s="3000">
        <v>2</v>
      </c>
      <c r="I13" s="1346" t="s">
        <v>1415</v>
      </c>
      <c r="J13" s="3028" t="e">
        <f ca="1">ROUND(J14*J15,0)</f>
        <v>#N/A</v>
      </c>
      <c r="K13" s="1347" t="s">
        <v>1416</v>
      </c>
      <c r="L13" s="3029"/>
      <c r="M13" s="3030"/>
    </row>
    <row r="14" spans="1:37" ht="18" customHeight="1">
      <c r="A14" s="198" t="s">
        <v>1034</v>
      </c>
      <c r="B14" s="2965" t="s">
        <v>1418</v>
      </c>
      <c r="C14" s="2485" t="e">
        <f ca="1">INDIRECT("'数据-取费表'!m"&amp;$G$1)+INDIRECT("'数据-取费表'!t"&amp;$G$1)</f>
        <v>#N/A</v>
      </c>
      <c r="D14" s="2966" t="s">
        <v>1419</v>
      </c>
      <c r="E14" s="2964"/>
      <c r="F14" s="3003"/>
      <c r="G14" s="1853"/>
      <c r="H14" s="198" t="s">
        <v>1035</v>
      </c>
      <c r="I14" s="2965" t="s">
        <v>1420</v>
      </c>
      <c r="J14" s="11" t="e">
        <f ca="1">C29</f>
        <v>#N/A</v>
      </c>
      <c r="K14" s="2966"/>
      <c r="L14" s="2424"/>
      <c r="M14" s="3031"/>
    </row>
    <row r="15" spans="1:37" s="1860" customFormat="1" ht="18" customHeight="1" thickBot="1">
      <c r="A15" s="198" t="s">
        <v>1036</v>
      </c>
      <c r="B15" s="2965" t="s">
        <v>1421</v>
      </c>
      <c r="C15" s="11" t="e">
        <f ca="1">ROUND(C14*F15,0)</f>
        <v>#N/A</v>
      </c>
      <c r="D15" s="374" t="s">
        <v>1422</v>
      </c>
      <c r="E15" s="374" t="s">
        <v>1423</v>
      </c>
      <c r="F15" s="3004">
        <f>'数据-取费表'!B33</f>
        <v>0.03</v>
      </c>
      <c r="G15" s="1856"/>
      <c r="H15" s="3010" t="s">
        <v>1039</v>
      </c>
      <c r="I15" s="1344" t="s">
        <v>1417</v>
      </c>
      <c r="J15" s="3027" t="e">
        <f ca="1">INDIRECT("'数据-取费表'!ad"&amp;$G$1)</f>
        <v>#N/A</v>
      </c>
      <c r="K15" s="3032"/>
      <c r="L15" s="3033"/>
      <c r="M15" s="3034"/>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98" t="s">
        <v>1390</v>
      </c>
      <c r="B16" s="2965" t="s">
        <v>1424</v>
      </c>
      <c r="C16" s="11" t="e">
        <f ca="1">ROUND(INDIRECT("'数据-取费表'!m"&amp;$G$1)*F16,0)</f>
        <v>#N/A</v>
      </c>
      <c r="D16" s="2965" t="s">
        <v>1422</v>
      </c>
      <c r="E16" s="2965" t="s">
        <v>1423</v>
      </c>
      <c r="F16" s="3005" t="e">
        <f ca="1">IF(INDIRECT("'数据-取费表'!c"&amp;$G$1)="住宅",'数据-取费表'!B34,0)</f>
        <v>#N/A</v>
      </c>
      <c r="G16" s="1853"/>
      <c r="H16" s="3000" t="s">
        <v>1030</v>
      </c>
      <c r="I16" s="1346" t="s">
        <v>1425</v>
      </c>
      <c r="J16" s="3001" t="e">
        <f ca="1">ROUND(J17+J22+J23+J24,0)</f>
        <v>#N/A</v>
      </c>
      <c r="K16" s="1347" t="s">
        <v>1426</v>
      </c>
      <c r="L16" s="1348"/>
      <c r="M16" s="1349"/>
    </row>
    <row r="17" spans="1:37" s="1860" customFormat="1" ht="18" customHeight="1">
      <c r="A17" s="198" t="s">
        <v>1391</v>
      </c>
      <c r="B17" s="2965" t="s">
        <v>1427</v>
      </c>
      <c r="C17" s="11" t="e">
        <f ca="1">ROUND(F17*(F43+INDIRECT("'数据-取费表'!S"&amp;$G$1))/10000,0)</f>
        <v>#N/A</v>
      </c>
      <c r="D17" s="2965" t="s">
        <v>1428</v>
      </c>
      <c r="E17" s="2965" t="s">
        <v>1429</v>
      </c>
      <c r="F17" s="3006">
        <f>'数据-取费表'!B35</f>
        <v>150</v>
      </c>
      <c r="G17" s="1856"/>
      <c r="H17" s="198" t="s">
        <v>1035</v>
      </c>
      <c r="I17" s="2965" t="s">
        <v>1430</v>
      </c>
      <c r="J17" s="11" t="e">
        <f ca="1">ROUND(IF(项目基本情况!B11="自然人",J5*M17,J18+J19+J20),1)</f>
        <v>#N/A</v>
      </c>
      <c r="K17" s="2966" t="s">
        <v>1431</v>
      </c>
      <c r="L17" s="2965" t="s">
        <v>1432</v>
      </c>
      <c r="M17" s="369"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98" t="s">
        <v>1392</v>
      </c>
      <c r="B18" s="2965" t="s">
        <v>1433</v>
      </c>
      <c r="C18" s="11" t="e">
        <f ca="1">ROUND(C14*F18,0)</f>
        <v>#N/A</v>
      </c>
      <c r="D18" s="2965" t="s">
        <v>1422</v>
      </c>
      <c r="E18" s="2965" t="s">
        <v>1423</v>
      </c>
      <c r="F18" s="3005">
        <f>'数据-取费表'!B36</f>
        <v>1.4999999999999999E-2</v>
      </c>
      <c r="G18" s="1856"/>
      <c r="H18" s="198" t="s">
        <v>1034</v>
      </c>
      <c r="I18" s="2965" t="s">
        <v>1434</v>
      </c>
      <c r="J18" s="11" t="e">
        <f ca="1">ROUND(J5*M18/(1+'数据-取费表'!C42),2)</f>
        <v>#N/A</v>
      </c>
      <c r="K18" s="2965" t="s">
        <v>1435</v>
      </c>
      <c r="L18" s="2965" t="s">
        <v>1423</v>
      </c>
      <c r="M18" s="3005">
        <f>'数据-取费表'!B41</f>
        <v>6.1600000000000002E-2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98" t="s">
        <v>1035</v>
      </c>
      <c r="B19" s="2965" t="s">
        <v>1436</v>
      </c>
      <c r="C19" s="11" t="e">
        <f ca="1">SUM(C14:C18)</f>
        <v>#N/A</v>
      </c>
      <c r="D19" s="3007" t="s">
        <v>1437</v>
      </c>
      <c r="E19" s="2968"/>
      <c r="F19" s="3006"/>
      <c r="G19" s="1853"/>
      <c r="H19" s="198" t="s">
        <v>1036</v>
      </c>
      <c r="I19" s="2965" t="s">
        <v>1438</v>
      </c>
      <c r="J19" s="11" t="e">
        <f ca="1">IF(K19="按租金收入计税",ROUND(J5*M19,2),ROUND(C29*M19*0.7,2))</f>
        <v>#N/A</v>
      </c>
      <c r="K19" s="1830" t="s">
        <v>3222</v>
      </c>
      <c r="L19" s="2965" t="s">
        <v>1423</v>
      </c>
      <c r="M19" s="3005">
        <f>IF(K19="按租金收入计税",'数据-取费表'!B51,'数据-取费表'!B50)</f>
        <v>0.12</v>
      </c>
    </row>
    <row r="20" spans="1:37" s="1860" customFormat="1" ht="18" customHeight="1">
      <c r="A20" s="198" t="s">
        <v>1039</v>
      </c>
      <c r="B20" s="2965" t="s">
        <v>1440</v>
      </c>
      <c r="C20" s="11" t="e">
        <f ca="1">ROUND(C19*F20,0)</f>
        <v>#N/A</v>
      </c>
      <c r="D20" s="370" t="s">
        <v>1441</v>
      </c>
      <c r="E20" s="2965" t="s">
        <v>1423</v>
      </c>
      <c r="F20" s="3005">
        <f>'数据-取费表'!B37</f>
        <v>0.02</v>
      </c>
      <c r="G20" s="1856"/>
      <c r="H20" s="198" t="s">
        <v>1390</v>
      </c>
      <c r="I20" s="2982" t="s">
        <v>1442</v>
      </c>
      <c r="J20" s="23" t="e">
        <f ca="1">ROUND(M20*M21/10000,2)</f>
        <v>#N/A</v>
      </c>
      <c r="K20" s="371" t="s">
        <v>1443</v>
      </c>
      <c r="L20" s="2965" t="s">
        <v>1444</v>
      </c>
      <c r="M20" s="3008">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98" t="s">
        <v>1075</v>
      </c>
      <c r="B21" s="2965" t="s">
        <v>1445</v>
      </c>
      <c r="C21" s="11" t="s">
        <v>18</v>
      </c>
      <c r="D21" s="370" t="s">
        <v>1446</v>
      </c>
      <c r="E21" s="2965" t="s">
        <v>1447</v>
      </c>
      <c r="F21" s="3005">
        <f>'数据-取费表'!B38</f>
        <v>0.02</v>
      </c>
      <c r="G21" s="1856"/>
      <c r="H21" s="3035"/>
      <c r="I21" s="3036"/>
      <c r="J21" s="30"/>
      <c r="K21" s="374"/>
      <c r="L21" s="2965" t="s">
        <v>1448</v>
      </c>
      <c r="M21" s="2983"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98" t="s">
        <v>1393</v>
      </c>
      <c r="B22" s="2965" t="s">
        <v>1449</v>
      </c>
      <c r="C22" s="11"/>
      <c r="D22" s="3007" t="str">
        <f>IF(F23&lt;=1,"单利计息。","复利计息。")&amp;"建造成本、管理费用、销售费用产生的利息。"</f>
        <v>单利计息。建造成本、管理费用、销售费用产生的利息。</v>
      </c>
      <c r="E22" s="2968"/>
      <c r="F22" s="3006"/>
      <c r="G22" s="1853"/>
      <c r="H22" s="198" t="s">
        <v>1039</v>
      </c>
      <c r="I22" s="2965" t="s">
        <v>1450</v>
      </c>
      <c r="J22" s="11" t="e">
        <f ca="1">ROUND(J14*M22,1)</f>
        <v>#N/A</v>
      </c>
      <c r="K22" s="2965" t="s">
        <v>1451</v>
      </c>
      <c r="L22" s="2965" t="s">
        <v>1423</v>
      </c>
      <c r="M22" s="3016" t="e">
        <f ca="1">INDIRECT("'数据-取费表'!Ak"&amp;$G$1)</f>
        <v>#N/A</v>
      </c>
    </row>
    <row r="23" spans="1:37" s="1860" customFormat="1" ht="18" customHeight="1">
      <c r="A23" s="198" t="s">
        <v>1034</v>
      </c>
      <c r="B23" s="2965" t="s">
        <v>1452</v>
      </c>
      <c r="C23" s="11" t="e">
        <f ca="1">IF('数据-取费表'!B22&lt;=1,ROUND(C19*F24*F23/2,0)+ROUND(C20*F24*F23/2,0),ROUND(C19*(POWER((1+F24),F23/2)-1),0)+ROUND(C20*(POWER((1+F24),F23/2)-1),0))</f>
        <v>#N/A</v>
      </c>
      <c r="D23" s="370" t="str">
        <f>IF(F23&lt;=1,"(建造成本+管理费用)×利率×(建设周期÷2)","(建造成本+管理费用)×((1+利率)^(建设周期÷2)-1)")</f>
        <v>(建造成本+管理费用)×利率×(建设周期÷2)</v>
      </c>
      <c r="E23" s="2965" t="s">
        <v>1453</v>
      </c>
      <c r="F23" s="3008">
        <f>'数据-取费表'!B20</f>
        <v>1</v>
      </c>
      <c r="G23" s="1856"/>
      <c r="H23" s="198" t="s">
        <v>1075</v>
      </c>
      <c r="I23" s="2965" t="s">
        <v>1454</v>
      </c>
      <c r="J23" s="11" t="e">
        <f ca="1">ROUND(J13*M23,1)</f>
        <v>#N/A</v>
      </c>
      <c r="K23" s="2965" t="s">
        <v>1455</v>
      </c>
      <c r="L23" s="2965" t="s">
        <v>1456</v>
      </c>
      <c r="M23" s="3017"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98" t="s">
        <v>1457</v>
      </c>
      <c r="B24" s="2965" t="s">
        <v>1458</v>
      </c>
      <c r="C24" s="11">
        <f ca="1">ROUND(IF('数据-取费表'!B22&lt;=1,F21*F24*F23/2,F21*(POWER((1+F24),F23/2)-1)),4)</f>
        <v>4.0000000000000002E-4</v>
      </c>
      <c r="D24" s="370" t="str">
        <f>IF(F23&lt;=1,"销售费用×利率×(建设周期÷2)","销售费用×((1+利率)^(建设周期÷2)-1)")</f>
        <v>销售费用×利率×(建设周期÷2)</v>
      </c>
      <c r="E24" s="2965" t="s">
        <v>1459</v>
      </c>
      <c r="F24" s="3009">
        <f ca="1">'数据-取费表'!B40</f>
        <v>4.3499999999999997E-2</v>
      </c>
      <c r="G24" s="1856"/>
      <c r="H24" s="3010" t="s">
        <v>1394</v>
      </c>
      <c r="I24" s="1344" t="s">
        <v>1440</v>
      </c>
      <c r="J24" s="3011" t="e">
        <f ca="1">ROUND(J5*M24,1)</f>
        <v>#N/A</v>
      </c>
      <c r="K24" s="1344" t="s">
        <v>1460</v>
      </c>
      <c r="L24" s="1344" t="s">
        <v>1456</v>
      </c>
      <c r="M24" s="2999"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98" t="s">
        <v>1461</v>
      </c>
      <c r="B25" s="2965" t="s">
        <v>1462</v>
      </c>
      <c r="C25" s="11"/>
      <c r="D25" s="3007" t="s">
        <v>1463</v>
      </c>
      <c r="E25" s="2968"/>
      <c r="F25" s="3006"/>
      <c r="G25" s="1853"/>
      <c r="H25" s="3000" t="s">
        <v>1031</v>
      </c>
      <c r="I25" s="1346" t="s">
        <v>1464</v>
      </c>
      <c r="J25" s="3001" t="e">
        <f ca="1">J5-J16</f>
        <v>#N/A</v>
      </c>
      <c r="K25" s="1347" t="s">
        <v>1465</v>
      </c>
      <c r="L25" s="1348"/>
      <c r="M25" s="1349"/>
    </row>
    <row r="26" spans="1:37">
      <c r="A26" s="198" t="s">
        <v>1034</v>
      </c>
      <c r="B26" s="2965" t="s">
        <v>1466</v>
      </c>
      <c r="C26" s="11" t="e">
        <f ca="1">ROUND((C19+C20)*F26,0)</f>
        <v>#N/A</v>
      </c>
      <c r="D26" s="370" t="s">
        <v>1467</v>
      </c>
      <c r="E26" s="371" t="s">
        <v>1468</v>
      </c>
      <c r="F26" s="2989" t="e">
        <f ca="1">INDIRECT("'数据-取费表'!q"&amp;$G$1)</f>
        <v>#N/A</v>
      </c>
      <c r="G26" s="1853"/>
      <c r="H26" s="2978" t="s">
        <v>1032</v>
      </c>
      <c r="I26" s="346" t="s">
        <v>1469</v>
      </c>
      <c r="J26" s="3018" t="e">
        <f ca="1">IF(J5&lt;&gt;0,ROUND(J25*(1-((1+M28)/(1+M26))^M27)/(M26-M28),0),0)</f>
        <v>#N/A</v>
      </c>
      <c r="K26" s="371" t="s">
        <v>1470</v>
      </c>
      <c r="L26" s="2965" t="s">
        <v>1471</v>
      </c>
      <c r="M26" s="2989" t="e">
        <f ca="1">INDIRECT("'数据-取费表'!I"&amp;$G$1)</f>
        <v>#N/A</v>
      </c>
    </row>
    <row r="27" spans="1:37" ht="18" customHeight="1">
      <c r="A27" s="198" t="s">
        <v>1036</v>
      </c>
      <c r="B27" s="2965" t="s">
        <v>1472</v>
      </c>
      <c r="C27" s="11" t="e">
        <f ca="1">ROUND(F21*F26,4)</f>
        <v>#N/A</v>
      </c>
      <c r="D27" s="370" t="s">
        <v>1473</v>
      </c>
      <c r="E27" s="374"/>
      <c r="F27" s="3004"/>
      <c r="G27" s="1853"/>
      <c r="H27" s="2987"/>
      <c r="I27" s="351"/>
      <c r="J27" s="2988"/>
      <c r="K27" s="379" t="s">
        <v>1474</v>
      </c>
      <c r="L27" s="2965" t="s">
        <v>1475</v>
      </c>
      <c r="M27" s="3019" t="e">
        <f ca="1">INDIRECT("'数据-取费表'!ag"&amp;$G$1)</f>
        <v>#N/A</v>
      </c>
    </row>
    <row r="28" spans="1:37" s="1860" customFormat="1" ht="18" customHeight="1">
      <c r="A28" s="198" t="s">
        <v>1037</v>
      </c>
      <c r="B28" s="2965" t="s">
        <v>1476</v>
      </c>
      <c r="C28" s="11">
        <f>ROUND(F28/(1+'数据-取费表'!C42),4)</f>
        <v>5.8299999999999998E-2</v>
      </c>
      <c r="D28" s="370" t="s">
        <v>1477</v>
      </c>
      <c r="E28" s="2965" t="s">
        <v>1423</v>
      </c>
      <c r="F28" s="3005">
        <f>'数据-取费表'!B41</f>
        <v>6.1600000000000002E-2</v>
      </c>
      <c r="G28" s="1856"/>
      <c r="H28" s="2992"/>
      <c r="I28" s="355"/>
      <c r="J28" s="3001"/>
      <c r="K28" s="374"/>
      <c r="L28" s="2965" t="s">
        <v>1478</v>
      </c>
      <c r="M28" s="2989"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3010" t="s">
        <v>1038</v>
      </c>
      <c r="B29" s="1344" t="s">
        <v>1479</v>
      </c>
      <c r="C29" s="3011" t="e">
        <f ca="1">ROUND((C19+C20+C23+C26)/(1-F21-C24-C27-C28),0)</f>
        <v>#N/A</v>
      </c>
      <c r="D29" s="1344"/>
      <c r="E29" s="1344"/>
      <c r="F29" s="3012"/>
      <c r="G29" s="1856"/>
      <c r="H29" s="209" t="s">
        <v>1033</v>
      </c>
      <c r="I29" s="3020" t="s">
        <v>1480</v>
      </c>
      <c r="J29" s="229" t="e">
        <f ca="1">ROUND(J26/(1+F40)^F41,0)</f>
        <v>#N/A</v>
      </c>
      <c r="K29" s="3021" t="s">
        <v>1481</v>
      </c>
      <c r="L29" s="2971"/>
      <c r="M29" s="3022"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3000" t="s">
        <v>1030</v>
      </c>
      <c r="B30" s="1346" t="s">
        <v>1425</v>
      </c>
      <c r="C30" s="3001" t="e">
        <f ca="1">ROUND(C31+C36+C37+C38,0)</f>
        <v>#N/A</v>
      </c>
      <c r="D30" s="1347" t="s">
        <v>1426</v>
      </c>
      <c r="E30" s="1348"/>
      <c r="F30" s="1349"/>
      <c r="G30" s="1853"/>
      <c r="H30" s="744"/>
      <c r="I30" s="745"/>
      <c r="J30" s="746"/>
      <c r="K30" s="747"/>
      <c r="L30" s="748"/>
      <c r="M30" s="749"/>
    </row>
    <row r="31" spans="1:37" ht="18" customHeight="1">
      <c r="A31" s="198" t="s">
        <v>1035</v>
      </c>
      <c r="B31" s="2965" t="s">
        <v>1430</v>
      </c>
      <c r="C31" s="11" t="e">
        <f ca="1">ROUND(IF(项目基本情况!B11="自然人",C5*F31,C32+C33+C34),1)</f>
        <v>#N/A</v>
      </c>
      <c r="D31" s="2966" t="s">
        <v>1431</v>
      </c>
      <c r="E31" s="2965" t="s">
        <v>1482</v>
      </c>
      <c r="F31" s="369" t="str">
        <f ca="1">IF(项目基本情况!B11="企业","",IF(INDIRECT("'数据-取费表'!c"&amp;$G$1)="住宅",5%,IF(F6*F7*F8/12/(1+'数据-取费表'!C42)&gt;20000,12%,7%)))</f>
        <v/>
      </c>
      <c r="G31" s="1853"/>
      <c r="H31" s="744"/>
      <c r="I31" s="745"/>
      <c r="J31" s="746"/>
      <c r="K31" s="747"/>
      <c r="L31" s="748"/>
      <c r="M31" s="749"/>
    </row>
    <row r="32" spans="1:37" ht="18" customHeight="1">
      <c r="A32" s="198" t="s">
        <v>1034</v>
      </c>
      <c r="B32" s="2965" t="s">
        <v>1434</v>
      </c>
      <c r="C32" s="11" t="e">
        <f ca="1">IF(项目基本情况!B11="自然人","——",ROUND(C5*F32/(1+'数据-取费表'!C42),2))</f>
        <v>#N/A</v>
      </c>
      <c r="D32" s="2965" t="s">
        <v>1435</v>
      </c>
      <c r="E32" s="2965" t="s">
        <v>1423</v>
      </c>
      <c r="F32" s="3009">
        <f>'数据-取费表'!B41</f>
        <v>6.1600000000000002E-2</v>
      </c>
      <c r="G32" s="1853"/>
      <c r="H32" s="744"/>
      <c r="I32" s="745"/>
      <c r="J32" s="746"/>
      <c r="K32" s="747"/>
      <c r="L32" s="748"/>
      <c r="M32" s="749"/>
    </row>
    <row r="33" spans="1:18" ht="18" customHeight="1">
      <c r="A33" s="198" t="s">
        <v>1036</v>
      </c>
      <c r="B33" s="2965" t="s">
        <v>1438</v>
      </c>
      <c r="C33" s="11" t="e">
        <f ca="1">IF(项目基本情况!B11="自然人","——",IF(D33="按租金收入计税",ROUND(C5*F33,2),IF(D33="按房产原值计税",ROUND(C29*F33*0.7,2),INDIRECT("'数据-取费表'!Aj"&amp;$G$1))))</f>
        <v>#N/A</v>
      </c>
      <c r="D33" s="1830" t="s">
        <v>3222</v>
      </c>
      <c r="E33" s="2965" t="s">
        <v>1423</v>
      </c>
      <c r="F33" s="3005">
        <f>IF(D33="按票据","——",IF(D33="按租金收入计税",'数据-取费表'!B51,'数据-取费表'!B50))</f>
        <v>0.12</v>
      </c>
      <c r="G33" s="1853"/>
      <c r="H33" s="1861"/>
      <c r="I33" s="1862"/>
      <c r="J33" s="1863"/>
      <c r="K33" s="1864"/>
      <c r="L33" s="1861"/>
      <c r="M33" s="1861"/>
    </row>
    <row r="34" spans="1:18" ht="18" customHeight="1">
      <c r="A34" s="2980" t="s">
        <v>1390</v>
      </c>
      <c r="B34" s="2982" t="s">
        <v>1442</v>
      </c>
      <c r="C34" s="23" t="e">
        <f ca="1">IF(项目基本情况!B11="自然人","——",ROUND(F34*F35/10000,2))</f>
        <v>#N/A</v>
      </c>
      <c r="D34" s="371" t="s">
        <v>1443</v>
      </c>
      <c r="E34" s="2965" t="s">
        <v>1444</v>
      </c>
      <c r="F34" s="3008">
        <f>'数据-取费表'!B52</f>
        <v>3</v>
      </c>
      <c r="G34" s="1853"/>
      <c r="H34" s="744"/>
      <c r="I34" s="1862"/>
      <c r="J34" s="1863"/>
      <c r="K34" s="1865"/>
      <c r="L34" s="1866"/>
      <c r="M34" s="1866"/>
    </row>
    <row r="35" spans="1:18" ht="18" customHeight="1">
      <c r="A35" s="3013"/>
      <c r="B35" s="3014"/>
      <c r="C35" s="30"/>
      <c r="D35" s="374"/>
      <c r="E35" s="2965" t="s">
        <v>1448</v>
      </c>
      <c r="F35" s="2983" t="e">
        <f ca="1">INDIRECT("'数据-取费表'!r"&amp;$G$1)</f>
        <v>#N/A</v>
      </c>
      <c r="G35" s="1853"/>
      <c r="H35" s="744"/>
      <c r="I35" s="1862"/>
      <c r="J35" s="1863"/>
      <c r="K35" s="1864"/>
      <c r="L35" s="1861"/>
      <c r="M35" s="1861"/>
    </row>
    <row r="36" spans="1:18" ht="18" customHeight="1">
      <c r="A36" s="3015" t="s">
        <v>1039</v>
      </c>
      <c r="B36" s="2965" t="s">
        <v>1450</v>
      </c>
      <c r="C36" s="11" t="e">
        <f ca="1">ROUND(C29*F36,1)</f>
        <v>#N/A</v>
      </c>
      <c r="D36" s="2965" t="s">
        <v>1483</v>
      </c>
      <c r="E36" s="2965" t="s">
        <v>1423</v>
      </c>
      <c r="F36" s="3016" t="e">
        <f ca="1">INDIRECT("'数据-取费表'!Ak"&amp;$G$1)</f>
        <v>#N/A</v>
      </c>
      <c r="G36" s="1853"/>
      <c r="H36" s="1861"/>
      <c r="I36" s="1862"/>
      <c r="J36" s="1863"/>
      <c r="K36" s="750"/>
      <c r="L36" s="1861"/>
      <c r="M36" s="1861"/>
    </row>
    <row r="37" spans="1:18" ht="18" customHeight="1">
      <c r="A37" s="198" t="s">
        <v>1075</v>
      </c>
      <c r="B37" s="2965" t="s">
        <v>1454</v>
      </c>
      <c r="C37" s="11" t="e">
        <f ca="1">ROUND(C13*F37,1)</f>
        <v>#N/A</v>
      </c>
      <c r="D37" s="2965" t="s">
        <v>1455</v>
      </c>
      <c r="E37" s="2965" t="s">
        <v>1456</v>
      </c>
      <c r="F37" s="3017" t="e">
        <f ca="1">INDIRECT("'数据-取费表'!Al"&amp;$G$1)</f>
        <v>#N/A</v>
      </c>
      <c r="G37" s="1853"/>
      <c r="H37" s="1861"/>
      <c r="I37" s="1862"/>
      <c r="J37" s="1863"/>
      <c r="K37" s="750"/>
      <c r="L37" s="1861"/>
      <c r="M37" s="1861"/>
    </row>
    <row r="38" spans="1:18" ht="18" customHeight="1" thickBot="1">
      <c r="A38" s="3010" t="s">
        <v>1394</v>
      </c>
      <c r="B38" s="1344" t="s">
        <v>1440</v>
      </c>
      <c r="C38" s="3011" t="e">
        <f ca="1">ROUND(C5*F38,1)</f>
        <v>#N/A</v>
      </c>
      <c r="D38" s="1344" t="s">
        <v>1460</v>
      </c>
      <c r="E38" s="1344" t="s">
        <v>1456</v>
      </c>
      <c r="F38" s="2999" t="e">
        <f ca="1">INDIRECT("'数据-取费表'!Am"&amp;$G$1)</f>
        <v>#N/A</v>
      </c>
      <c r="G38" s="1853"/>
      <c r="H38" s="1861"/>
      <c r="I38" s="1862"/>
      <c r="J38" s="1863"/>
      <c r="K38" s="1867"/>
      <c r="L38" s="1861"/>
      <c r="M38" s="1861"/>
    </row>
    <row r="39" spans="1:18" ht="24.6" customHeight="1" thickTop="1">
      <c r="A39" s="3000" t="s">
        <v>1031</v>
      </c>
      <c r="B39" s="1346" t="s">
        <v>1484</v>
      </c>
      <c r="C39" s="3001" t="e">
        <f ca="1">C5-C30</f>
        <v>#N/A</v>
      </c>
      <c r="D39" s="1347" t="s">
        <v>1485</v>
      </c>
      <c r="E39" s="1348"/>
      <c r="F39" s="1349"/>
      <c r="G39" s="1853"/>
      <c r="H39" s="1861"/>
      <c r="I39" s="1862"/>
      <c r="J39" s="1863"/>
      <c r="K39" s="1867"/>
      <c r="L39" s="1861"/>
      <c r="M39" s="1861"/>
    </row>
    <row r="40" spans="1:18" ht="18" customHeight="1">
      <c r="A40" s="2978" t="s">
        <v>1032</v>
      </c>
      <c r="B40" s="346" t="s">
        <v>1486</v>
      </c>
      <c r="C40" s="3018" t="e">
        <f ca="1">ROUND(C39*(1-((1+F42)/(1+F40))^F41)/(F40-F42),0)</f>
        <v>#N/A</v>
      </c>
      <c r="D40" s="371" t="s">
        <v>1470</v>
      </c>
      <c r="E40" s="2965" t="s">
        <v>1471</v>
      </c>
      <c r="F40" s="2989" t="e">
        <f ca="1">INDIRECT("'数据-取费表'!I"&amp;$G$1)</f>
        <v>#N/A</v>
      </c>
      <c r="G40" s="1853"/>
      <c r="H40" s="1841"/>
      <c r="I40" s="1862"/>
      <c r="J40" s="1863"/>
      <c r="K40" s="1867"/>
      <c r="L40" s="1841"/>
      <c r="M40" s="1841"/>
    </row>
    <row r="41" spans="1:18" ht="18" customHeight="1">
      <c r="A41" s="2987"/>
      <c r="B41" s="351"/>
      <c r="C41" s="2988"/>
      <c r="D41" s="379" t="s">
        <v>1487</v>
      </c>
      <c r="E41" s="2965" t="s">
        <v>1475</v>
      </c>
      <c r="F41" s="3019" t="e">
        <f ca="1">IF(INDIRECT("'数据-取费表'!af"&amp;$G$1)=0,INDIRECT("'数据-取费表'!ae"&amp;$G$1),INDIRECT("'数据-取费表'!af"&amp;$G$1))</f>
        <v>#N/A</v>
      </c>
      <c r="G41" s="1853"/>
      <c r="H41" s="731"/>
      <c r="I41" s="1862"/>
      <c r="J41" s="1863"/>
      <c r="K41" s="750"/>
      <c r="L41" s="731"/>
      <c r="M41" s="731"/>
    </row>
    <row r="42" spans="1:18" ht="18" customHeight="1">
      <c r="A42" s="2992"/>
      <c r="B42" s="355"/>
      <c r="C42" s="3001"/>
      <c r="D42" s="374"/>
      <c r="E42" s="2965" t="s">
        <v>1478</v>
      </c>
      <c r="F42" s="2989" t="e">
        <f ca="1">INDIRECT("'数据-取费表'!v"&amp;$G$1)</f>
        <v>#N/A</v>
      </c>
      <c r="G42" s="1853"/>
      <c r="H42" s="731"/>
      <c r="I42" s="1862"/>
      <c r="J42" s="1863"/>
      <c r="K42" s="750"/>
      <c r="L42" s="731"/>
      <c r="M42" s="731"/>
    </row>
    <row r="43" spans="1:18" ht="18" customHeight="1" thickBot="1">
      <c r="A43" s="209" t="s">
        <v>1033</v>
      </c>
      <c r="B43" s="3020" t="s">
        <v>1488</v>
      </c>
      <c r="C43" s="229" t="e">
        <f ca="1">ROUND(C40*10000/F43,0)</f>
        <v>#N/A</v>
      </c>
      <c r="D43" s="3021" t="s">
        <v>1489</v>
      </c>
      <c r="E43" s="2971" t="s">
        <v>1490</v>
      </c>
      <c r="F43" s="3022" t="e">
        <f ca="1">INDIRECT("'数据-取费表'!k"&amp;$G$1)</f>
        <v>#N/A</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1520</v>
      </c>
      <c r="P45" s="1841"/>
      <c r="Q45" s="1841"/>
      <c r="R45" s="1841"/>
    </row>
    <row r="46" spans="1:18" s="1844" customFormat="1" ht="13.5" thickBot="1">
      <c r="A46" s="1872" t="s">
        <v>1521</v>
      </c>
      <c r="C46" s="1873" t="e">
        <f ca="1">C68-C40</f>
        <v>#N/A</v>
      </c>
      <c r="D46" s="1874" t="str">
        <f>C2</f>
        <v>万元</v>
      </c>
      <c r="E46" s="1868"/>
      <c r="F46" s="1868"/>
      <c r="I46" s="1875" t="s">
        <v>1522</v>
      </c>
      <c r="J46" s="1876"/>
      <c r="K46" s="1877"/>
      <c r="L46" s="1878" t="e">
        <f ca="1">IF(M47="住宅",0,IF(L48&gt;J51,L60,J60))</f>
        <v>#N/A</v>
      </c>
      <c r="O46" s="1879" t="s">
        <v>1523</v>
      </c>
      <c r="P46" s="1880" t="s">
        <v>1524</v>
      </c>
      <c r="Q46" s="1881" t="s">
        <v>1525</v>
      </c>
      <c r="R46" s="1881" t="s">
        <v>1526</v>
      </c>
    </row>
    <row r="47" spans="1:18" s="1844" customFormat="1" ht="13.5" thickBot="1">
      <c r="A47" s="1167" t="s">
        <v>1397</v>
      </c>
      <c r="B47" s="1199" t="s">
        <v>1398</v>
      </c>
      <c r="C47" s="1369" t="s">
        <v>1399</v>
      </c>
      <c r="D47" s="1199" t="s">
        <v>1400</v>
      </c>
      <c r="E47" s="1281" t="s">
        <v>1401</v>
      </c>
      <c r="F47" s="1282"/>
      <c r="G47" s="791"/>
      <c r="I47" s="1882" t="s">
        <v>1527</v>
      </c>
      <c r="J47" s="1883" t="s">
        <v>3111</v>
      </c>
      <c r="K47" s="1884" t="s">
        <v>1528</v>
      </c>
      <c r="L47" s="1885" t="e">
        <f ca="1">INDIRECT("'数据-取费表'!d"&amp;$G$1)</f>
        <v>#N/A</v>
      </c>
      <c r="M47" s="1840" t="str">
        <f>IF(ISNUMBER(FIND("住宅",C1)),"住宅","非住宅")</f>
        <v>非住宅</v>
      </c>
      <c r="O47" s="1886" t="s">
        <v>1040</v>
      </c>
      <c r="P47" s="1887" t="s">
        <v>1529</v>
      </c>
      <c r="Q47" s="1888" t="e">
        <f ca="1">C40+J29</f>
        <v>#N/A</v>
      </c>
      <c r="R47" s="1888" t="s">
        <v>1530</v>
      </c>
    </row>
    <row r="48" spans="1:18" s="1844" customFormat="1" ht="28.5" thickBot="1">
      <c r="A48" s="1362" t="s">
        <v>1135</v>
      </c>
      <c r="B48" s="346" t="s">
        <v>1402</v>
      </c>
      <c r="C48" s="2972" t="e">
        <f ca="1">C49+C53+C55</f>
        <v>#N/A</v>
      </c>
      <c r="D48" s="1364"/>
      <c r="E48" s="1365"/>
      <c r="F48" s="1183"/>
      <c r="G48" s="791"/>
      <c r="H48" s="792"/>
      <c r="I48" s="1889" t="s">
        <v>1531</v>
      </c>
      <c r="J48" s="1890" t="s">
        <v>3112</v>
      </c>
      <c r="K48" s="1891" t="s">
        <v>1532</v>
      </c>
      <c r="L48" s="1892" t="e">
        <f ca="1">INDIRECT("'数据-取费表'!f"&amp;$G$1)</f>
        <v>#N/A</v>
      </c>
      <c r="O48" s="1886" t="s">
        <v>1041</v>
      </c>
      <c r="P48" s="1887" t="s">
        <v>1533</v>
      </c>
      <c r="Q48" s="1888" t="e">
        <f ca="1">J60</f>
        <v>#N/A</v>
      </c>
      <c r="R48" s="1888" t="s">
        <v>1534</v>
      </c>
    </row>
    <row r="49" spans="1:18" s="1844" customFormat="1" ht="13.5" thickBot="1">
      <c r="A49" s="1196" t="s">
        <v>1136</v>
      </c>
      <c r="B49" s="1831" t="s">
        <v>1491</v>
      </c>
      <c r="C49" s="1366" t="e">
        <f ca="1">ROUND(F49*F51*F50*(1-F52)/10000,0)</f>
        <v>#N/A</v>
      </c>
      <c r="D49" s="1278" t="s">
        <v>3032</v>
      </c>
      <c r="E49" s="1832" t="s">
        <v>1492</v>
      </c>
      <c r="F49" s="1283"/>
      <c r="G49" s="1893"/>
      <c r="H49" s="792"/>
      <c r="I49" s="1889" t="s">
        <v>1535</v>
      </c>
      <c r="J49" s="1894">
        <v>2014</v>
      </c>
      <c r="K49" s="1891" t="s">
        <v>1536</v>
      </c>
      <c r="L49" s="1895"/>
      <c r="O49" s="1896" t="s">
        <v>1042</v>
      </c>
      <c r="P49" s="1887" t="s">
        <v>1537</v>
      </c>
      <c r="Q49" s="1888" t="e">
        <f ca="1">C29</f>
        <v>#N/A</v>
      </c>
      <c r="R49" s="1888" t="s">
        <v>1530</v>
      </c>
    </row>
    <row r="50" spans="1:18" s="1844" customFormat="1" ht="13.5" thickBot="1">
      <c r="A50" s="1197"/>
      <c r="B50" s="1200"/>
      <c r="C50" s="1370"/>
      <c r="D50" s="1174"/>
      <c r="E50" s="1279" t="s">
        <v>1407</v>
      </c>
      <c r="F50" s="1280" t="e">
        <f ca="1">F7</f>
        <v>#N/A</v>
      </c>
      <c r="H50" s="792"/>
      <c r="I50" s="1889" t="s">
        <v>1538</v>
      </c>
      <c r="J50" s="1897">
        <f>SUMPRODUCT((I63:I65=J47)*(J62:L62=J48)*(J63:L65))</f>
        <v>60</v>
      </c>
      <c r="K50" s="1891" t="s">
        <v>1539</v>
      </c>
      <c r="L50" s="1895"/>
      <c r="M50" s="1898"/>
      <c r="O50" s="1896" t="s">
        <v>1043</v>
      </c>
      <c r="P50" s="1887" t="s">
        <v>1540</v>
      </c>
      <c r="Q50" s="1899" t="e">
        <f ca="1">J58</f>
        <v>#N/A</v>
      </c>
      <c r="R50" s="1888"/>
    </row>
    <row r="51" spans="1:18" s="1844" customFormat="1" ht="13.5" thickBot="1">
      <c r="A51" s="1198"/>
      <c r="B51" s="1200"/>
      <c r="C51" s="1201"/>
      <c r="D51" s="1174"/>
      <c r="E51" s="1202" t="s">
        <v>1408</v>
      </c>
      <c r="F51" s="349" t="e">
        <f ca="1">F8</f>
        <v>#N/A</v>
      </c>
      <c r="I51" s="1900" t="s">
        <v>1541</v>
      </c>
      <c r="J51" s="1901">
        <f>IF(J49="",J50,J49+J50-YEAR('数据-取费表'!B2))</f>
        <v>57</v>
      </c>
      <c r="K51" s="1902" t="s">
        <v>1542</v>
      </c>
      <c r="L51" s="1903" t="e">
        <f ca="1">ROUND(-PV(INDIRECT("'数据-取费表'!h"&amp;$G$1),L48,(C39-C13*C76),0),0)</f>
        <v>#N/A</v>
      </c>
      <c r="M51" s="1904"/>
      <c r="O51" s="1896" t="s">
        <v>1044</v>
      </c>
      <c r="P51" s="1887" t="s">
        <v>1543</v>
      </c>
      <c r="Q51" s="1899">
        <f>J52</f>
        <v>7.0000000000000007E-2</v>
      </c>
      <c r="R51" s="1888"/>
    </row>
    <row r="52" spans="1:18" s="1844" customFormat="1" ht="13.5" thickBot="1">
      <c r="A52" s="1198"/>
      <c r="B52" s="1200"/>
      <c r="C52" s="1201"/>
      <c r="D52" s="1174"/>
      <c r="E52" s="1202" t="s">
        <v>1409</v>
      </c>
      <c r="F52" s="1277"/>
      <c r="I52" s="1905" t="s">
        <v>1544</v>
      </c>
      <c r="J52" s="3048">
        <f>'数据-取费表'!J6</f>
        <v>7.0000000000000007E-2</v>
      </c>
      <c r="K52" s="1905" t="s">
        <v>1545</v>
      </c>
      <c r="L52" s="1906"/>
      <c r="O52" s="1896" t="s">
        <v>1045</v>
      </c>
      <c r="P52" s="1887" t="s">
        <v>1546</v>
      </c>
      <c r="Q52" s="1888" t="e">
        <f ca="1">J53</f>
        <v>#N/A</v>
      </c>
      <c r="R52" s="1888" t="s">
        <v>1547</v>
      </c>
    </row>
    <row r="53" spans="1:18" s="1844" customFormat="1" ht="24.75" thickBot="1">
      <c r="A53" s="1407" t="s">
        <v>1137</v>
      </c>
      <c r="B53" s="1833" t="s">
        <v>1410</v>
      </c>
      <c r="C53" s="362">
        <f ca="1">ROUND(IF(F53="押一",F49*F51*F50/12*F11,IF(F53="押二",F49*F51*F50/12*2*F11,IF(F53="押三",F49*F51*F50/12*3*F11,C54*F11)))/10000,0)</f>
        <v>0</v>
      </c>
      <c r="D53" s="1827" t="s">
        <v>3030</v>
      </c>
      <c r="E53" s="359" t="s">
        <v>1412</v>
      </c>
      <c r="F53" s="1368"/>
      <c r="I53" s="1907" t="s">
        <v>1548</v>
      </c>
      <c r="J53" s="1908" t="e">
        <f ca="1">IF(M47="住宅",J51,IF(D1="——",MIN(J51,L48),IF(D1="在建（套用方法）",MIN(J51,L48-'数据-取费表'!B24),IF(D1="土地（套用方法）",MIN(J51,L48-'数据-取费表'!B20)))))</f>
        <v>#N/A</v>
      </c>
      <c r="K53" s="3311" t="s">
        <v>1549</v>
      </c>
      <c r="L53" s="3312"/>
      <c r="O53" s="1886" t="s">
        <v>1046</v>
      </c>
      <c r="P53" s="1887" t="s">
        <v>1550</v>
      </c>
      <c r="Q53" s="1888" t="e">
        <f ca="1">Q47+Q48</f>
        <v>#N/A</v>
      </c>
      <c r="R53" s="1888" t="s">
        <v>1047</v>
      </c>
    </row>
    <row r="54" spans="1:18" s="1844" customFormat="1" ht="13.5" thickBot="1">
      <c r="A54" s="1408"/>
      <c r="B54" s="1828" t="s">
        <v>1389</v>
      </c>
      <c r="C54" s="1180"/>
      <c r="D54" s="1827"/>
      <c r="E54" s="2970"/>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1551</v>
      </c>
      <c r="P54" s="1841"/>
      <c r="Q54" s="1841"/>
      <c r="R54" s="1841"/>
    </row>
    <row r="55" spans="1:18" s="1844" customFormat="1" ht="13.5" thickBot="1">
      <c r="A55" s="1335" t="s">
        <v>1075</v>
      </c>
      <c r="B55" s="1829" t="s">
        <v>1414</v>
      </c>
      <c r="C55" s="1336"/>
      <c r="D55" s="1827"/>
      <c r="E55" s="2970"/>
      <c r="F55" s="1909"/>
      <c r="I55" s="1912" t="s">
        <v>1552</v>
      </c>
      <c r="J55" s="1913" t="e">
        <f ca="1">ROUND(IF(J47="钢混",J57/J50,1-(1-2%)*(J50-J57)/J50),3)</f>
        <v>#N/A</v>
      </c>
      <c r="K55" s="1914" t="s">
        <v>1553</v>
      </c>
      <c r="L55" s="1915" t="s">
        <v>1554</v>
      </c>
      <c r="O55" s="1879" t="s">
        <v>1523</v>
      </c>
      <c r="P55" s="1880" t="s">
        <v>1524</v>
      </c>
      <c r="Q55" s="1881" t="s">
        <v>1525</v>
      </c>
      <c r="R55" s="1881" t="s">
        <v>1526</v>
      </c>
    </row>
    <row r="56" spans="1:18" s="1844" customFormat="1" ht="25.5" thickTop="1" thickBot="1">
      <c r="A56" s="1178">
        <v>2</v>
      </c>
      <c r="B56" s="1179" t="s">
        <v>1415</v>
      </c>
      <c r="C56" s="277" t="e">
        <f ca="1">C13</f>
        <v>#N/A</v>
      </c>
      <c r="D56" s="1916"/>
      <c r="E56" s="1917"/>
      <c r="F56" s="1909"/>
      <c r="I56" s="1918" t="s">
        <v>1555</v>
      </c>
      <c r="J56" s="3049" t="s">
        <v>3047</v>
      </c>
      <c r="K56" s="1889" t="s">
        <v>1556</v>
      </c>
      <c r="L56" s="1892" t="e">
        <f ca="1">IF(L48&lt;J51,"——",L48-J53)</f>
        <v>#N/A</v>
      </c>
      <c r="O56" s="1886" t="s">
        <v>1040</v>
      </c>
      <c r="P56" s="1887" t="s">
        <v>1529</v>
      </c>
      <c r="Q56" s="1888" t="e">
        <f ca="1">C40+J29</f>
        <v>#N/A</v>
      </c>
      <c r="R56" s="1888" t="s">
        <v>1530</v>
      </c>
    </row>
    <row r="57" spans="1:18" s="1844" customFormat="1" ht="24.75" thickBot="1">
      <c r="A57" s="1920"/>
      <c r="B57" s="1171" t="s">
        <v>1479</v>
      </c>
      <c r="C57" s="283" t="e">
        <f ca="1">C29</f>
        <v>#N/A</v>
      </c>
      <c r="D57" s="1921"/>
      <c r="E57" s="1922"/>
      <c r="F57" s="1923"/>
      <c r="I57" s="1924" t="s">
        <v>1557</v>
      </c>
      <c r="J57" s="1925" t="e">
        <f ca="1">IF(OR(M47="住宅",J51&lt;L48,J56="是"),"——",J51-L48)</f>
        <v>#N/A</v>
      </c>
      <c r="K57" s="1889" t="s">
        <v>1558</v>
      </c>
      <c r="L57" s="1892" t="e">
        <f ca="1">IF(L48&lt;J51,"——",IF(L55="比较法",L49,IF(L55="基准地价",L50,L51)))</f>
        <v>#N/A</v>
      </c>
      <c r="O57" s="1886" t="s">
        <v>1041</v>
      </c>
      <c r="P57" s="1887" t="s">
        <v>1559</v>
      </c>
      <c r="Q57" s="1888" t="e">
        <f ca="1">L60</f>
        <v>#N/A</v>
      </c>
      <c r="R57" s="1888" t="s">
        <v>1560</v>
      </c>
    </row>
    <row r="58" spans="1:18" s="1844" customFormat="1" ht="24.75" thickBot="1">
      <c r="A58" s="361" t="s">
        <v>1030</v>
      </c>
      <c r="B58" s="1179" t="s">
        <v>1425</v>
      </c>
      <c r="C58" s="362" t="e">
        <f ca="1">ROUND(C59+C64+C65+C66,0)</f>
        <v>#N/A</v>
      </c>
      <c r="D58" s="1181" t="s">
        <v>1426</v>
      </c>
      <c r="E58" s="1182"/>
      <c r="F58" s="1183"/>
      <c r="I58" s="1924" t="s">
        <v>1561</v>
      </c>
      <c r="J58" s="1926" t="e">
        <f ca="1">IF(J55&lt;0.4,0.4,J55)</f>
        <v>#N/A</v>
      </c>
      <c r="K58" s="1902" t="s">
        <v>1562</v>
      </c>
      <c r="L58" s="1892" t="e">
        <f ca="1">ROUND(POWER(1+L52,L47-L48)*(POWER(1+L52,L48)-1)/(POWER(1+L52,L47)-1),4)</f>
        <v>#N/A</v>
      </c>
      <c r="O58" s="1896" t="s">
        <v>1042</v>
      </c>
      <c r="P58" s="1887" t="s">
        <v>1563</v>
      </c>
      <c r="Q58" s="1888">
        <f>IF(L55="比较法",L49,IF(L55="基准地价",L50,0))</f>
        <v>0</v>
      </c>
      <c r="R58" s="1888" t="s">
        <v>1530</v>
      </c>
    </row>
    <row r="59" spans="1:18" s="1844" customFormat="1" ht="24.75" thickBot="1">
      <c r="A59" s="1203" t="s">
        <v>1035</v>
      </c>
      <c r="B59" s="1171" t="s">
        <v>1430</v>
      </c>
      <c r="C59" s="24" t="e">
        <f ca="1">ROUND(IF(项目基本情况!B11="自然人",C48*F59,C60+C61+C62),1)</f>
        <v>#N/A</v>
      </c>
      <c r="D59" s="1184" t="s">
        <v>1431</v>
      </c>
      <c r="E59" s="1185" t="s">
        <v>1432</v>
      </c>
      <c r="F59" s="369" t="str">
        <f ca="1">IF(项目基本情况!B11="企业","",IF(INDIRECT("'数据-取费表'!c"&amp;$G$1)="住宅",5%,IF(F49*F50*F51/12/(1+'数据-取费表'!C42)&gt;20000,12%,7%)))</f>
        <v/>
      </c>
      <c r="I59" s="1924" t="s">
        <v>1564</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#N/A</v>
      </c>
      <c r="M59" s="1840" t="e">
        <f ca="1">ROUND(POWER(1+L52,L47-(J51+'数据-取费表'!B24))*(POWER(1+L52,(J51+'数据-取费表'!B24))-1)/(POWER(1+L52,L47)-1),4)</f>
        <v>#N/A</v>
      </c>
      <c r="N59" s="1840" t="e">
        <f ca="1">ROUND(POWER(1+L52,L47-(J51+'数据-取费表'!B20))*(POWER(1+L52,(J51+'数据-取费表'!B20))-1)/(POWER(1+L52,L47)-1),4)</f>
        <v>#N/A</v>
      </c>
      <c r="O59" s="1896" t="s">
        <v>1043</v>
      </c>
      <c r="P59" s="1887" t="s">
        <v>1565</v>
      </c>
      <c r="Q59" s="1899">
        <f>L52</f>
        <v>0</v>
      </c>
      <c r="R59" s="1888"/>
    </row>
    <row r="60" spans="1:18" s="1844" customFormat="1" ht="16.5" thickBot="1">
      <c r="A60" s="1203" t="s">
        <v>1034</v>
      </c>
      <c r="B60" s="1171" t="s">
        <v>1434</v>
      </c>
      <c r="C60" s="24" t="e">
        <f ca="1">IF(项目基本情况!B11="自然人","——",ROUND(C48*F60/(1+'数据-取费表'!C42),2))</f>
        <v>#N/A</v>
      </c>
      <c r="D60" s="1185" t="s">
        <v>1435</v>
      </c>
      <c r="E60" s="1171" t="s">
        <v>1423</v>
      </c>
      <c r="F60" s="378">
        <f t="shared" ref="F60:F66" si="0">F32</f>
        <v>6.1600000000000002E-2</v>
      </c>
      <c r="I60" s="1927" t="s">
        <v>1566</v>
      </c>
      <c r="J60" s="1928" t="e">
        <f ca="1">IF(OR(M47="住宅",J51&lt;L48,J56="是"),"0",ROUND(J59/(1+J52)^J53,0))</f>
        <v>#N/A</v>
      </c>
      <c r="K60" s="1929" t="s">
        <v>1567</v>
      </c>
      <c r="L60" s="1928" t="e">
        <f ca="1">IF(OR(M47="住宅",L48&lt;J51),0,ROUND(L57*(L58/L59-1),0))</f>
        <v>#N/A</v>
      </c>
      <c r="O60" s="1896" t="s">
        <v>1044</v>
      </c>
      <c r="P60" s="1887" t="s">
        <v>1568</v>
      </c>
      <c r="Q60" s="1888" t="e">
        <f ca="1">L58</f>
        <v>#N/A</v>
      </c>
      <c r="R60" s="1888" t="s">
        <v>1569</v>
      </c>
    </row>
    <row r="61" spans="1:18" s="1844" customFormat="1" ht="13.5" thickBot="1">
      <c r="A61" s="1203" t="s">
        <v>1493</v>
      </c>
      <c r="B61" s="1171" t="s">
        <v>1494</v>
      </c>
      <c r="C61" s="24" t="e">
        <f ca="1">IF(项目基本情况!B11="自然人","——",IF(D61="按租金收入计税",ROUND(C48*F61,2),IF(D61="按房产原值计税",ROUND(C57*F61*0.7,2),INDIRECT("'数据-取费表'!Aj"&amp;$G$1))))</f>
        <v>#N/A</v>
      </c>
      <c r="D61" s="1830" t="s">
        <v>1439</v>
      </c>
      <c r="E61" s="1171" t="s">
        <v>1495</v>
      </c>
      <c r="F61" s="368">
        <f t="shared" si="0"/>
        <v>0.12</v>
      </c>
      <c r="I61" s="1930"/>
      <c r="J61" s="1930"/>
      <c r="K61" s="1930"/>
      <c r="L61" s="1930"/>
      <c r="O61" s="1896" t="s">
        <v>1045</v>
      </c>
      <c r="P61" s="1887" t="str">
        <f>K59</f>
        <v>续建工期及建筑物耐用年限下的土地年期修正系数Kn</v>
      </c>
      <c r="Q61" s="1888" t="e">
        <f ca="1">L59</f>
        <v>#N/A</v>
      </c>
      <c r="R61" s="1888" t="s">
        <v>1570</v>
      </c>
    </row>
    <row r="62" spans="1:18" s="1844" customFormat="1" ht="13.5" thickBot="1">
      <c r="A62" s="1203" t="s">
        <v>1496</v>
      </c>
      <c r="B62" s="1170" t="s">
        <v>1497</v>
      </c>
      <c r="C62" s="25" t="e">
        <f ca="1">IF(项目基本情况!B11="自然人","——",ROUND(F62*F63/10000,2))</f>
        <v>#N/A</v>
      </c>
      <c r="D62" s="1186" t="s">
        <v>1498</v>
      </c>
      <c r="E62" s="1171" t="s">
        <v>1499</v>
      </c>
      <c r="F62" s="372">
        <f t="shared" si="0"/>
        <v>3</v>
      </c>
      <c r="I62" s="1931" t="s">
        <v>1571</v>
      </c>
      <c r="J62" s="1932" t="s">
        <v>1572</v>
      </c>
      <c r="K62" s="1932" t="s">
        <v>1573</v>
      </c>
      <c r="L62" s="1932" t="s">
        <v>1574</v>
      </c>
      <c r="M62" s="1933" t="s">
        <v>1575</v>
      </c>
      <c r="O62" s="1886" t="s">
        <v>1046</v>
      </c>
      <c r="P62" s="1887" t="s">
        <v>1576</v>
      </c>
      <c r="Q62" s="1888" t="e">
        <f ca="1">Q56+Q57</f>
        <v>#N/A</v>
      </c>
      <c r="R62" s="1888" t="s">
        <v>1047</v>
      </c>
    </row>
    <row r="63" spans="1:18" s="1844" customFormat="1" ht="13.5" thickBot="1">
      <c r="A63" s="373"/>
      <c r="B63" s="1177"/>
      <c r="C63" s="29"/>
      <c r="D63" s="1187"/>
      <c r="E63" s="1171" t="s">
        <v>1500</v>
      </c>
      <c r="F63" s="349" t="e">
        <f t="shared" ca="1" si="0"/>
        <v>#N/A</v>
      </c>
      <c r="I63" s="1931" t="s">
        <v>1577</v>
      </c>
      <c r="J63" s="1932">
        <v>70</v>
      </c>
      <c r="K63" s="1932">
        <v>50</v>
      </c>
      <c r="L63" s="1932">
        <v>80</v>
      </c>
      <c r="M63" s="1934">
        <v>0.02</v>
      </c>
      <c r="O63" s="1871" t="s">
        <v>1578</v>
      </c>
      <c r="P63" s="1841"/>
      <c r="Q63" s="1841"/>
      <c r="R63" s="1841"/>
    </row>
    <row r="64" spans="1:18" s="1844" customFormat="1" ht="13.5" thickBot="1">
      <c r="A64" s="1203" t="s">
        <v>1501</v>
      </c>
      <c r="B64" s="1171" t="s">
        <v>1502</v>
      </c>
      <c r="C64" s="24" t="e">
        <f ca="1">ROUND(C57*F64,1)</f>
        <v>#N/A</v>
      </c>
      <c r="D64" s="1185" t="s">
        <v>1503</v>
      </c>
      <c r="E64" s="1171" t="s">
        <v>1495</v>
      </c>
      <c r="F64" s="375" t="e">
        <f t="shared" ca="1" si="0"/>
        <v>#N/A</v>
      </c>
      <c r="I64" s="1931" t="s">
        <v>1579</v>
      </c>
      <c r="J64" s="1932">
        <v>50</v>
      </c>
      <c r="K64" s="1932">
        <v>35</v>
      </c>
      <c r="L64" s="1932">
        <v>60</v>
      </c>
      <c r="M64" s="1933">
        <v>0</v>
      </c>
      <c r="O64" s="1879" t="s">
        <v>1523</v>
      </c>
      <c r="P64" s="1880" t="s">
        <v>1524</v>
      </c>
      <c r="Q64" s="1881" t="s">
        <v>1525</v>
      </c>
      <c r="R64" s="1881" t="s">
        <v>1526</v>
      </c>
    </row>
    <row r="65" spans="1:18" s="1844" customFormat="1" ht="13.5" thickBot="1">
      <c r="A65" s="1203" t="s">
        <v>1504</v>
      </c>
      <c r="B65" s="1171" t="s">
        <v>1454</v>
      </c>
      <c r="C65" s="24" t="e">
        <f ca="1">ROUND(C56*F65,1)</f>
        <v>#N/A</v>
      </c>
      <c r="D65" s="1185" t="s">
        <v>1455</v>
      </c>
      <c r="E65" s="1171" t="s">
        <v>1456</v>
      </c>
      <c r="F65" s="377" t="e">
        <f t="shared" ca="1" si="0"/>
        <v>#N/A</v>
      </c>
      <c r="I65" s="1931" t="s">
        <v>1580</v>
      </c>
      <c r="J65" s="1932">
        <v>40</v>
      </c>
      <c r="K65" s="1932">
        <v>30</v>
      </c>
      <c r="L65" s="1932">
        <v>50</v>
      </c>
      <c r="M65" s="1934">
        <v>0.02</v>
      </c>
      <c r="O65" s="1886" t="s">
        <v>1040</v>
      </c>
      <c r="P65" s="1887" t="s">
        <v>1581</v>
      </c>
      <c r="Q65" s="1888" t="e">
        <f ca="1">C40+J29</f>
        <v>#N/A</v>
      </c>
      <c r="R65" s="1888" t="s">
        <v>1530</v>
      </c>
    </row>
    <row r="66" spans="1:18" s="1844" customFormat="1" ht="16.5" thickBot="1">
      <c r="A66" s="1203" t="s">
        <v>1505</v>
      </c>
      <c r="B66" s="1171" t="s">
        <v>1440</v>
      </c>
      <c r="C66" s="24" t="e">
        <f ca="1">ROUND(C48*F66,1)</f>
        <v>#N/A</v>
      </c>
      <c r="D66" s="1185" t="s">
        <v>1506</v>
      </c>
      <c r="E66" s="1171" t="s">
        <v>1423</v>
      </c>
      <c r="F66" s="358" t="e">
        <f t="shared" ca="1" si="0"/>
        <v>#N/A</v>
      </c>
      <c r="O66" s="1886" t="s">
        <v>1041</v>
      </c>
      <c r="P66" s="1887" t="s">
        <v>1559</v>
      </c>
      <c r="Q66" s="1888" t="e">
        <f ca="1">L60</f>
        <v>#N/A</v>
      </c>
      <c r="R66" s="1888" t="s">
        <v>1582</v>
      </c>
    </row>
    <row r="67" spans="1:18" s="1844" customFormat="1" ht="16.5" thickBot="1">
      <c r="A67" s="1178" t="s">
        <v>1031</v>
      </c>
      <c r="B67" s="1188" t="s">
        <v>1464</v>
      </c>
      <c r="C67" s="362" t="e">
        <f ca="1">C48-C58</f>
        <v>#N/A</v>
      </c>
      <c r="D67" s="1184" t="s">
        <v>1465</v>
      </c>
      <c r="E67" s="1189"/>
      <c r="F67" s="1190"/>
      <c r="O67" s="1896" t="s">
        <v>1042</v>
      </c>
      <c r="P67" s="1887" t="s">
        <v>1563</v>
      </c>
      <c r="Q67" s="1935" t="e">
        <f ca="1">L51</f>
        <v>#N/A</v>
      </c>
      <c r="R67" s="1888" t="s">
        <v>1583</v>
      </c>
    </row>
    <row r="68" spans="1:18" s="1844" customFormat="1" ht="16.5" thickBot="1">
      <c r="A68" s="1168" t="s">
        <v>1032</v>
      </c>
      <c r="B68" s="1169" t="s">
        <v>1486</v>
      </c>
      <c r="C68" s="347" t="e">
        <f ca="1">ROUND(C67*(1-((1+F70)/(1+F68))^F69)/(F68-F70),0)</f>
        <v>#N/A</v>
      </c>
      <c r="D68" s="1186" t="s">
        <v>1470</v>
      </c>
      <c r="E68" s="1171" t="s">
        <v>1471</v>
      </c>
      <c r="F68" s="358" t="e">
        <f ca="1">F40</f>
        <v>#N/A</v>
      </c>
      <c r="O68" s="1896" t="s">
        <v>1043</v>
      </c>
      <c r="P68" s="1936" t="s">
        <v>1584</v>
      </c>
      <c r="Q68" s="1888" t="e">
        <f ca="1">ROUND(Q69-Q70*Q71,0)</f>
        <v>#N/A</v>
      </c>
      <c r="R68" s="1888" t="s">
        <v>1051</v>
      </c>
    </row>
    <row r="69" spans="1:18" s="1844" customFormat="1" ht="13.5" thickBot="1">
      <c r="A69" s="1172"/>
      <c r="B69" s="1173"/>
      <c r="C69" s="352"/>
      <c r="D69" s="1191" t="s">
        <v>1474</v>
      </c>
      <c r="E69" s="1171" t="s">
        <v>1475</v>
      </c>
      <c r="F69" s="380" t="e">
        <f ca="1">F41</f>
        <v>#N/A</v>
      </c>
      <c r="O69" s="1896" t="s">
        <v>1048</v>
      </c>
      <c r="P69" s="1936" t="s">
        <v>1585</v>
      </c>
      <c r="Q69" s="1888" t="e">
        <f ca="1">C39</f>
        <v>#N/A</v>
      </c>
      <c r="R69" s="1888" t="s">
        <v>1530</v>
      </c>
    </row>
    <row r="70" spans="1:18" s="1844" customFormat="1" ht="13.5" thickBot="1">
      <c r="A70" s="1175"/>
      <c r="B70" s="1176"/>
      <c r="C70" s="356"/>
      <c r="D70" s="1187"/>
      <c r="E70" s="1171" t="s">
        <v>1478</v>
      </c>
      <c r="F70" s="1277"/>
      <c r="O70" s="1896" t="s">
        <v>1049</v>
      </c>
      <c r="P70" s="1936" t="s">
        <v>1586</v>
      </c>
      <c r="Q70" s="1888" t="e">
        <f ca="1">C13</f>
        <v>#N/A</v>
      </c>
      <c r="R70" s="1888" t="s">
        <v>1530</v>
      </c>
    </row>
    <row r="71" spans="1:18" s="1844" customFormat="1" ht="13.5" thickBot="1">
      <c r="A71" s="1192" t="s">
        <v>1033</v>
      </c>
      <c r="B71" s="1193" t="s">
        <v>1488</v>
      </c>
      <c r="C71" s="383" t="e">
        <f ca="1">ROUND(C68*10000/F71,0)</f>
        <v>#N/A</v>
      </c>
      <c r="D71" s="1194" t="s">
        <v>1489</v>
      </c>
      <c r="E71" s="1195" t="s">
        <v>1490</v>
      </c>
      <c r="F71" s="386" t="e">
        <f ca="1">F43</f>
        <v>#N/A</v>
      </c>
      <c r="O71" s="1896" t="s">
        <v>1050</v>
      </c>
      <c r="P71" s="1936" t="s">
        <v>1587</v>
      </c>
      <c r="Q71" s="1899" t="e">
        <f ca="1">C76</f>
        <v>#N/A</v>
      </c>
      <c r="R71" s="1888"/>
    </row>
    <row r="72" spans="1:18" s="1844" customFormat="1" ht="13.5" thickBot="1">
      <c r="B72" s="795"/>
      <c r="C72" s="795"/>
      <c r="O72" s="1896" t="s">
        <v>1044</v>
      </c>
      <c r="P72" s="1887" t="s">
        <v>1565</v>
      </c>
      <c r="Q72" s="1899">
        <f>L52</f>
        <v>0</v>
      </c>
      <c r="R72" s="1888"/>
    </row>
    <row r="73" spans="1:18" ht="16.5" thickBot="1">
      <c r="A73" s="1844"/>
      <c r="B73" s="795"/>
      <c r="C73" s="795"/>
      <c r="D73" s="1844"/>
      <c r="E73" s="1844"/>
      <c r="F73" s="1844"/>
      <c r="O73" s="1896" t="s">
        <v>1045</v>
      </c>
      <c r="P73" s="1887" t="s">
        <v>1568</v>
      </c>
      <c r="Q73" s="1888" t="e">
        <f ca="1">L58</f>
        <v>#N/A</v>
      </c>
      <c r="R73" s="1888" t="s">
        <v>1569</v>
      </c>
    </row>
    <row r="74" spans="1:18" ht="13.5" thickBot="1">
      <c r="A74" s="1844"/>
      <c r="B74" s="318" t="s">
        <v>1588</v>
      </c>
      <c r="C74" s="1938"/>
      <c r="D74" s="1844"/>
      <c r="E74" s="1844"/>
      <c r="F74" s="1844"/>
      <c r="O74" s="1896" t="s">
        <v>1052</v>
      </c>
      <c r="P74" s="1887" t="str">
        <f>K59</f>
        <v>续建工期及建筑物耐用年限下的土地年期修正系数Kn</v>
      </c>
      <c r="Q74" s="1888" t="e">
        <f ca="1">L59</f>
        <v>#N/A</v>
      </c>
      <c r="R74" s="1888" t="s">
        <v>1570</v>
      </c>
    </row>
    <row r="75" spans="1:18" ht="13.5" thickBot="1">
      <c r="A75" s="1844"/>
      <c r="B75" s="387" t="s">
        <v>1507</v>
      </c>
      <c r="C75" s="388" t="e">
        <f ca="1">ROUND(C13*C76,0)</f>
        <v>#N/A</v>
      </c>
      <c r="D75" s="1844"/>
      <c r="E75" s="1844"/>
      <c r="F75" s="1844"/>
      <c r="K75" s="1870"/>
      <c r="L75" s="1844"/>
      <c r="O75" s="1886" t="s">
        <v>1046</v>
      </c>
      <c r="P75" s="1887" t="s">
        <v>1550</v>
      </c>
      <c r="Q75" s="1888" t="e">
        <f ca="1">Q65+Q66</f>
        <v>#N/A</v>
      </c>
      <c r="R75" s="1888" t="s">
        <v>1047</v>
      </c>
    </row>
    <row r="76" spans="1:18">
      <c r="B76" s="389" t="s">
        <v>1508</v>
      </c>
      <c r="C76" s="390" t="e">
        <f ca="1">INDIRECT("'数据-取费表'!j"&amp;$G$1)</f>
        <v>#N/A</v>
      </c>
      <c r="I76" s="1844"/>
      <c r="J76" s="1844"/>
      <c r="K76" s="1870"/>
      <c r="L76" s="1844"/>
    </row>
    <row r="77" spans="1:18">
      <c r="B77" s="391" t="s">
        <v>1509</v>
      </c>
      <c r="C77" s="392"/>
      <c r="I77" s="1844"/>
      <c r="J77" s="1844"/>
      <c r="K77" s="1870"/>
      <c r="L77" s="1844"/>
    </row>
    <row r="78" spans="1:18">
      <c r="B78" s="315" t="s">
        <v>1510</v>
      </c>
      <c r="C78" s="393"/>
    </row>
    <row r="79" spans="1:18">
      <c r="B79" s="387" t="s">
        <v>1511</v>
      </c>
      <c r="C79" s="319" t="e">
        <f ca="1">1-C80</f>
        <v>#N/A</v>
      </c>
    </row>
    <row r="80" spans="1:18">
      <c r="B80" s="387" t="s">
        <v>1512</v>
      </c>
      <c r="C80" s="319" t="e">
        <f ca="1">ROUND(C75/C39,3)</f>
        <v>#N/A</v>
      </c>
      <c r="G80" s="303">
        <v>1</v>
      </c>
      <c r="H80" s="303">
        <v>17000</v>
      </c>
      <c r="I80" s="303">
        <f>H80</f>
        <v>17000</v>
      </c>
    </row>
    <row r="81" spans="2:10">
      <c r="B81" s="315" t="s">
        <v>1513</v>
      </c>
      <c r="C81" s="283"/>
      <c r="G81" s="303">
        <v>2</v>
      </c>
      <c r="I81" s="303">
        <f>H80*0.6</f>
        <v>10200</v>
      </c>
    </row>
    <row r="82" spans="2:10">
      <c r="B82" s="318" t="s">
        <v>1514</v>
      </c>
      <c r="C82" s="320" t="e">
        <f ca="1">1-C83</f>
        <v>#N/A</v>
      </c>
      <c r="G82" s="303">
        <v>3</v>
      </c>
      <c r="I82" s="303">
        <f>H80*0.5</f>
        <v>8500</v>
      </c>
    </row>
    <row r="83" spans="2:10">
      <c r="B83" s="318" t="s">
        <v>1515</v>
      </c>
      <c r="C83" s="319" t="e">
        <f ca="1">ROUND(C13/C40,3)</f>
        <v>#N/A</v>
      </c>
      <c r="G83" s="303">
        <v>4</v>
      </c>
      <c r="I83" s="303">
        <f>H80*0.4</f>
        <v>6800</v>
      </c>
    </row>
    <row r="84" spans="2:10">
      <c r="G84" s="303">
        <v>5</v>
      </c>
      <c r="I84" s="303">
        <f>H80*0.35</f>
        <v>5950</v>
      </c>
    </row>
    <row r="85" spans="2:10">
      <c r="I85" s="303">
        <f>SUM(I80:I84)</f>
        <v>48450</v>
      </c>
      <c r="J85" s="303">
        <f>I85/5</f>
        <v>9690</v>
      </c>
    </row>
  </sheetData>
  <sheetProtection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AK85"/>
  <sheetViews>
    <sheetView topLeftCell="A16" zoomScale="85" zoomScaleNormal="85" zoomScaleSheetLayoutView="90" workbookViewId="0">
      <selection activeCell="C39" sqref="C39"/>
    </sheetView>
  </sheetViews>
  <sheetFormatPr defaultRowHeight="12.75"/>
  <cols>
    <col min="1" max="1" width="9" style="303" customWidth="1"/>
    <col min="2" max="2" width="20.625" style="707" customWidth="1"/>
    <col min="3" max="3" width="11.875" style="707"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7" customWidth="1"/>
    <col min="12" max="12" width="16.375" style="303" customWidth="1"/>
    <col min="13" max="13" width="13" style="303"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3"/>
  </cols>
  <sheetData>
    <row r="1" spans="1:37" s="338" customFormat="1" ht="21">
      <c r="A1" s="1835" t="s">
        <v>1590</v>
      </c>
      <c r="B1" s="781"/>
      <c r="C1" s="1839" t="s">
        <v>3234</v>
      </c>
      <c r="D1" s="1823" t="s">
        <v>3110</v>
      </c>
      <c r="E1" s="1824" t="s">
        <v>1388</v>
      </c>
      <c r="F1" s="1285" t="e">
        <f ca="1">J53</f>
        <v>#N/A</v>
      </c>
      <c r="G1" s="1838" t="e">
        <f>MATCH(C1,'数据-取费表'!A6:A16,0)+5</f>
        <v>#N/A</v>
      </c>
      <c r="H1" s="751"/>
      <c r="I1" s="340"/>
      <c r="J1" s="340"/>
      <c r="K1" s="752"/>
      <c r="L1" s="340"/>
      <c r="M1" s="340"/>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1516</v>
      </c>
      <c r="B2" s="1846" t="e">
        <f ca="1">C40+J29+L46-收益法!B2</f>
        <v>#N/A</v>
      </c>
      <c r="C2" s="1847" t="s">
        <v>1517</v>
      </c>
      <c r="D2" s="1847"/>
      <c r="E2" s="1848"/>
      <c r="F2" s="1849"/>
      <c r="G2" s="1850"/>
      <c r="H2" s="1842"/>
      <c r="I2" s="1842"/>
      <c r="J2" s="1842"/>
      <c r="K2" s="1843"/>
      <c r="L2" s="1842"/>
      <c r="M2" s="1842"/>
    </row>
    <row r="3" spans="1:37" ht="18" customHeight="1" thickBot="1">
      <c r="A3" s="1851" t="s">
        <v>1518</v>
      </c>
      <c r="B3" s="1852">
        <f ca="1">IF(ISERROR(B2*10000/F43),0,ROUND(B2*10000/F43,0))</f>
        <v>0</v>
      </c>
      <c r="C3" s="1847" t="s">
        <v>1519</v>
      </c>
      <c r="D3" s="1847"/>
      <c r="E3" s="1848"/>
      <c r="F3" s="1849"/>
      <c r="G3" s="1850"/>
      <c r="H3" s="743" t="s">
        <v>1589</v>
      </c>
      <c r="I3" s="1842"/>
      <c r="J3" s="1842"/>
      <c r="K3" s="1843"/>
      <c r="L3" s="1842"/>
      <c r="M3" s="1842"/>
    </row>
    <row r="4" spans="1:37" ht="18" customHeight="1">
      <c r="A4" s="2974" t="s">
        <v>1397</v>
      </c>
      <c r="B4" s="2975" t="s">
        <v>1398</v>
      </c>
      <c r="C4" s="2975" t="s">
        <v>1399</v>
      </c>
      <c r="D4" s="2975" t="s">
        <v>1400</v>
      </c>
      <c r="E4" s="2976" t="s">
        <v>1401</v>
      </c>
      <c r="F4" s="2977"/>
      <c r="G4" s="1853"/>
      <c r="H4" s="2974" t="s">
        <v>1397</v>
      </c>
      <c r="I4" s="2975" t="s">
        <v>1398</v>
      </c>
      <c r="J4" s="2975" t="s">
        <v>1399</v>
      </c>
      <c r="K4" s="2975" t="s">
        <v>1400</v>
      </c>
      <c r="L4" s="2976" t="s">
        <v>1401</v>
      </c>
      <c r="M4" s="2977"/>
    </row>
    <row r="5" spans="1:37" ht="18" customHeight="1">
      <c r="A5" s="2978">
        <v>1</v>
      </c>
      <c r="B5" s="346" t="s">
        <v>1402</v>
      </c>
      <c r="C5" s="31" t="e">
        <f ca="1">C6+C10+C12</f>
        <v>#N/A</v>
      </c>
      <c r="D5" s="2783" t="s">
        <v>1403</v>
      </c>
      <c r="E5" s="2979"/>
      <c r="F5" s="1349"/>
      <c r="G5" s="1853"/>
      <c r="H5" s="2978">
        <v>1</v>
      </c>
      <c r="I5" s="346" t="s">
        <v>1402</v>
      </c>
      <c r="J5" s="31" t="e">
        <f ca="1">J6+J10+J12</f>
        <v>#N/A</v>
      </c>
      <c r="K5" s="2783" t="s">
        <v>1403</v>
      </c>
      <c r="L5" s="2979"/>
      <c r="M5" s="1349"/>
    </row>
    <row r="6" spans="1:37" ht="18" customHeight="1">
      <c r="A6" s="2980" t="s">
        <v>1035</v>
      </c>
      <c r="B6" s="3313" t="s">
        <v>1404</v>
      </c>
      <c r="C6" s="2981" t="e">
        <f ca="1">ROUND(F6*F8*F7*(1-F9)/10000,0)</f>
        <v>#N/A</v>
      </c>
      <c r="D6" s="2982" t="s">
        <v>3029</v>
      </c>
      <c r="E6" s="3057" t="s">
        <v>1406</v>
      </c>
      <c r="F6" s="3065">
        <f>收益法!J36</f>
        <v>0.39600000000000002</v>
      </c>
      <c r="G6" s="1853"/>
      <c r="H6" s="2980" t="s">
        <v>1035</v>
      </c>
      <c r="I6" s="3313" t="s">
        <v>1404</v>
      </c>
      <c r="J6" s="3018" t="e">
        <f ca="1">ROUND(M6*M8*M7*(1-M9)/10000,0)</f>
        <v>#N/A</v>
      </c>
      <c r="K6" s="2982" t="s">
        <v>3028</v>
      </c>
      <c r="L6" s="3057" t="s">
        <v>1406</v>
      </c>
      <c r="M6" s="2983" t="e">
        <f ca="1">INDIRECT("'数据-取费表'!z"&amp;$G$1)</f>
        <v>#N/A</v>
      </c>
    </row>
    <row r="7" spans="1:37" ht="18" customHeight="1">
      <c r="A7" s="2984"/>
      <c r="B7" s="3314"/>
      <c r="C7" s="2985"/>
      <c r="D7" s="2986"/>
      <c r="E7" s="3059" t="s">
        <v>1407</v>
      </c>
      <c r="F7" s="2983" t="e">
        <f ca="1">IF(INDIRECT("'数据-取费表'!ah"&amp;$G$1)="",INDIRECT("'数据-取费表'!k"&amp;$G$1),INDIRECT("'数据-取费表'!ah"&amp;$G$1))</f>
        <v>#N/A</v>
      </c>
      <c r="G7" s="1853"/>
      <c r="H7" s="2987"/>
      <c r="I7" s="3314"/>
      <c r="J7" s="2988"/>
      <c r="K7" s="2986"/>
      <c r="L7" s="3057" t="s">
        <v>1407</v>
      </c>
      <c r="M7" s="2983" t="e">
        <f ca="1">F7</f>
        <v>#N/A</v>
      </c>
    </row>
    <row r="8" spans="1:37" ht="18" customHeight="1">
      <c r="A8" s="2987"/>
      <c r="B8" s="3314"/>
      <c r="C8" s="2988"/>
      <c r="D8" s="2986"/>
      <c r="E8" s="3057" t="s">
        <v>1408</v>
      </c>
      <c r="F8" s="2983" t="e">
        <f ca="1">INDIRECT("'数据-取费表'!ai"&amp;$G$1)</f>
        <v>#N/A</v>
      </c>
      <c r="G8" s="1853"/>
      <c r="H8" s="2987"/>
      <c r="I8" s="3314"/>
      <c r="J8" s="2988"/>
      <c r="K8" s="2986"/>
      <c r="L8" s="3057" t="s">
        <v>1408</v>
      </c>
      <c r="M8" s="2983" t="e">
        <f ca="1">INDIRECT("'数据-取费表'!ai"&amp;$G$1)</f>
        <v>#N/A</v>
      </c>
    </row>
    <row r="9" spans="1:37" ht="18" customHeight="1">
      <c r="A9" s="2987"/>
      <c r="B9" s="3315"/>
      <c r="C9" s="2988"/>
      <c r="D9" s="2986"/>
      <c r="E9" s="3057" t="s">
        <v>1409</v>
      </c>
      <c r="F9" s="2989" t="e">
        <f ca="1">INDIRECT("'数据-取费表'!w"&amp;$G$1)</f>
        <v>#N/A</v>
      </c>
      <c r="G9" s="1853"/>
      <c r="H9" s="2987"/>
      <c r="I9" s="3315"/>
      <c r="J9" s="2988"/>
      <c r="K9" s="2986"/>
      <c r="L9" s="371" t="s">
        <v>1409</v>
      </c>
      <c r="M9" s="2995" t="e">
        <f ca="1">INDIRECT("'数据-取费表'!ab"&amp;$G$1)</f>
        <v>#N/A</v>
      </c>
    </row>
    <row r="10" spans="1:37" ht="18" customHeight="1">
      <c r="A10" s="2980" t="s">
        <v>1039</v>
      </c>
      <c r="B10" s="1826" t="s">
        <v>1410</v>
      </c>
      <c r="C10" s="2990" t="e">
        <f ca="1">ROUND(IF(F10="押一",F6*F8*F7/12*F11,IF(F10="押二",F6*F8*F7/12*2*F11,IF(F10="押三",F6*F8*F7/12*3*F11,C11*F11)))/10000,0)</f>
        <v>#N/A</v>
      </c>
      <c r="D10" s="1826" t="s">
        <v>3025</v>
      </c>
      <c r="E10" s="371" t="s">
        <v>1412</v>
      </c>
      <c r="F10" s="2991" t="s">
        <v>3113</v>
      </c>
      <c r="G10" s="1853"/>
      <c r="H10" s="2980" t="s">
        <v>1039</v>
      </c>
      <c r="I10" s="1826" t="s">
        <v>1410</v>
      </c>
      <c r="J10" s="3018" t="e">
        <f ca="1">ROUND(IF(M10="押一",M6*M8*M7/12*M11,IF(M10="押二",M6*M8*M7/12*2*M11,IF(M10="押三",M6*M8*M7/12*3*M11,J11*M11)))/10000,0)</f>
        <v>#N/A</v>
      </c>
      <c r="K10" s="1826" t="s">
        <v>3025</v>
      </c>
      <c r="L10" s="371" t="s">
        <v>1412</v>
      </c>
      <c r="M10" s="2991" t="s">
        <v>3113</v>
      </c>
    </row>
    <row r="11" spans="1:37" ht="18" customHeight="1">
      <c r="A11" s="2992"/>
      <c r="B11" s="1828" t="s">
        <v>1389</v>
      </c>
      <c r="C11" s="2993"/>
      <c r="D11" s="2994"/>
      <c r="E11" s="371" t="s">
        <v>1413</v>
      </c>
      <c r="F11" s="2995">
        <f ca="1">'数据-取费表'!B39</f>
        <v>1.4999999999999999E-2</v>
      </c>
      <c r="G11" s="1853"/>
      <c r="H11" s="3023"/>
      <c r="I11" s="1828" t="s">
        <v>1389</v>
      </c>
      <c r="J11" s="2993"/>
      <c r="K11" s="3024"/>
      <c r="L11" s="371" t="s">
        <v>1413</v>
      </c>
      <c r="M11" s="3025">
        <f ca="1">'数据-取费表'!B39</f>
        <v>1.4999999999999999E-2</v>
      </c>
    </row>
    <row r="12" spans="1:37" ht="18" customHeight="1" thickBot="1">
      <c r="A12" s="2996" t="s">
        <v>1075</v>
      </c>
      <c r="B12" s="1829" t="s">
        <v>1414</v>
      </c>
      <c r="C12" s="2997"/>
      <c r="D12" s="2998"/>
      <c r="E12" s="1344"/>
      <c r="F12" s="2999"/>
      <c r="G12" s="1853"/>
      <c r="H12" s="2996" t="s">
        <v>1075</v>
      </c>
      <c r="I12" s="1829" t="s">
        <v>1414</v>
      </c>
      <c r="J12" s="2997"/>
      <c r="K12" s="3026"/>
      <c r="L12" s="1344"/>
      <c r="M12" s="3027"/>
    </row>
    <row r="13" spans="1:37" ht="18" customHeight="1" thickTop="1">
      <c r="A13" s="3000">
        <v>2</v>
      </c>
      <c r="B13" s="1346" t="s">
        <v>1415</v>
      </c>
      <c r="C13" s="3001" t="e">
        <f ca="1">ROUND(C29*F13,0)</f>
        <v>#N/A</v>
      </c>
      <c r="D13" s="379" t="s">
        <v>1416</v>
      </c>
      <c r="E13" s="379" t="s">
        <v>1417</v>
      </c>
      <c r="F13" s="3002" t="e">
        <f ca="1">INDIRECT("'数据-取费表'!y"&amp;$G$1)</f>
        <v>#N/A</v>
      </c>
      <c r="G13" s="1853"/>
      <c r="H13" s="3000">
        <v>2</v>
      </c>
      <c r="I13" s="1346" t="s">
        <v>1415</v>
      </c>
      <c r="J13" s="3028" t="e">
        <f ca="1">ROUND(J14*J15,0)</f>
        <v>#N/A</v>
      </c>
      <c r="K13" s="1347" t="s">
        <v>1416</v>
      </c>
      <c r="L13" s="3029"/>
      <c r="M13" s="3030"/>
    </row>
    <row r="14" spans="1:37" ht="18" customHeight="1">
      <c r="A14" s="198" t="s">
        <v>1034</v>
      </c>
      <c r="B14" s="3057" t="s">
        <v>1418</v>
      </c>
      <c r="C14" s="2485" t="e">
        <f ca="1">INDIRECT("'数据-取费表'!m"&amp;$G$1)+INDIRECT("'数据-取费表'!t"&amp;$G$1)</f>
        <v>#N/A</v>
      </c>
      <c r="D14" s="3058" t="s">
        <v>1419</v>
      </c>
      <c r="E14" s="3056"/>
      <c r="F14" s="3003"/>
      <c r="G14" s="1853"/>
      <c r="H14" s="198" t="s">
        <v>1035</v>
      </c>
      <c r="I14" s="3057" t="s">
        <v>1420</v>
      </c>
      <c r="J14" s="11" t="e">
        <f ca="1">C29</f>
        <v>#N/A</v>
      </c>
      <c r="K14" s="3058"/>
      <c r="L14" s="2424"/>
      <c r="M14" s="3031"/>
    </row>
    <row r="15" spans="1:37" s="1860" customFormat="1" ht="18" customHeight="1" thickBot="1">
      <c r="A15" s="198" t="s">
        <v>1036</v>
      </c>
      <c r="B15" s="3057" t="s">
        <v>1421</v>
      </c>
      <c r="C15" s="11" t="e">
        <f ca="1">ROUND(C14*F15,0)</f>
        <v>#N/A</v>
      </c>
      <c r="D15" s="374" t="s">
        <v>1422</v>
      </c>
      <c r="E15" s="374" t="s">
        <v>1423</v>
      </c>
      <c r="F15" s="3004">
        <f>'数据-取费表'!B33</f>
        <v>0.03</v>
      </c>
      <c r="G15" s="1856"/>
      <c r="H15" s="3010" t="s">
        <v>1039</v>
      </c>
      <c r="I15" s="1344" t="s">
        <v>1417</v>
      </c>
      <c r="J15" s="3027" t="e">
        <f ca="1">INDIRECT("'数据-取费表'!ad"&amp;$G$1)</f>
        <v>#N/A</v>
      </c>
      <c r="K15" s="3032"/>
      <c r="L15" s="3033"/>
      <c r="M15" s="3034"/>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98" t="s">
        <v>1390</v>
      </c>
      <c r="B16" s="3057" t="s">
        <v>1424</v>
      </c>
      <c r="C16" s="11" t="e">
        <f ca="1">ROUND(INDIRECT("'数据-取费表'!m"&amp;$G$1)*F16,0)</f>
        <v>#N/A</v>
      </c>
      <c r="D16" s="3057" t="s">
        <v>1422</v>
      </c>
      <c r="E16" s="3057" t="s">
        <v>1423</v>
      </c>
      <c r="F16" s="3005" t="e">
        <f ca="1">IF(INDIRECT("'数据-取费表'!c"&amp;$G$1)="住宅",'数据-取费表'!B34,0)</f>
        <v>#N/A</v>
      </c>
      <c r="G16" s="1853"/>
      <c r="H16" s="3000" t="s">
        <v>1030</v>
      </c>
      <c r="I16" s="1346" t="s">
        <v>1425</v>
      </c>
      <c r="J16" s="3001" t="e">
        <f ca="1">ROUND(J17+J22+J23+J24,0)</f>
        <v>#N/A</v>
      </c>
      <c r="K16" s="1347" t="s">
        <v>1426</v>
      </c>
      <c r="L16" s="1348"/>
      <c r="M16" s="1349"/>
    </row>
    <row r="17" spans="1:37" s="1860" customFormat="1" ht="18" customHeight="1">
      <c r="A17" s="198" t="s">
        <v>1391</v>
      </c>
      <c r="B17" s="3057" t="s">
        <v>1427</v>
      </c>
      <c r="C17" s="11" t="e">
        <f ca="1">ROUND(F17*(F43+INDIRECT("'数据-取费表'!S"&amp;$G$1))/10000,0)</f>
        <v>#N/A</v>
      </c>
      <c r="D17" s="3057" t="s">
        <v>1428</v>
      </c>
      <c r="E17" s="3057" t="s">
        <v>1429</v>
      </c>
      <c r="F17" s="3006">
        <f>'数据-取费表'!B35</f>
        <v>150</v>
      </c>
      <c r="G17" s="1856"/>
      <c r="H17" s="198" t="s">
        <v>1035</v>
      </c>
      <c r="I17" s="3057" t="s">
        <v>1430</v>
      </c>
      <c r="J17" s="11" t="e">
        <f ca="1">ROUND(IF(项目基本情况!B11="自然人",J5*M17,J18+J19+J20),1)</f>
        <v>#N/A</v>
      </c>
      <c r="K17" s="3058" t="s">
        <v>1431</v>
      </c>
      <c r="L17" s="3057" t="s">
        <v>1432</v>
      </c>
      <c r="M17" s="369"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98" t="s">
        <v>1392</v>
      </c>
      <c r="B18" s="3057" t="s">
        <v>1433</v>
      </c>
      <c r="C18" s="11" t="e">
        <f ca="1">ROUND(C14*F18,0)</f>
        <v>#N/A</v>
      </c>
      <c r="D18" s="3057" t="s">
        <v>1422</v>
      </c>
      <c r="E18" s="3057" t="s">
        <v>1423</v>
      </c>
      <c r="F18" s="3005">
        <f>'数据-取费表'!B36</f>
        <v>1.4999999999999999E-2</v>
      </c>
      <c r="G18" s="1856"/>
      <c r="H18" s="198" t="s">
        <v>1034</v>
      </c>
      <c r="I18" s="3057" t="s">
        <v>1434</v>
      </c>
      <c r="J18" s="11" t="e">
        <f ca="1">ROUND(J5*M18/(1+'数据-取费表'!C42),2)</f>
        <v>#N/A</v>
      </c>
      <c r="K18" s="3057" t="s">
        <v>1435</v>
      </c>
      <c r="L18" s="3057" t="s">
        <v>1423</v>
      </c>
      <c r="M18" s="3005">
        <f>'数据-取费表'!B41</f>
        <v>6.1600000000000002E-2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98" t="s">
        <v>1035</v>
      </c>
      <c r="B19" s="3057" t="s">
        <v>1436</v>
      </c>
      <c r="C19" s="11" t="e">
        <f ca="1">SUM(C14:C18)</f>
        <v>#N/A</v>
      </c>
      <c r="D19" s="3007" t="s">
        <v>1437</v>
      </c>
      <c r="E19" s="3060"/>
      <c r="F19" s="3006"/>
      <c r="G19" s="1853"/>
      <c r="H19" s="198" t="s">
        <v>1036</v>
      </c>
      <c r="I19" s="3057" t="s">
        <v>1438</v>
      </c>
      <c r="J19" s="11" t="e">
        <f ca="1">IF(K19="按租金收入计税",ROUND(J5*M19,2),ROUND(C29*M19*0.7,2))</f>
        <v>#N/A</v>
      </c>
      <c r="K19" s="1830" t="s">
        <v>3222</v>
      </c>
      <c r="L19" s="3057" t="s">
        <v>1423</v>
      </c>
      <c r="M19" s="3005">
        <f>IF(K19="按租金收入计税",'数据-取费表'!B51,'数据-取费表'!B50)</f>
        <v>0.12</v>
      </c>
    </row>
    <row r="20" spans="1:37" s="1860" customFormat="1" ht="18" customHeight="1">
      <c r="A20" s="198" t="s">
        <v>1039</v>
      </c>
      <c r="B20" s="3057" t="s">
        <v>1440</v>
      </c>
      <c r="C20" s="11" t="e">
        <f ca="1">ROUND(C19*F20,0)</f>
        <v>#N/A</v>
      </c>
      <c r="D20" s="370" t="s">
        <v>1441</v>
      </c>
      <c r="E20" s="3057" t="s">
        <v>1423</v>
      </c>
      <c r="F20" s="3005">
        <f>'数据-取费表'!B37</f>
        <v>0.02</v>
      </c>
      <c r="G20" s="1856"/>
      <c r="H20" s="198" t="s">
        <v>1390</v>
      </c>
      <c r="I20" s="2982" t="s">
        <v>1442</v>
      </c>
      <c r="J20" s="23" t="e">
        <f ca="1">ROUND(M20*M21/10000,2)</f>
        <v>#N/A</v>
      </c>
      <c r="K20" s="371" t="s">
        <v>1443</v>
      </c>
      <c r="L20" s="3057" t="s">
        <v>1444</v>
      </c>
      <c r="M20" s="3008">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98" t="s">
        <v>1075</v>
      </c>
      <c r="B21" s="3057" t="s">
        <v>1445</v>
      </c>
      <c r="C21" s="11" t="s">
        <v>18</v>
      </c>
      <c r="D21" s="370" t="s">
        <v>1446</v>
      </c>
      <c r="E21" s="3057" t="s">
        <v>1447</v>
      </c>
      <c r="F21" s="3005">
        <f>'数据-取费表'!B38</f>
        <v>0.02</v>
      </c>
      <c r="G21" s="1856"/>
      <c r="H21" s="3035"/>
      <c r="I21" s="3036"/>
      <c r="J21" s="30"/>
      <c r="K21" s="374"/>
      <c r="L21" s="3057" t="s">
        <v>1448</v>
      </c>
      <c r="M21" s="2983"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98" t="s">
        <v>1393</v>
      </c>
      <c r="B22" s="3057" t="s">
        <v>1449</v>
      </c>
      <c r="C22" s="11"/>
      <c r="D22" s="3007" t="str">
        <f>IF(F23&lt;=1,"单利计息。","复利计息。")&amp;"建造成本、管理费用、销售费用产生的利息。"</f>
        <v>单利计息。建造成本、管理费用、销售费用产生的利息。</v>
      </c>
      <c r="E22" s="3060"/>
      <c r="F22" s="3006"/>
      <c r="G22" s="1853"/>
      <c r="H22" s="198" t="s">
        <v>1039</v>
      </c>
      <c r="I22" s="3057" t="s">
        <v>1450</v>
      </c>
      <c r="J22" s="11" t="e">
        <f ca="1">ROUND(J14*M22,1)</f>
        <v>#N/A</v>
      </c>
      <c r="K22" s="3057" t="s">
        <v>1451</v>
      </c>
      <c r="L22" s="3057" t="s">
        <v>1423</v>
      </c>
      <c r="M22" s="3016" t="e">
        <f ca="1">INDIRECT("'数据-取费表'!Ak"&amp;$G$1)</f>
        <v>#N/A</v>
      </c>
    </row>
    <row r="23" spans="1:37" s="1860" customFormat="1" ht="18" customHeight="1">
      <c r="A23" s="198" t="s">
        <v>1034</v>
      </c>
      <c r="B23" s="3057" t="s">
        <v>1452</v>
      </c>
      <c r="C23" s="11" t="e">
        <f ca="1">IF('数据-取费表'!B22&lt;=1,ROUND(C19*F24*F23/2,0)+ROUND(C20*F24*F23/2,0),ROUND(C19*(POWER((1+F24),F23/2)-1),0)+ROUND(C20*(POWER((1+F24),F23/2)-1),0))</f>
        <v>#N/A</v>
      </c>
      <c r="D23" s="370" t="str">
        <f>IF(F23&lt;=1,"(建造成本+管理费用)×利率×(建设周期÷2)","(建造成本+管理费用)×((1+利率)^(建设周期÷2)-1)")</f>
        <v>(建造成本+管理费用)×利率×(建设周期÷2)</v>
      </c>
      <c r="E23" s="3057" t="s">
        <v>1453</v>
      </c>
      <c r="F23" s="3008">
        <f>'数据-取费表'!B20</f>
        <v>1</v>
      </c>
      <c r="G23" s="1856"/>
      <c r="H23" s="198" t="s">
        <v>1075</v>
      </c>
      <c r="I23" s="3057" t="s">
        <v>1454</v>
      </c>
      <c r="J23" s="11" t="e">
        <f ca="1">ROUND(J13*M23,1)</f>
        <v>#N/A</v>
      </c>
      <c r="K23" s="3057" t="s">
        <v>1455</v>
      </c>
      <c r="L23" s="3057" t="s">
        <v>1423</v>
      </c>
      <c r="M23" s="3017"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98" t="s">
        <v>1457</v>
      </c>
      <c r="B24" s="3057" t="s">
        <v>1458</v>
      </c>
      <c r="C24" s="11">
        <f ca="1">ROUND(IF('数据-取费表'!B22&lt;=1,F21*F24*F23/2,F21*(POWER((1+F24),F23/2)-1)),4)</f>
        <v>4.0000000000000002E-4</v>
      </c>
      <c r="D24" s="370" t="str">
        <f>IF(F23&lt;=1,"销售费用×利率×(建设周期÷2)","销售费用×((1+利率)^(建设周期÷2)-1)")</f>
        <v>销售费用×利率×(建设周期÷2)</v>
      </c>
      <c r="E24" s="3057" t="s">
        <v>1459</v>
      </c>
      <c r="F24" s="3009">
        <f ca="1">'数据-取费表'!B40</f>
        <v>4.3499999999999997E-2</v>
      </c>
      <c r="G24" s="1856"/>
      <c r="H24" s="3010" t="s">
        <v>1394</v>
      </c>
      <c r="I24" s="1344" t="s">
        <v>1440</v>
      </c>
      <c r="J24" s="3011" t="e">
        <f ca="1">ROUND(J5*M24,1)</f>
        <v>#N/A</v>
      </c>
      <c r="K24" s="1344" t="s">
        <v>1460</v>
      </c>
      <c r="L24" s="1344" t="s">
        <v>1423</v>
      </c>
      <c r="M24" s="2999"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98" t="s">
        <v>1461</v>
      </c>
      <c r="B25" s="3057" t="s">
        <v>1462</v>
      </c>
      <c r="C25" s="11"/>
      <c r="D25" s="3007" t="s">
        <v>1463</v>
      </c>
      <c r="E25" s="3060"/>
      <c r="F25" s="3006"/>
      <c r="G25" s="1853"/>
      <c r="H25" s="3000" t="s">
        <v>1031</v>
      </c>
      <c r="I25" s="1346" t="s">
        <v>1464</v>
      </c>
      <c r="J25" s="3001" t="e">
        <f ca="1">J5-J16</f>
        <v>#N/A</v>
      </c>
      <c r="K25" s="1347" t="s">
        <v>1465</v>
      </c>
      <c r="L25" s="1348"/>
      <c r="M25" s="1349"/>
    </row>
    <row r="26" spans="1:37">
      <c r="A26" s="198" t="s">
        <v>1034</v>
      </c>
      <c r="B26" s="3057" t="s">
        <v>1466</v>
      </c>
      <c r="C26" s="11" t="e">
        <f ca="1">ROUND((C19+C20)*F26,0)</f>
        <v>#N/A</v>
      </c>
      <c r="D26" s="370" t="s">
        <v>1467</v>
      </c>
      <c r="E26" s="371" t="s">
        <v>1468</v>
      </c>
      <c r="F26" s="2989" t="e">
        <f ca="1">INDIRECT("'数据-取费表'!q"&amp;$G$1)</f>
        <v>#N/A</v>
      </c>
      <c r="G26" s="1853"/>
      <c r="H26" s="2978" t="s">
        <v>1032</v>
      </c>
      <c r="I26" s="346" t="s">
        <v>1469</v>
      </c>
      <c r="J26" s="3018" t="e">
        <f ca="1">IF(J5&lt;&gt;0,ROUND(J25*(1-((1+M28)/(1+M26))^M27)/(M26-M28),0),0)</f>
        <v>#N/A</v>
      </c>
      <c r="K26" s="371" t="s">
        <v>1470</v>
      </c>
      <c r="L26" s="3057" t="s">
        <v>1471</v>
      </c>
      <c r="M26" s="2989" t="e">
        <f ca="1">INDIRECT("'数据-取费表'!I"&amp;$G$1)</f>
        <v>#N/A</v>
      </c>
    </row>
    <row r="27" spans="1:37" ht="18" customHeight="1">
      <c r="A27" s="198" t="s">
        <v>1036</v>
      </c>
      <c r="B27" s="3057" t="s">
        <v>1472</v>
      </c>
      <c r="C27" s="11" t="e">
        <f ca="1">ROUND(F21*F26,4)</f>
        <v>#N/A</v>
      </c>
      <c r="D27" s="370" t="s">
        <v>1473</v>
      </c>
      <c r="E27" s="374"/>
      <c r="F27" s="3004"/>
      <c r="G27" s="1853"/>
      <c r="H27" s="2987"/>
      <c r="I27" s="351"/>
      <c r="J27" s="2988"/>
      <c r="K27" s="379" t="s">
        <v>1474</v>
      </c>
      <c r="L27" s="3057" t="s">
        <v>1475</v>
      </c>
      <c r="M27" s="3019" t="e">
        <f ca="1">INDIRECT("'数据-取费表'!ag"&amp;$G$1)</f>
        <v>#N/A</v>
      </c>
    </row>
    <row r="28" spans="1:37" s="1860" customFormat="1" ht="18" customHeight="1">
      <c r="A28" s="198" t="s">
        <v>1037</v>
      </c>
      <c r="B28" s="3057" t="s">
        <v>1476</v>
      </c>
      <c r="C28" s="11">
        <f>ROUND(F28/(1+'数据-取费表'!C42),4)</f>
        <v>5.8299999999999998E-2</v>
      </c>
      <c r="D28" s="370" t="s">
        <v>1477</v>
      </c>
      <c r="E28" s="3057" t="s">
        <v>1423</v>
      </c>
      <c r="F28" s="3005">
        <f>'数据-取费表'!B41</f>
        <v>6.1600000000000002E-2</v>
      </c>
      <c r="G28" s="1856"/>
      <c r="H28" s="2992"/>
      <c r="I28" s="355"/>
      <c r="J28" s="3001"/>
      <c r="K28" s="374"/>
      <c r="L28" s="3057" t="s">
        <v>1478</v>
      </c>
      <c r="M28" s="2989"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3010" t="s">
        <v>1038</v>
      </c>
      <c r="B29" s="1344" t="s">
        <v>1479</v>
      </c>
      <c r="C29" s="3011" t="e">
        <f ca="1">ROUND((C19+C20+C23+C26)/(1-F21-C24-C27-C28),0)</f>
        <v>#N/A</v>
      </c>
      <c r="D29" s="1344"/>
      <c r="E29" s="1344"/>
      <c r="F29" s="3012"/>
      <c r="G29" s="1856"/>
      <c r="H29" s="209" t="s">
        <v>1033</v>
      </c>
      <c r="I29" s="3020" t="s">
        <v>1480</v>
      </c>
      <c r="J29" s="229" t="e">
        <f ca="1">ROUND(J26/(1+F40)^F41,0)</f>
        <v>#N/A</v>
      </c>
      <c r="K29" s="3021" t="s">
        <v>1481</v>
      </c>
      <c r="L29" s="3062"/>
      <c r="M29" s="3022"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3000" t="s">
        <v>1030</v>
      </c>
      <c r="B30" s="1346" t="s">
        <v>1425</v>
      </c>
      <c r="C30" s="3001" t="e">
        <f ca="1">ROUND(C31+C36+C37+C38,0)</f>
        <v>#N/A</v>
      </c>
      <c r="D30" s="1347" t="s">
        <v>1426</v>
      </c>
      <c r="E30" s="1348"/>
      <c r="F30" s="1349"/>
      <c r="G30" s="1853"/>
      <c r="H30" s="744"/>
      <c r="I30" s="745"/>
      <c r="J30" s="746"/>
      <c r="K30" s="747"/>
      <c r="L30" s="748"/>
      <c r="M30" s="749"/>
    </row>
    <row r="31" spans="1:37" ht="18" customHeight="1">
      <c r="A31" s="198" t="s">
        <v>1035</v>
      </c>
      <c r="B31" s="3057" t="s">
        <v>1430</v>
      </c>
      <c r="C31" s="11" t="e">
        <f ca="1">ROUND(IF(项目基本情况!B11="自然人",C5*F31,C32+C33+C34),1)</f>
        <v>#N/A</v>
      </c>
      <c r="D31" s="3058" t="s">
        <v>1431</v>
      </c>
      <c r="E31" s="3057" t="s">
        <v>1482</v>
      </c>
      <c r="F31" s="369" t="str">
        <f ca="1">IF(项目基本情况!B11="企业","",IF(INDIRECT("'数据-取费表'!c"&amp;$G$1)="住宅",5%,IF(F6*F7*F8/12/(1+'数据-取费表'!C42)&gt;20000,12%,7%)))</f>
        <v/>
      </c>
      <c r="G31" s="1853"/>
      <c r="K31" s="747"/>
      <c r="L31" s="748"/>
      <c r="M31" s="749"/>
    </row>
    <row r="32" spans="1:37" ht="18" customHeight="1">
      <c r="A32" s="198" t="s">
        <v>1034</v>
      </c>
      <c r="B32" s="3057" t="s">
        <v>1434</v>
      </c>
      <c r="C32" s="11" t="e">
        <f ca="1">IF(项目基本情况!B11="自然人","——",ROUND(C5*F32/(1+'数据-取费表'!C42),2))</f>
        <v>#N/A</v>
      </c>
      <c r="D32" s="3057" t="s">
        <v>1435</v>
      </c>
      <c r="E32" s="3057" t="s">
        <v>1423</v>
      </c>
      <c r="F32" s="3009">
        <f>'数据-取费表'!B41</f>
        <v>6.1600000000000002E-2</v>
      </c>
      <c r="G32" s="1853"/>
      <c r="K32" s="747"/>
      <c r="L32" s="748"/>
      <c r="M32" s="749"/>
    </row>
    <row r="33" spans="1:18" ht="18" customHeight="1">
      <c r="A33" s="198" t="s">
        <v>1036</v>
      </c>
      <c r="B33" s="3057" t="s">
        <v>1438</v>
      </c>
      <c r="C33" s="11" t="e">
        <f ca="1">IF(项目基本情况!B11="自然人","——",IF(D33="按租金收入计税",ROUND(C5*F33,2),IF(D33="按房产原值计税",ROUND(C29*F33*0.7,2),INDIRECT("'数据-取费表'!Aj"&amp;$G$1))))</f>
        <v>#N/A</v>
      </c>
      <c r="D33" s="1830" t="s">
        <v>3222</v>
      </c>
      <c r="E33" s="3057" t="s">
        <v>1423</v>
      </c>
      <c r="F33" s="3005">
        <f>IF(D33="按票据","——",IF(D33="按租金收入计税",'数据-取费表'!B51,'数据-取费表'!B50))</f>
        <v>0.12</v>
      </c>
      <c r="G33" s="1853"/>
      <c r="K33" s="1864"/>
      <c r="L33" s="1861"/>
      <c r="M33" s="1861"/>
    </row>
    <row r="34" spans="1:18" ht="18" customHeight="1">
      <c r="A34" s="2980" t="s">
        <v>1390</v>
      </c>
      <c r="B34" s="2982" t="s">
        <v>1442</v>
      </c>
      <c r="C34" s="23" t="e">
        <f ca="1">IF(项目基本情况!B11="自然人","——",ROUND(F34*F35/10000,2))</f>
        <v>#N/A</v>
      </c>
      <c r="D34" s="371" t="s">
        <v>1443</v>
      </c>
      <c r="E34" s="3057" t="s">
        <v>1444</v>
      </c>
      <c r="F34" s="3008">
        <f>'数据-取费表'!B52</f>
        <v>3</v>
      </c>
      <c r="G34" s="1853"/>
      <c r="K34" s="1865"/>
      <c r="L34" s="1866"/>
      <c r="M34" s="1866"/>
    </row>
    <row r="35" spans="1:18" ht="18" customHeight="1">
      <c r="A35" s="3013"/>
      <c r="B35" s="3014"/>
      <c r="C35" s="30"/>
      <c r="D35" s="374"/>
      <c r="E35" s="3057" t="s">
        <v>1448</v>
      </c>
      <c r="F35" s="2983" t="e">
        <f ca="1">INDIRECT("'数据-取费表'!r"&amp;$G$1)</f>
        <v>#N/A</v>
      </c>
      <c r="G35" s="1853"/>
      <c r="K35" s="1864"/>
      <c r="L35" s="1861"/>
      <c r="M35" s="1861"/>
    </row>
    <row r="36" spans="1:18" ht="18" customHeight="1">
      <c r="A36" s="3015" t="s">
        <v>1039</v>
      </c>
      <c r="B36" s="3057" t="s">
        <v>1450</v>
      </c>
      <c r="C36" s="11" t="e">
        <f ca="1">ROUND(C29*F36,1)</f>
        <v>#N/A</v>
      </c>
      <c r="D36" s="3057" t="s">
        <v>1483</v>
      </c>
      <c r="E36" s="3057" t="s">
        <v>1423</v>
      </c>
      <c r="F36" s="3016" t="e">
        <f ca="1">INDIRECT("'数据-取费表'!Ak"&amp;$G$1)</f>
        <v>#N/A</v>
      </c>
      <c r="G36" s="1853"/>
      <c r="K36" s="750"/>
      <c r="L36" s="1861"/>
      <c r="M36" s="1861"/>
    </row>
    <row r="37" spans="1:18" ht="18" customHeight="1">
      <c r="A37" s="198" t="s">
        <v>1075</v>
      </c>
      <c r="B37" s="3057" t="s">
        <v>1454</v>
      </c>
      <c r="C37" s="11" t="e">
        <f ca="1">ROUND(C13*F37,1)</f>
        <v>#N/A</v>
      </c>
      <c r="D37" s="3057" t="s">
        <v>1455</v>
      </c>
      <c r="E37" s="3057" t="s">
        <v>1423</v>
      </c>
      <c r="F37" s="3017" t="e">
        <f ca="1">INDIRECT("'数据-取费表'!Al"&amp;$G$1)</f>
        <v>#N/A</v>
      </c>
      <c r="G37" s="1853"/>
      <c r="H37" s="1861"/>
      <c r="I37" s="1862"/>
      <c r="J37" s="1863"/>
      <c r="K37" s="750"/>
      <c r="L37" s="1861"/>
      <c r="M37" s="1861"/>
    </row>
    <row r="38" spans="1:18" ht="18" customHeight="1" thickBot="1">
      <c r="A38" s="3010" t="s">
        <v>1394</v>
      </c>
      <c r="B38" s="1344" t="s">
        <v>1440</v>
      </c>
      <c r="C38" s="3011" t="e">
        <f ca="1">ROUND(C5*F38,1)</f>
        <v>#N/A</v>
      </c>
      <c r="D38" s="1344" t="s">
        <v>1460</v>
      </c>
      <c r="E38" s="1344" t="s">
        <v>1423</v>
      </c>
      <c r="F38" s="2999" t="e">
        <f ca="1">INDIRECT("'数据-取费表'!Am"&amp;$G$1)</f>
        <v>#N/A</v>
      </c>
      <c r="G38" s="1853"/>
      <c r="H38" s="1861"/>
      <c r="I38" s="1862"/>
      <c r="J38" s="1863"/>
      <c r="K38" s="1867"/>
      <c r="L38" s="1861"/>
      <c r="M38" s="1861"/>
    </row>
    <row r="39" spans="1:18" ht="24.6" customHeight="1" thickTop="1">
      <c r="A39" s="3000" t="s">
        <v>1031</v>
      </c>
      <c r="B39" s="1346" t="s">
        <v>1464</v>
      </c>
      <c r="C39" s="3001" t="e">
        <f ca="1">C5-C30</f>
        <v>#N/A</v>
      </c>
      <c r="D39" s="1347" t="s">
        <v>1465</v>
      </c>
      <c r="E39" s="1348"/>
      <c r="F39" s="1349"/>
      <c r="G39" s="1853"/>
      <c r="H39" s="1861"/>
      <c r="I39" s="1862"/>
      <c r="J39" s="1863"/>
      <c r="K39" s="1867"/>
      <c r="L39" s="1861"/>
      <c r="M39" s="1861"/>
    </row>
    <row r="40" spans="1:18" ht="18" customHeight="1">
      <c r="A40" s="2978" t="s">
        <v>1032</v>
      </c>
      <c r="B40" s="346" t="s">
        <v>1486</v>
      </c>
      <c r="C40" s="3018" t="e">
        <f ca="1">ROUND(C39*(1-((1+F42)/(1+F40))^F41)/(F40-F42),0)</f>
        <v>#N/A</v>
      </c>
      <c r="D40" s="371" t="s">
        <v>1470</v>
      </c>
      <c r="E40" s="3057" t="s">
        <v>1471</v>
      </c>
      <c r="F40" s="2989" t="e">
        <f ca="1">INDIRECT("'数据-取费表'!I"&amp;$G$1)</f>
        <v>#N/A</v>
      </c>
      <c r="G40" s="1853"/>
      <c r="H40" s="1841"/>
      <c r="I40" s="1862"/>
      <c r="J40" s="1863"/>
      <c r="K40" s="1867"/>
      <c r="L40" s="1841"/>
      <c r="M40" s="1841"/>
    </row>
    <row r="41" spans="1:18" ht="18" customHeight="1">
      <c r="A41" s="2987"/>
      <c r="B41" s="351"/>
      <c r="C41" s="2988"/>
      <c r="D41" s="379" t="s">
        <v>1487</v>
      </c>
      <c r="E41" s="3057" t="s">
        <v>1475</v>
      </c>
      <c r="F41" s="3019" t="e">
        <f ca="1">IF(INDIRECT("'数据-取费表'!af"&amp;$G$1)=0,INDIRECT("'数据-取费表'!ae"&amp;$G$1),INDIRECT("'数据-取费表'!af"&amp;$G$1))</f>
        <v>#N/A</v>
      </c>
      <c r="G41" s="1853"/>
      <c r="H41" s="731"/>
      <c r="I41" s="1862"/>
      <c r="J41" s="1863"/>
      <c r="K41" s="750"/>
      <c r="L41" s="731"/>
      <c r="M41" s="731"/>
    </row>
    <row r="42" spans="1:18" ht="18" customHeight="1">
      <c r="A42" s="2992"/>
      <c r="B42" s="355"/>
      <c r="C42" s="3001"/>
      <c r="D42" s="374"/>
      <c r="E42" s="3057" t="s">
        <v>1478</v>
      </c>
      <c r="F42" s="2989" t="e">
        <f ca="1">INDIRECT("'数据-取费表'!v"&amp;$G$1)</f>
        <v>#N/A</v>
      </c>
      <c r="G42" s="1853"/>
      <c r="H42" s="731"/>
      <c r="I42" s="1862"/>
      <c r="J42" s="1863"/>
      <c r="K42" s="750"/>
      <c r="L42" s="731"/>
      <c r="M42" s="731"/>
    </row>
    <row r="43" spans="1:18" ht="18" customHeight="1" thickBot="1">
      <c r="A43" s="209" t="s">
        <v>1033</v>
      </c>
      <c r="B43" s="3020" t="s">
        <v>1488</v>
      </c>
      <c r="C43" s="229" t="e">
        <f ca="1">ROUND(C40*10000/F43,0)</f>
        <v>#N/A</v>
      </c>
      <c r="D43" s="3021" t="s">
        <v>1489</v>
      </c>
      <c r="E43" s="3062" t="s">
        <v>1490</v>
      </c>
      <c r="F43" s="3022" t="e">
        <f ca="1">INDIRECT("'数据-取费表'!k"&amp;$G$1)</f>
        <v>#N/A</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1520</v>
      </c>
      <c r="P45" s="1841"/>
      <c r="Q45" s="1841"/>
      <c r="R45" s="1841"/>
    </row>
    <row r="46" spans="1:18" s="1844" customFormat="1" ht="13.5" thickBot="1">
      <c r="A46" s="1872" t="s">
        <v>1521</v>
      </c>
      <c r="C46" s="1873" t="e">
        <f ca="1">C68-C40</f>
        <v>#N/A</v>
      </c>
      <c r="D46" s="1874" t="str">
        <f>C2</f>
        <v>万元</v>
      </c>
      <c r="E46" s="1868"/>
      <c r="F46" s="1868"/>
      <c r="I46" s="1875" t="s">
        <v>1522</v>
      </c>
      <c r="J46" s="1876"/>
      <c r="K46" s="1877"/>
      <c r="L46" s="1878" t="e">
        <f ca="1">IF(M47="住宅",0,IF(L48&gt;J51,L60,J60))</f>
        <v>#N/A</v>
      </c>
      <c r="O46" s="1879" t="s">
        <v>1523</v>
      </c>
      <c r="P46" s="1880" t="s">
        <v>1524</v>
      </c>
      <c r="Q46" s="1881" t="s">
        <v>1525</v>
      </c>
      <c r="R46" s="1881" t="s">
        <v>1526</v>
      </c>
    </row>
    <row r="47" spans="1:18" s="1844" customFormat="1" ht="13.5" thickBot="1">
      <c r="A47" s="1167" t="s">
        <v>1397</v>
      </c>
      <c r="B47" s="1199" t="s">
        <v>1398</v>
      </c>
      <c r="C47" s="1369" t="s">
        <v>1399</v>
      </c>
      <c r="D47" s="1199" t="s">
        <v>1400</v>
      </c>
      <c r="E47" s="1281" t="s">
        <v>1401</v>
      </c>
      <c r="F47" s="1282"/>
      <c r="G47" s="791"/>
      <c r="I47" s="1882" t="s">
        <v>1527</v>
      </c>
      <c r="J47" s="1883" t="s">
        <v>3111</v>
      </c>
      <c r="K47" s="1884" t="s">
        <v>1528</v>
      </c>
      <c r="L47" s="1885" t="e">
        <f ca="1">INDIRECT("'数据-取费表'!d"&amp;$G$1)</f>
        <v>#N/A</v>
      </c>
      <c r="M47" s="1840" t="str">
        <f>IF(ISNUMBER(FIND("住宅",C1)),"住宅","非住宅")</f>
        <v>非住宅</v>
      </c>
      <c r="O47" s="1886" t="s">
        <v>1040</v>
      </c>
      <c r="P47" s="1887" t="s">
        <v>1529</v>
      </c>
      <c r="Q47" s="1888" t="e">
        <f ca="1">C40+J29</f>
        <v>#N/A</v>
      </c>
      <c r="R47" s="1888" t="s">
        <v>1530</v>
      </c>
    </row>
    <row r="48" spans="1:18" s="1844" customFormat="1" ht="28.5" thickBot="1">
      <c r="A48" s="1362" t="s">
        <v>1135</v>
      </c>
      <c r="B48" s="346" t="s">
        <v>1402</v>
      </c>
      <c r="C48" s="3063" t="e">
        <f ca="1">C49+C53+C55</f>
        <v>#N/A</v>
      </c>
      <c r="D48" s="1364"/>
      <c r="E48" s="1365"/>
      <c r="F48" s="1183"/>
      <c r="G48" s="791"/>
      <c r="H48" s="792"/>
      <c r="I48" s="1889" t="s">
        <v>1531</v>
      </c>
      <c r="J48" s="1890" t="s">
        <v>3112</v>
      </c>
      <c r="K48" s="1891" t="s">
        <v>1532</v>
      </c>
      <c r="L48" s="1892" t="e">
        <f ca="1">INDIRECT("'数据-取费表'!f"&amp;$G$1)</f>
        <v>#N/A</v>
      </c>
      <c r="O48" s="1886" t="s">
        <v>1041</v>
      </c>
      <c r="P48" s="1887" t="s">
        <v>1533</v>
      </c>
      <c r="Q48" s="1888" t="e">
        <f ca="1">J60</f>
        <v>#N/A</v>
      </c>
      <c r="R48" s="1888" t="s">
        <v>1534</v>
      </c>
    </row>
    <row r="49" spans="1:18" s="1844" customFormat="1" ht="13.5" thickBot="1">
      <c r="A49" s="1196" t="s">
        <v>1136</v>
      </c>
      <c r="B49" s="1831" t="s">
        <v>1491</v>
      </c>
      <c r="C49" s="1366" t="e">
        <f ca="1">ROUND(F49*F51*F50*(1-F52)/10000,0)</f>
        <v>#N/A</v>
      </c>
      <c r="D49" s="1278" t="s">
        <v>3028</v>
      </c>
      <c r="E49" s="1832" t="s">
        <v>1492</v>
      </c>
      <c r="F49" s="1283"/>
      <c r="G49" s="1893"/>
      <c r="H49" s="792"/>
      <c r="I49" s="1889" t="s">
        <v>1535</v>
      </c>
      <c r="J49" s="1894">
        <v>2014</v>
      </c>
      <c r="K49" s="1891" t="s">
        <v>1536</v>
      </c>
      <c r="L49" s="1895"/>
      <c r="O49" s="1896" t="s">
        <v>1042</v>
      </c>
      <c r="P49" s="1887" t="s">
        <v>1537</v>
      </c>
      <c r="Q49" s="1888" t="e">
        <f ca="1">C29</f>
        <v>#N/A</v>
      </c>
      <c r="R49" s="1888" t="s">
        <v>1530</v>
      </c>
    </row>
    <row r="50" spans="1:18" s="1844" customFormat="1" ht="13.5" thickBot="1">
      <c r="A50" s="1197"/>
      <c r="B50" s="1200"/>
      <c r="C50" s="1370"/>
      <c r="D50" s="1174"/>
      <c r="E50" s="1279" t="s">
        <v>1407</v>
      </c>
      <c r="F50" s="1280" t="e">
        <f ca="1">F7</f>
        <v>#N/A</v>
      </c>
      <c r="H50" s="792"/>
      <c r="I50" s="1889" t="s">
        <v>1538</v>
      </c>
      <c r="J50" s="1897">
        <f>SUMPRODUCT((I63:I65=J47)*(J62:L62=J48)*(J63:L65))</f>
        <v>60</v>
      </c>
      <c r="K50" s="1891" t="s">
        <v>1539</v>
      </c>
      <c r="L50" s="1895"/>
      <c r="M50" s="1898"/>
      <c r="O50" s="1896" t="s">
        <v>1043</v>
      </c>
      <c r="P50" s="1887" t="s">
        <v>1540</v>
      </c>
      <c r="Q50" s="1899" t="e">
        <f ca="1">J58</f>
        <v>#N/A</v>
      </c>
      <c r="R50" s="1888"/>
    </row>
    <row r="51" spans="1:18" s="1844" customFormat="1" ht="13.5" thickBot="1">
      <c r="A51" s="1198"/>
      <c r="B51" s="1200"/>
      <c r="C51" s="1201"/>
      <c r="D51" s="1174"/>
      <c r="E51" s="1202" t="s">
        <v>1408</v>
      </c>
      <c r="F51" s="349" t="e">
        <f ca="1">F8</f>
        <v>#N/A</v>
      </c>
      <c r="I51" s="1900" t="s">
        <v>1541</v>
      </c>
      <c r="J51" s="1901">
        <f>IF(J49="",J50,J49+J50-YEAR('数据-取费表'!B2))</f>
        <v>57</v>
      </c>
      <c r="K51" s="1902" t="s">
        <v>1542</v>
      </c>
      <c r="L51" s="1903" t="e">
        <f ca="1">ROUND(-PV(INDIRECT("'数据-取费表'!h"&amp;$G$1),L48,(C39-C13*C76),0),0)</f>
        <v>#N/A</v>
      </c>
      <c r="M51" s="1904"/>
      <c r="O51" s="1896" t="s">
        <v>1044</v>
      </c>
      <c r="P51" s="1887" t="s">
        <v>1543</v>
      </c>
      <c r="Q51" s="1899">
        <f>J52</f>
        <v>7.0000000000000007E-2</v>
      </c>
      <c r="R51" s="1888"/>
    </row>
    <row r="52" spans="1:18" s="1844" customFormat="1" ht="13.5" thickBot="1">
      <c r="A52" s="1198"/>
      <c r="B52" s="1200"/>
      <c r="C52" s="1201"/>
      <c r="D52" s="1174"/>
      <c r="E52" s="1202" t="s">
        <v>1409</v>
      </c>
      <c r="F52" s="1277"/>
      <c r="I52" s="1905" t="s">
        <v>1544</v>
      </c>
      <c r="J52" s="3048">
        <f>'数据-取费表'!J6</f>
        <v>7.0000000000000007E-2</v>
      </c>
      <c r="K52" s="1905" t="s">
        <v>1545</v>
      </c>
      <c r="L52" s="1906"/>
      <c r="O52" s="1896" t="s">
        <v>1045</v>
      </c>
      <c r="P52" s="1887" t="s">
        <v>1546</v>
      </c>
      <c r="Q52" s="1888" t="e">
        <f ca="1">J53</f>
        <v>#N/A</v>
      </c>
      <c r="R52" s="1888" t="s">
        <v>1547</v>
      </c>
    </row>
    <row r="53" spans="1:18" s="1844" customFormat="1" ht="24.75" thickBot="1">
      <c r="A53" s="1407" t="s">
        <v>1137</v>
      </c>
      <c r="B53" s="1833" t="s">
        <v>1410</v>
      </c>
      <c r="C53" s="362">
        <f ca="1">ROUND(IF(F53="押一",F49*F51*F50/12*F11,IF(F53="押二",F49*F51*F50/12*2*F11,IF(F53="押三",F49*F51*F50/12*3*F11,C54*F11)))/10000,0)</f>
        <v>0</v>
      </c>
      <c r="D53" s="1827" t="s">
        <v>3025</v>
      </c>
      <c r="E53" s="359" t="s">
        <v>1412</v>
      </c>
      <c r="F53" s="1368"/>
      <c r="I53" s="1907" t="s">
        <v>1548</v>
      </c>
      <c r="J53" s="1908" t="e">
        <f ca="1">IF(M47="住宅",J51,IF(D1="——",MIN(J51,L48),IF(D1="在建（套用方法）",MIN(J51,L48-'数据-取费表'!B24),IF(D1="土地（套用方法）",MIN(J51,L48-'数据-取费表'!B20)))))</f>
        <v>#N/A</v>
      </c>
      <c r="K53" s="3311" t="s">
        <v>1549</v>
      </c>
      <c r="L53" s="3312"/>
      <c r="O53" s="1886" t="s">
        <v>1046</v>
      </c>
      <c r="P53" s="1887" t="s">
        <v>1550</v>
      </c>
      <c r="Q53" s="1888" t="e">
        <f ca="1">Q47+Q48</f>
        <v>#N/A</v>
      </c>
      <c r="R53" s="1888" t="s">
        <v>1047</v>
      </c>
    </row>
    <row r="54" spans="1:18" s="1844" customFormat="1" ht="13.5" thickBot="1">
      <c r="A54" s="1408"/>
      <c r="B54" s="1828" t="s">
        <v>1389</v>
      </c>
      <c r="C54" s="1180"/>
      <c r="D54" s="1827"/>
      <c r="E54" s="3061"/>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1551</v>
      </c>
      <c r="P54" s="1841"/>
      <c r="Q54" s="1841"/>
      <c r="R54" s="1841"/>
    </row>
    <row r="55" spans="1:18" s="1844" customFormat="1" ht="13.5" thickBot="1">
      <c r="A55" s="1335" t="s">
        <v>1075</v>
      </c>
      <c r="B55" s="1829" t="s">
        <v>1414</v>
      </c>
      <c r="C55" s="1336"/>
      <c r="D55" s="1827"/>
      <c r="E55" s="3061"/>
      <c r="F55" s="1909"/>
      <c r="I55" s="1912" t="s">
        <v>1552</v>
      </c>
      <c r="J55" s="1913" t="e">
        <f ca="1">ROUND(IF(J47="钢混",J57/J50,1-(1-2%)*(J50-J57)/J50),3)</f>
        <v>#N/A</v>
      </c>
      <c r="K55" s="1914" t="s">
        <v>1553</v>
      </c>
      <c r="L55" s="1915" t="s">
        <v>1554</v>
      </c>
      <c r="O55" s="1879" t="s">
        <v>1523</v>
      </c>
      <c r="P55" s="1880" t="s">
        <v>1524</v>
      </c>
      <c r="Q55" s="1881" t="s">
        <v>1525</v>
      </c>
      <c r="R55" s="1881" t="s">
        <v>1526</v>
      </c>
    </row>
    <row r="56" spans="1:18" s="1844" customFormat="1" ht="25.5" thickTop="1" thickBot="1">
      <c r="A56" s="1178">
        <v>2</v>
      </c>
      <c r="B56" s="1179" t="s">
        <v>1415</v>
      </c>
      <c r="C56" s="277" t="e">
        <f ca="1">C13</f>
        <v>#N/A</v>
      </c>
      <c r="D56" s="1916"/>
      <c r="E56" s="1917"/>
      <c r="F56" s="1909"/>
      <c r="I56" s="1918" t="s">
        <v>1555</v>
      </c>
      <c r="J56" s="3049" t="s">
        <v>3047</v>
      </c>
      <c r="K56" s="1889" t="s">
        <v>1556</v>
      </c>
      <c r="L56" s="1892" t="e">
        <f ca="1">IF(L48&lt;J51,"——",L48-J53)</f>
        <v>#N/A</v>
      </c>
      <c r="O56" s="1886" t="s">
        <v>1040</v>
      </c>
      <c r="P56" s="1887" t="s">
        <v>1529</v>
      </c>
      <c r="Q56" s="1888" t="e">
        <f ca="1">C40+J29</f>
        <v>#N/A</v>
      </c>
      <c r="R56" s="1888" t="s">
        <v>1530</v>
      </c>
    </row>
    <row r="57" spans="1:18" s="1844" customFormat="1" ht="24.75" thickBot="1">
      <c r="A57" s="1920"/>
      <c r="B57" s="1171" t="s">
        <v>1479</v>
      </c>
      <c r="C57" s="283" t="e">
        <f ca="1">C29</f>
        <v>#N/A</v>
      </c>
      <c r="D57" s="1921"/>
      <c r="E57" s="1922"/>
      <c r="F57" s="1923"/>
      <c r="I57" s="1924" t="s">
        <v>1557</v>
      </c>
      <c r="J57" s="1925" t="e">
        <f ca="1">IF(OR(M47="住宅",J51&lt;L48,J56="是"),"——",J51-L48)</f>
        <v>#N/A</v>
      </c>
      <c r="K57" s="1889" t="s">
        <v>1558</v>
      </c>
      <c r="L57" s="1892" t="e">
        <f ca="1">IF(L48&lt;J51,"——",IF(L55="比较法",L49,IF(L55="基准地价",L50,L51)))</f>
        <v>#N/A</v>
      </c>
      <c r="O57" s="1886" t="s">
        <v>1041</v>
      </c>
      <c r="P57" s="1887" t="s">
        <v>1559</v>
      </c>
      <c r="Q57" s="1888" t="e">
        <f ca="1">L60</f>
        <v>#N/A</v>
      </c>
      <c r="R57" s="1888" t="s">
        <v>1560</v>
      </c>
    </row>
    <row r="58" spans="1:18" s="1844" customFormat="1" ht="24.75" thickBot="1">
      <c r="A58" s="361" t="s">
        <v>1030</v>
      </c>
      <c r="B58" s="1179" t="s">
        <v>1425</v>
      </c>
      <c r="C58" s="362" t="e">
        <f ca="1">ROUND(C59+C64+C65+C66,0)</f>
        <v>#N/A</v>
      </c>
      <c r="D58" s="1181" t="s">
        <v>1426</v>
      </c>
      <c r="E58" s="1182"/>
      <c r="F58" s="1183"/>
      <c r="I58" s="1924" t="s">
        <v>1561</v>
      </c>
      <c r="J58" s="1926" t="e">
        <f ca="1">IF(J55&lt;0.4,0.4,J55)</f>
        <v>#N/A</v>
      </c>
      <c r="K58" s="1902" t="s">
        <v>1562</v>
      </c>
      <c r="L58" s="1892" t="e">
        <f ca="1">ROUND(POWER(1+L52,L47-L48)*(POWER(1+L52,L48)-1)/(POWER(1+L52,L47)-1),4)</f>
        <v>#N/A</v>
      </c>
      <c r="O58" s="1896" t="s">
        <v>1042</v>
      </c>
      <c r="P58" s="1887" t="s">
        <v>1563</v>
      </c>
      <c r="Q58" s="1888">
        <f>IF(L55="比较法",L49,IF(L55="基准地价",L50,0))</f>
        <v>0</v>
      </c>
      <c r="R58" s="1888" t="s">
        <v>1530</v>
      </c>
    </row>
    <row r="59" spans="1:18" s="1844" customFormat="1" ht="24.75" thickBot="1">
      <c r="A59" s="1203" t="s">
        <v>1035</v>
      </c>
      <c r="B59" s="1171" t="s">
        <v>1430</v>
      </c>
      <c r="C59" s="24" t="e">
        <f ca="1">ROUND(IF(项目基本情况!B11="自然人",C48*F59,C60+C61+C62),1)</f>
        <v>#N/A</v>
      </c>
      <c r="D59" s="1184" t="s">
        <v>1431</v>
      </c>
      <c r="E59" s="1185" t="s">
        <v>1432</v>
      </c>
      <c r="F59" s="369" t="str">
        <f ca="1">IF(项目基本情况!B11="企业","",IF(INDIRECT("'数据-取费表'!c"&amp;$G$1)="住宅",5%,IF(F49*F50*F51/12/(1+'数据-取费表'!C42)&gt;20000,12%,7%)))</f>
        <v/>
      </c>
      <c r="I59" s="1924" t="s">
        <v>1564</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#N/A</v>
      </c>
      <c r="M59" s="1840" t="e">
        <f ca="1">ROUND(POWER(1+L52,L47-(J51+'数据-取费表'!B24))*(POWER(1+L52,(J51+'数据-取费表'!B24))-1)/(POWER(1+L52,L47)-1),4)</f>
        <v>#N/A</v>
      </c>
      <c r="N59" s="1840" t="e">
        <f ca="1">ROUND(POWER(1+L52,L47-(J51+'数据-取费表'!B20))*(POWER(1+L52,(J51+'数据-取费表'!B20))-1)/(POWER(1+L52,L47)-1),4)</f>
        <v>#N/A</v>
      </c>
      <c r="O59" s="1896" t="s">
        <v>1043</v>
      </c>
      <c r="P59" s="1887" t="s">
        <v>1565</v>
      </c>
      <c r="Q59" s="1899">
        <f>L52</f>
        <v>0</v>
      </c>
      <c r="R59" s="1888"/>
    </row>
    <row r="60" spans="1:18" s="1844" customFormat="1" ht="16.5" thickBot="1">
      <c r="A60" s="1203" t="s">
        <v>1034</v>
      </c>
      <c r="B60" s="1171" t="s">
        <v>1434</v>
      </c>
      <c r="C60" s="24" t="e">
        <f ca="1">IF(项目基本情况!B11="自然人","——",ROUND(C48*F60/(1+'数据-取费表'!C42),2))</f>
        <v>#N/A</v>
      </c>
      <c r="D60" s="1185" t="s">
        <v>1435</v>
      </c>
      <c r="E60" s="1171" t="s">
        <v>1423</v>
      </c>
      <c r="F60" s="378">
        <f t="shared" ref="F60:F62" si="0">F32</f>
        <v>6.1600000000000002E-2</v>
      </c>
      <c r="I60" s="1927" t="s">
        <v>1566</v>
      </c>
      <c r="J60" s="1928" t="e">
        <f ca="1">IF(OR(M47="住宅",J51&lt;L48,J56="是"),"0",ROUND(J59/(1+J52)^J53,0))</f>
        <v>#N/A</v>
      </c>
      <c r="K60" s="1929" t="s">
        <v>1567</v>
      </c>
      <c r="L60" s="1928" t="e">
        <f ca="1">IF(OR(M47="住宅",L48&lt;J51),0,ROUND(L57*(L58/L59-1),0))</f>
        <v>#N/A</v>
      </c>
      <c r="O60" s="1896" t="s">
        <v>1044</v>
      </c>
      <c r="P60" s="1887" t="s">
        <v>1568</v>
      </c>
      <c r="Q60" s="1888" t="e">
        <f ca="1">L58</f>
        <v>#N/A</v>
      </c>
      <c r="R60" s="1888" t="s">
        <v>1569</v>
      </c>
    </row>
    <row r="61" spans="1:18" s="1844" customFormat="1" ht="13.5" thickBot="1">
      <c r="A61" s="1203" t="s">
        <v>1493</v>
      </c>
      <c r="B61" s="1171" t="s">
        <v>1438</v>
      </c>
      <c r="C61" s="24" t="e">
        <f ca="1">IF(项目基本情况!B11="自然人","——",IF(D61="按租金收入计税",ROUND(C48*F61,2),IF(D61="按房产原值计税",ROUND(C57*F61*0.7,2),INDIRECT("'数据-取费表'!Aj"&amp;$G$1))))</f>
        <v>#N/A</v>
      </c>
      <c r="D61" s="1830" t="s">
        <v>1439</v>
      </c>
      <c r="E61" s="1171" t="s">
        <v>1495</v>
      </c>
      <c r="F61" s="368">
        <f t="shared" si="0"/>
        <v>0.12</v>
      </c>
      <c r="I61" s="1930"/>
      <c r="J61" s="1930"/>
      <c r="K61" s="1930"/>
      <c r="L61" s="1930"/>
      <c r="O61" s="1896" t="s">
        <v>1045</v>
      </c>
      <c r="P61" s="1887" t="str">
        <f>K59</f>
        <v>续建工期及建筑物耐用年限下的土地年期修正系数Kn</v>
      </c>
      <c r="Q61" s="1888" t="e">
        <f ca="1">L59</f>
        <v>#N/A</v>
      </c>
      <c r="R61" s="1888" t="s">
        <v>1570</v>
      </c>
    </row>
    <row r="62" spans="1:18" s="1844" customFormat="1" ht="13.5" thickBot="1">
      <c r="A62" s="1203" t="s">
        <v>1496</v>
      </c>
      <c r="B62" s="1170" t="s">
        <v>1497</v>
      </c>
      <c r="C62" s="25" t="e">
        <f ca="1">IF(项目基本情况!B11="自然人","——",ROUND(F62*F63/10000,2))</f>
        <v>#N/A</v>
      </c>
      <c r="D62" s="1186" t="s">
        <v>1498</v>
      </c>
      <c r="E62" s="1171" t="s">
        <v>1499</v>
      </c>
      <c r="F62" s="372">
        <f t="shared" si="0"/>
        <v>3</v>
      </c>
      <c r="I62" s="1931" t="s">
        <v>1571</v>
      </c>
      <c r="J62" s="1932" t="s">
        <v>1572</v>
      </c>
      <c r="K62" s="1932" t="s">
        <v>1573</v>
      </c>
      <c r="L62" s="1932" t="s">
        <v>1574</v>
      </c>
      <c r="M62" s="1933" t="s">
        <v>1575</v>
      </c>
      <c r="O62" s="1886" t="s">
        <v>1046</v>
      </c>
      <c r="P62" s="1887" t="s">
        <v>1550</v>
      </c>
      <c r="Q62" s="1888" t="e">
        <f ca="1">Q56+Q57</f>
        <v>#N/A</v>
      </c>
      <c r="R62" s="1888" t="s">
        <v>1047</v>
      </c>
    </row>
    <row r="63" spans="1:18" s="1844" customFormat="1" ht="13.5" thickBot="1">
      <c r="A63" s="373"/>
      <c r="B63" s="1177"/>
      <c r="C63" s="29"/>
      <c r="D63" s="1187"/>
      <c r="E63" s="1171" t="s">
        <v>1500</v>
      </c>
      <c r="F63" s="349" t="e">
        <f ca="1">F35</f>
        <v>#N/A</v>
      </c>
      <c r="I63" s="1931" t="s">
        <v>1577</v>
      </c>
      <c r="J63" s="1932">
        <v>70</v>
      </c>
      <c r="K63" s="1932">
        <v>50</v>
      </c>
      <c r="L63" s="1932">
        <v>80</v>
      </c>
      <c r="M63" s="1934">
        <v>0.02</v>
      </c>
      <c r="O63" s="1871" t="s">
        <v>1578</v>
      </c>
      <c r="P63" s="1841"/>
      <c r="Q63" s="1841"/>
      <c r="R63" s="1841"/>
    </row>
    <row r="64" spans="1:18" s="1844" customFormat="1" ht="13.5" thickBot="1">
      <c r="A64" s="1203" t="s">
        <v>1039</v>
      </c>
      <c r="B64" s="1171" t="s">
        <v>1450</v>
      </c>
      <c r="C64" s="24" t="e">
        <f ca="1">ROUND(C57*F64,1)</f>
        <v>#N/A</v>
      </c>
      <c r="D64" s="1185" t="s">
        <v>1503</v>
      </c>
      <c r="E64" s="1171" t="s">
        <v>1495</v>
      </c>
      <c r="F64" s="375" t="e">
        <f ca="1">F36</f>
        <v>#N/A</v>
      </c>
      <c r="I64" s="1931" t="s">
        <v>1579</v>
      </c>
      <c r="J64" s="1932">
        <v>50</v>
      </c>
      <c r="K64" s="1932">
        <v>35</v>
      </c>
      <c r="L64" s="1932">
        <v>60</v>
      </c>
      <c r="M64" s="1933">
        <v>0</v>
      </c>
      <c r="O64" s="1879" t="s">
        <v>1523</v>
      </c>
      <c r="P64" s="1880" t="s">
        <v>1524</v>
      </c>
      <c r="Q64" s="1881" t="s">
        <v>1525</v>
      </c>
      <c r="R64" s="1881" t="s">
        <v>1526</v>
      </c>
    </row>
    <row r="65" spans="1:18" s="1844" customFormat="1" ht="13.5" thickBot="1">
      <c r="A65" s="1203" t="s">
        <v>1504</v>
      </c>
      <c r="B65" s="1171" t="s">
        <v>1454</v>
      </c>
      <c r="C65" s="24" t="e">
        <f ca="1">ROUND(C56*F65,1)</f>
        <v>#N/A</v>
      </c>
      <c r="D65" s="1185" t="s">
        <v>1455</v>
      </c>
      <c r="E65" s="1171" t="s">
        <v>1423</v>
      </c>
      <c r="F65" s="377" t="e">
        <f ca="1">F37</f>
        <v>#N/A</v>
      </c>
      <c r="I65" s="1931" t="s">
        <v>1580</v>
      </c>
      <c r="J65" s="1932">
        <v>40</v>
      </c>
      <c r="K65" s="1932">
        <v>30</v>
      </c>
      <c r="L65" s="1932">
        <v>50</v>
      </c>
      <c r="M65" s="1934">
        <v>0.02</v>
      </c>
      <c r="O65" s="1886" t="s">
        <v>1040</v>
      </c>
      <c r="P65" s="1887" t="s">
        <v>1529</v>
      </c>
      <c r="Q65" s="1888" t="e">
        <f ca="1">C40+J29</f>
        <v>#N/A</v>
      </c>
      <c r="R65" s="1888" t="s">
        <v>1530</v>
      </c>
    </row>
    <row r="66" spans="1:18" s="1844" customFormat="1" ht="16.5" thickBot="1">
      <c r="A66" s="1203" t="s">
        <v>1505</v>
      </c>
      <c r="B66" s="1171" t="s">
        <v>1440</v>
      </c>
      <c r="C66" s="24" t="e">
        <f ca="1">ROUND(C48*F66,1)</f>
        <v>#N/A</v>
      </c>
      <c r="D66" s="1185" t="s">
        <v>1460</v>
      </c>
      <c r="E66" s="1171" t="s">
        <v>1423</v>
      </c>
      <c r="F66" s="358" t="e">
        <f ca="1">F38</f>
        <v>#N/A</v>
      </c>
      <c r="O66" s="1886" t="s">
        <v>1041</v>
      </c>
      <c r="P66" s="1887" t="s">
        <v>1559</v>
      </c>
      <c r="Q66" s="1888" t="e">
        <f ca="1">L60</f>
        <v>#N/A</v>
      </c>
      <c r="R66" s="1888" t="s">
        <v>1582</v>
      </c>
    </row>
    <row r="67" spans="1:18" s="1844" customFormat="1" ht="16.5" thickBot="1">
      <c r="A67" s="1178" t="s">
        <v>1031</v>
      </c>
      <c r="B67" s="1188" t="s">
        <v>1464</v>
      </c>
      <c r="C67" s="362" t="e">
        <f ca="1">C48-C58</f>
        <v>#N/A</v>
      </c>
      <c r="D67" s="1184" t="s">
        <v>1465</v>
      </c>
      <c r="E67" s="1189"/>
      <c r="F67" s="1190"/>
      <c r="O67" s="1896" t="s">
        <v>1042</v>
      </c>
      <c r="P67" s="1887" t="s">
        <v>1563</v>
      </c>
      <c r="Q67" s="1935" t="e">
        <f ca="1">L51</f>
        <v>#N/A</v>
      </c>
      <c r="R67" s="1888" t="s">
        <v>1583</v>
      </c>
    </row>
    <row r="68" spans="1:18" s="1844" customFormat="1" ht="16.5" thickBot="1">
      <c r="A68" s="1168" t="s">
        <v>1032</v>
      </c>
      <c r="B68" s="1169" t="s">
        <v>1486</v>
      </c>
      <c r="C68" s="347" t="e">
        <f ca="1">ROUND(C67*(1-((1+F70)/(1+F68))^F69)/(F68-F70),0)</f>
        <v>#N/A</v>
      </c>
      <c r="D68" s="1186" t="s">
        <v>1470</v>
      </c>
      <c r="E68" s="1171" t="s">
        <v>1471</v>
      </c>
      <c r="F68" s="358" t="e">
        <f ca="1">F40</f>
        <v>#N/A</v>
      </c>
      <c r="O68" s="1896" t="s">
        <v>1043</v>
      </c>
      <c r="P68" s="1936" t="s">
        <v>1584</v>
      </c>
      <c r="Q68" s="1888" t="e">
        <f ca="1">ROUND(Q69-Q70*Q71,0)</f>
        <v>#N/A</v>
      </c>
      <c r="R68" s="1888" t="s">
        <v>1051</v>
      </c>
    </row>
    <row r="69" spans="1:18" s="1844" customFormat="1" ht="13.5" thickBot="1">
      <c r="A69" s="1172"/>
      <c r="B69" s="1173"/>
      <c r="C69" s="352"/>
      <c r="D69" s="1191" t="s">
        <v>1474</v>
      </c>
      <c r="E69" s="1171" t="s">
        <v>1475</v>
      </c>
      <c r="F69" s="380" t="e">
        <f ca="1">F41</f>
        <v>#N/A</v>
      </c>
      <c r="O69" s="1896" t="s">
        <v>1048</v>
      </c>
      <c r="P69" s="1936" t="s">
        <v>1585</v>
      </c>
      <c r="Q69" s="1888" t="e">
        <f ca="1">C39</f>
        <v>#N/A</v>
      </c>
      <c r="R69" s="1888" t="s">
        <v>1530</v>
      </c>
    </row>
    <row r="70" spans="1:18" s="1844" customFormat="1" ht="13.5" thickBot="1">
      <c r="A70" s="1175"/>
      <c r="B70" s="1176"/>
      <c r="C70" s="356"/>
      <c r="D70" s="1187"/>
      <c r="E70" s="1171" t="s">
        <v>1478</v>
      </c>
      <c r="F70" s="1277"/>
      <c r="O70" s="1896" t="s">
        <v>1049</v>
      </c>
      <c r="P70" s="1936" t="s">
        <v>1586</v>
      </c>
      <c r="Q70" s="1888" t="e">
        <f ca="1">C13</f>
        <v>#N/A</v>
      </c>
      <c r="R70" s="1888" t="s">
        <v>1530</v>
      </c>
    </row>
    <row r="71" spans="1:18" s="1844" customFormat="1" ht="13.5" thickBot="1">
      <c r="A71" s="1192" t="s">
        <v>1033</v>
      </c>
      <c r="B71" s="1193" t="s">
        <v>1488</v>
      </c>
      <c r="C71" s="383" t="e">
        <f ca="1">ROUND(C68*10000/F71,0)</f>
        <v>#N/A</v>
      </c>
      <c r="D71" s="1194" t="s">
        <v>1489</v>
      </c>
      <c r="E71" s="1195" t="s">
        <v>1490</v>
      </c>
      <c r="F71" s="386" t="e">
        <f ca="1">F43</f>
        <v>#N/A</v>
      </c>
      <c r="O71" s="1896" t="s">
        <v>1050</v>
      </c>
      <c r="P71" s="1936" t="s">
        <v>1587</v>
      </c>
      <c r="Q71" s="1899" t="e">
        <f ca="1">C76</f>
        <v>#N/A</v>
      </c>
      <c r="R71" s="1888"/>
    </row>
    <row r="72" spans="1:18" s="1844" customFormat="1" ht="13.5" thickBot="1">
      <c r="B72" s="795"/>
      <c r="C72" s="795"/>
      <c r="O72" s="1896" t="s">
        <v>1044</v>
      </c>
      <c r="P72" s="1887" t="s">
        <v>1565</v>
      </c>
      <c r="Q72" s="1899">
        <f>L52</f>
        <v>0</v>
      </c>
      <c r="R72" s="1888"/>
    </row>
    <row r="73" spans="1:18" ht="16.5" thickBot="1">
      <c r="A73" s="1844"/>
      <c r="B73" s="795"/>
      <c r="C73" s="795"/>
      <c r="D73" s="1844"/>
      <c r="E73" s="1844"/>
      <c r="F73" s="1844"/>
      <c r="O73" s="1896" t="s">
        <v>1045</v>
      </c>
      <c r="P73" s="1887" t="s">
        <v>1568</v>
      </c>
      <c r="Q73" s="1888" t="e">
        <f ca="1">L58</f>
        <v>#N/A</v>
      </c>
      <c r="R73" s="1888" t="s">
        <v>1569</v>
      </c>
    </row>
    <row r="74" spans="1:18" ht="13.5" thickBot="1">
      <c r="A74" s="1844"/>
      <c r="B74" s="318" t="s">
        <v>1588</v>
      </c>
      <c r="C74" s="1938"/>
      <c r="D74" s="1844"/>
      <c r="E74" s="1844"/>
      <c r="F74" s="1844"/>
      <c r="O74" s="1896" t="s">
        <v>1052</v>
      </c>
      <c r="P74" s="1887" t="str">
        <f>K59</f>
        <v>续建工期及建筑物耐用年限下的土地年期修正系数Kn</v>
      </c>
      <c r="Q74" s="1888" t="e">
        <f ca="1">L59</f>
        <v>#N/A</v>
      </c>
      <c r="R74" s="1888" t="s">
        <v>1570</v>
      </c>
    </row>
    <row r="75" spans="1:18" ht="13.5" thickBot="1">
      <c r="A75" s="1844"/>
      <c r="B75" s="387" t="s">
        <v>1507</v>
      </c>
      <c r="C75" s="388" t="e">
        <f ca="1">ROUND(C13*C76,0)</f>
        <v>#N/A</v>
      </c>
      <c r="D75" s="1844"/>
      <c r="E75" s="1844"/>
      <c r="F75" s="1844"/>
      <c r="K75" s="1870"/>
      <c r="L75" s="1844"/>
      <c r="O75" s="1886" t="s">
        <v>1046</v>
      </c>
      <c r="P75" s="1887" t="s">
        <v>1550</v>
      </c>
      <c r="Q75" s="1888" t="e">
        <f ca="1">Q65+Q66</f>
        <v>#N/A</v>
      </c>
      <c r="R75" s="1888" t="s">
        <v>1047</v>
      </c>
    </row>
    <row r="76" spans="1:18">
      <c r="B76" s="389" t="s">
        <v>1508</v>
      </c>
      <c r="C76" s="390" t="e">
        <f ca="1">INDIRECT("'数据-取费表'!j"&amp;$G$1)</f>
        <v>#N/A</v>
      </c>
      <c r="I76" s="1844"/>
      <c r="J76" s="1844"/>
      <c r="K76" s="1870"/>
      <c r="L76" s="1844"/>
    </row>
    <row r="77" spans="1:18">
      <c r="B77" s="391" t="s">
        <v>1509</v>
      </c>
      <c r="C77" s="392"/>
      <c r="I77" s="1844"/>
      <c r="J77" s="1844"/>
      <c r="K77" s="1870"/>
      <c r="L77" s="1844"/>
    </row>
    <row r="78" spans="1:18">
      <c r="B78" s="315" t="s">
        <v>1510</v>
      </c>
      <c r="C78" s="393"/>
    </row>
    <row r="79" spans="1:18">
      <c r="B79" s="387" t="s">
        <v>1511</v>
      </c>
      <c r="C79" s="319" t="e">
        <f ca="1">1-C80</f>
        <v>#N/A</v>
      </c>
    </row>
    <row r="80" spans="1:18">
      <c r="B80" s="387" t="s">
        <v>1512</v>
      </c>
      <c r="C80" s="319" t="e">
        <f ca="1">ROUND(C75/C39,3)</f>
        <v>#N/A</v>
      </c>
      <c r="G80" s="303">
        <v>1</v>
      </c>
      <c r="H80" s="303">
        <v>17000</v>
      </c>
      <c r="I80" s="303">
        <f>H80</f>
        <v>17000</v>
      </c>
    </row>
    <row r="81" spans="2:10">
      <c r="B81" s="315" t="s">
        <v>1513</v>
      </c>
      <c r="C81" s="283"/>
      <c r="G81" s="303">
        <v>2</v>
      </c>
      <c r="I81" s="303">
        <f>H80*0.6</f>
        <v>10200</v>
      </c>
    </row>
    <row r="82" spans="2:10">
      <c r="B82" s="318" t="s">
        <v>1514</v>
      </c>
      <c r="C82" s="320" t="e">
        <f ca="1">1-C83</f>
        <v>#N/A</v>
      </c>
      <c r="G82" s="303">
        <v>3</v>
      </c>
      <c r="I82" s="303">
        <f>H80*0.5</f>
        <v>8500</v>
      </c>
    </row>
    <row r="83" spans="2:10">
      <c r="B83" s="318" t="s">
        <v>1515</v>
      </c>
      <c r="C83" s="319" t="e">
        <f ca="1">ROUND(C13/C40,3)</f>
        <v>#N/A</v>
      </c>
      <c r="G83" s="303">
        <v>4</v>
      </c>
      <c r="I83" s="303">
        <f>H80*0.4</f>
        <v>6800</v>
      </c>
    </row>
    <row r="84" spans="2:10">
      <c r="G84" s="303">
        <v>5</v>
      </c>
      <c r="I84" s="303">
        <f>H80*0.35</f>
        <v>5950</v>
      </c>
    </row>
    <row r="85" spans="2:10">
      <c r="I85" s="303">
        <f>SUM(I80:I84)</f>
        <v>48450</v>
      </c>
      <c r="J85" s="303">
        <f>I85/5</f>
        <v>9690</v>
      </c>
    </row>
  </sheetData>
  <sheetProtection formatCells="0" formatColumns="0" formatRows="0"/>
  <mergeCells count="3">
    <mergeCell ref="B6:B9"/>
    <mergeCell ref="I6:I9"/>
    <mergeCell ref="K53:L53"/>
  </mergeCells>
  <phoneticPr fontId="143"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28" sqref="D28"/>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58" t="s">
        <v>2522</v>
      </c>
      <c r="B1" s="2559"/>
      <c r="C1" s="2559"/>
      <c r="D1" s="2559"/>
      <c r="E1" s="2560"/>
    </row>
    <row r="2" spans="1:6" ht="15.75">
      <c r="A2" s="2561" t="s">
        <v>2326</v>
      </c>
      <c r="B2" s="2562">
        <f ca="1">SUMIF(B6:B13,"&lt;&gt;#ref!",B6:B13)</f>
        <v>533</v>
      </c>
      <c r="C2" s="2563" t="s">
        <v>2515</v>
      </c>
      <c r="D2" s="2564" t="s">
        <v>2516</v>
      </c>
      <c r="E2" s="2565">
        <f>SUM(E6:E13)</f>
        <v>1553.07</v>
      </c>
    </row>
    <row r="3" spans="1:6" ht="15.75">
      <c r="A3" s="2561" t="s">
        <v>1396</v>
      </c>
      <c r="B3" s="2562">
        <f ca="1">ROUND(B2*10000/E2,0)</f>
        <v>3432</v>
      </c>
      <c r="C3" s="2563" t="s">
        <v>2523</v>
      </c>
      <c r="D3" s="2566"/>
      <c r="E3" s="2567"/>
    </row>
    <row r="4" spans="1:6" ht="15.75">
      <c r="A4" s="2568"/>
      <c r="B4" s="2566"/>
      <c r="C4" s="2566"/>
      <c r="D4" s="2566"/>
      <c r="E4" s="2567"/>
    </row>
    <row r="5" spans="1:6" ht="15">
      <c r="A5" s="2569" t="s">
        <v>2517</v>
      </c>
      <c r="B5" s="3317" t="s">
        <v>2518</v>
      </c>
      <c r="C5" s="3317"/>
      <c r="D5" s="2570"/>
      <c r="E5" s="2571" t="s">
        <v>2519</v>
      </c>
      <c r="F5" s="2572" t="s">
        <v>2520</v>
      </c>
    </row>
    <row r="6" spans="1:6">
      <c r="A6" s="2573" t="str">
        <f>'数据-取费表'!AN6</f>
        <v>收益法</v>
      </c>
      <c r="B6" s="2572">
        <f ca="1">IF(F6="是",'数据-取费表'!AO6,0)</f>
        <v>533</v>
      </c>
      <c r="C6" s="2563" t="s">
        <v>2515</v>
      </c>
      <c r="D6" s="2566"/>
      <c r="E6" s="2574">
        <f>IF(OR(A6=0,F6="否"),0,'数据-取费表'!K6+'数据-取费表'!S6)</f>
        <v>1553.07</v>
      </c>
      <c r="F6" s="2575" t="s">
        <v>2521</v>
      </c>
    </row>
    <row r="7" spans="1:6">
      <c r="A7" s="2573">
        <f>'数据-取费表'!AN7</f>
        <v>0</v>
      </c>
      <c r="B7" s="2572" t="e">
        <f ca="1">IF(F7="是",'数据-取费表'!AO7,0)</f>
        <v>#REF!</v>
      </c>
      <c r="C7" s="2563" t="s">
        <v>2515</v>
      </c>
      <c r="D7" s="2566"/>
      <c r="E7" s="2574">
        <f>IF(OR(A7=0,F7="否"),0,'数据-取费表'!K7+'数据-取费表'!S7)</f>
        <v>0</v>
      </c>
      <c r="F7" s="2575" t="s">
        <v>2521</v>
      </c>
    </row>
    <row r="8" spans="1:6">
      <c r="A8" s="2573">
        <f>'数据-取费表'!AN8</f>
        <v>0</v>
      </c>
      <c r="B8" s="2572">
        <f>IF(F8="是",'数据-取费表'!AO8,0)</f>
        <v>0</v>
      </c>
      <c r="C8" s="2563" t="s">
        <v>2515</v>
      </c>
      <c r="D8" s="2566"/>
      <c r="E8" s="2574">
        <f>IF(OR(A8=0,F8="否"),0,'数据-取费表'!K8+'数据-取费表'!S8)</f>
        <v>0</v>
      </c>
      <c r="F8" s="2575" t="s">
        <v>3047</v>
      </c>
    </row>
    <row r="9" spans="1:6">
      <c r="A9" s="2573">
        <f>'数据-取费表'!AN9</f>
        <v>0</v>
      </c>
      <c r="B9" s="2572">
        <f>IF(F9="是",'数据-取费表'!AO9,0)</f>
        <v>0</v>
      </c>
      <c r="C9" s="2563" t="s">
        <v>2515</v>
      </c>
      <c r="D9" s="2566"/>
      <c r="E9" s="2574">
        <f>IF(OR(A9=0,F9="否"),0,'数据-取费表'!K9+'数据-取费表'!S9)</f>
        <v>0</v>
      </c>
      <c r="F9" s="2575" t="s">
        <v>3047</v>
      </c>
    </row>
    <row r="10" spans="1:6">
      <c r="A10" s="2573">
        <f>'数据-取费表'!AN10</f>
        <v>0</v>
      </c>
      <c r="B10" s="2572">
        <f>IF(F10="是",'数据-取费表'!AO10,0)</f>
        <v>0</v>
      </c>
      <c r="C10" s="2563" t="s">
        <v>2515</v>
      </c>
      <c r="D10" s="2566"/>
      <c r="E10" s="2574">
        <f>IF(OR(A10=0,F10="否"),0,'数据-取费表'!K10+'数据-取费表'!S10)</f>
        <v>0</v>
      </c>
      <c r="F10" s="2575" t="s">
        <v>3047</v>
      </c>
    </row>
    <row r="11" spans="1:6">
      <c r="A11" s="2573">
        <f>'数据-取费表'!AN11</f>
        <v>0</v>
      </c>
      <c r="B11" s="2572">
        <f>IF(F11="是",'数据-取费表'!AO11,0)</f>
        <v>0</v>
      </c>
      <c r="C11" s="2563" t="s">
        <v>2515</v>
      </c>
      <c r="D11" s="2566"/>
      <c r="E11" s="2574">
        <f>IF(OR(A11=0,F11="否"),0,'数据-取费表'!K11+'数据-取费表'!S11)</f>
        <v>0</v>
      </c>
      <c r="F11" s="2575" t="s">
        <v>3047</v>
      </c>
    </row>
    <row r="12" spans="1:6">
      <c r="A12" s="2573">
        <f>'数据-取费表'!AN12</f>
        <v>0</v>
      </c>
      <c r="B12" s="2572">
        <f>IF(F12="是",'数据-取费表'!AO12,0)</f>
        <v>0</v>
      </c>
      <c r="C12" s="2563" t="s">
        <v>2515</v>
      </c>
      <c r="D12" s="2566"/>
      <c r="E12" s="2574">
        <f>IF(OR(A12=0,F12="否"),0,'数据-取费表'!K12+'数据-取费表'!S12)</f>
        <v>0</v>
      </c>
      <c r="F12" s="2575" t="s">
        <v>3047</v>
      </c>
    </row>
    <row r="13" spans="1:6" ht="15" thickBot="1">
      <c r="A13" s="2576">
        <f>'数据-取费表'!AN13</f>
        <v>0</v>
      </c>
      <c r="B13" s="2572">
        <f>IF(F13="是",'数据-取费表'!AO13,0)</f>
        <v>0</v>
      </c>
      <c r="C13" s="2577" t="s">
        <v>2515</v>
      </c>
      <c r="D13" s="2578"/>
      <c r="E13" s="2574">
        <f>IF(OR(A13=0,F13="否"),0,'数据-取费表'!K13+'数据-取费表'!S13)</f>
        <v>0</v>
      </c>
      <c r="F13" s="2575" t="s">
        <v>3047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10" workbookViewId="0">
      <selection activeCell="L49" sqref="L49"/>
    </sheetView>
  </sheetViews>
  <sheetFormatPr defaultRowHeight="13.5"/>
  <cols>
    <col min="1" max="1" width="10.5" customWidth="1"/>
    <col min="2" max="2" width="12.875" customWidth="1"/>
    <col min="3" max="3" width="8.75" customWidth="1"/>
  </cols>
  <sheetData>
    <row r="1" spans="1:9" ht="14.25">
      <c r="A1" s="3334" t="s">
        <v>1076</v>
      </c>
      <c r="B1" s="3335"/>
      <c r="C1" s="3336"/>
      <c r="D1" s="3337">
        <f>SUM(I10,I15,I20,I21,I23)</f>
        <v>0</v>
      </c>
      <c r="E1" s="3337"/>
      <c r="F1" s="3337"/>
      <c r="G1" s="3337"/>
      <c r="H1" s="3337"/>
      <c r="I1" s="3338"/>
    </row>
    <row r="2" spans="1:9">
      <c r="A2" s="3324" t="s">
        <v>1077</v>
      </c>
      <c r="B2" s="3325" t="s">
        <v>1078</v>
      </c>
      <c r="C2" s="3325"/>
      <c r="D2" s="1303" t="s">
        <v>1079</v>
      </c>
      <c r="E2" s="1303" t="s">
        <v>1080</v>
      </c>
      <c r="F2" s="1303" t="s">
        <v>1081</v>
      </c>
      <c r="G2" s="1303" t="s">
        <v>1082</v>
      </c>
      <c r="H2" s="1303" t="s">
        <v>1083</v>
      </c>
      <c r="I2" s="1304" t="s">
        <v>1084</v>
      </c>
    </row>
    <row r="3" spans="1:9">
      <c r="A3" s="3324"/>
      <c r="B3" s="3325" t="s">
        <v>1085</v>
      </c>
      <c r="C3" s="3325"/>
      <c r="D3" s="1305"/>
      <c r="E3" s="1303"/>
      <c r="F3" s="1306"/>
      <c r="G3" s="1306"/>
      <c r="H3" s="1307"/>
      <c r="I3" s="1308">
        <f>ROUND(D3*E3*F3*G3*H3/10000,0)</f>
        <v>0</v>
      </c>
    </row>
    <row r="4" spans="1:9">
      <c r="A4" s="3324"/>
      <c r="B4" s="3325" t="s">
        <v>1086</v>
      </c>
      <c r="C4" s="3325"/>
      <c r="D4" s="1305"/>
      <c r="E4" s="1303"/>
      <c r="F4" s="1306"/>
      <c r="G4" s="1306"/>
      <c r="H4" s="1307"/>
      <c r="I4" s="1308">
        <f t="shared" ref="I4:I9" si="0">ROUND(D4*E4*F4*G4*H4/10000,0)</f>
        <v>0</v>
      </c>
    </row>
    <row r="5" spans="1:9">
      <c r="A5" s="3324"/>
      <c r="B5" s="3325" t="s">
        <v>1087</v>
      </c>
      <c r="C5" s="3325"/>
      <c r="D5" s="1305"/>
      <c r="E5" s="1303"/>
      <c r="F5" s="1306"/>
      <c r="G5" s="1306"/>
      <c r="H5" s="1307"/>
      <c r="I5" s="1308">
        <f t="shared" si="0"/>
        <v>0</v>
      </c>
    </row>
    <row r="6" spans="1:9">
      <c r="A6" s="3324"/>
      <c r="B6" s="3325" t="s">
        <v>1088</v>
      </c>
      <c r="C6" s="3325"/>
      <c r="D6" s="1305"/>
      <c r="E6" s="1303"/>
      <c r="F6" s="1306"/>
      <c r="G6" s="1306"/>
      <c r="H6" s="1307"/>
      <c r="I6" s="1308">
        <f t="shared" si="0"/>
        <v>0</v>
      </c>
    </row>
    <row r="7" spans="1:9">
      <c r="A7" s="3324"/>
      <c r="B7" s="3325" t="s">
        <v>1089</v>
      </c>
      <c r="C7" s="3325"/>
      <c r="D7" s="1305"/>
      <c r="E7" s="1303"/>
      <c r="F7" s="1306"/>
      <c r="G7" s="1306"/>
      <c r="H7" s="1307"/>
      <c r="I7" s="1308">
        <f t="shared" si="0"/>
        <v>0</v>
      </c>
    </row>
    <row r="8" spans="1:9">
      <c r="A8" s="3324"/>
      <c r="B8" s="3325" t="s">
        <v>1090</v>
      </c>
      <c r="C8" s="3325"/>
      <c r="D8" s="1305"/>
      <c r="E8" s="1303"/>
      <c r="F8" s="1306"/>
      <c r="G8" s="1306"/>
      <c r="H8" s="1307"/>
      <c r="I8" s="1308">
        <f t="shared" si="0"/>
        <v>0</v>
      </c>
    </row>
    <row r="9" spans="1:9">
      <c r="A9" s="3324"/>
      <c r="B9" s="3325" t="s">
        <v>1091</v>
      </c>
      <c r="C9" s="3325"/>
      <c r="D9" s="1305"/>
      <c r="E9" s="1303"/>
      <c r="F9" s="1306"/>
      <c r="G9" s="1306"/>
      <c r="H9" s="1307"/>
      <c r="I9" s="1308">
        <f t="shared" si="0"/>
        <v>0</v>
      </c>
    </row>
    <row r="10" spans="1:9">
      <c r="A10" s="3324"/>
      <c r="B10" s="3326" t="s">
        <v>1092</v>
      </c>
      <c r="C10" s="3326"/>
      <c r="D10" s="1309"/>
      <c r="E10" s="1309" t="e">
        <f>ROUND(D1*10000/D10/H9,0)</f>
        <v>#DIV/0!</v>
      </c>
      <c r="F10" s="1310"/>
      <c r="G10" s="1310"/>
      <c r="H10" s="1311"/>
      <c r="I10" s="1312">
        <f>SUM(I3:I9)</f>
        <v>0</v>
      </c>
    </row>
    <row r="11" spans="1:9" ht="14.25">
      <c r="A11" s="3324" t="s">
        <v>1093</v>
      </c>
      <c r="B11" s="3325" t="s">
        <v>1094</v>
      </c>
      <c r="C11" s="3325"/>
      <c r="D11" s="1305" t="s">
        <v>1095</v>
      </c>
      <c r="E11" s="1305" t="s">
        <v>1096</v>
      </c>
      <c r="F11" s="1306" t="s">
        <v>1097</v>
      </c>
      <c r="G11" s="1306" t="s">
        <v>1083</v>
      </c>
      <c r="H11" s="1313" t="s">
        <v>1098</v>
      </c>
      <c r="I11" s="1304" t="s">
        <v>1084</v>
      </c>
    </row>
    <row r="12" spans="1:9">
      <c r="A12" s="3324"/>
      <c r="B12" s="3325" t="s">
        <v>1099</v>
      </c>
      <c r="C12" s="3325"/>
      <c r="D12" s="1305"/>
      <c r="E12" s="1305"/>
      <c r="F12" s="1306"/>
      <c r="G12" s="1307"/>
      <c r="H12" s="1314"/>
      <c r="I12" s="1304">
        <f>ROUND(D12*E12*F12*G12/10000,0)</f>
        <v>0</v>
      </c>
    </row>
    <row r="13" spans="1:9">
      <c r="A13" s="3324"/>
      <c r="B13" s="3325" t="s">
        <v>1100</v>
      </c>
      <c r="C13" s="3325"/>
      <c r="D13" s="1305"/>
      <c r="E13" s="1305"/>
      <c r="F13" s="1306"/>
      <c r="G13" s="1307"/>
      <c r="H13" s="1314"/>
      <c r="I13" s="1304">
        <f>ROUND(D13*E13*F13*G13/10000,0)</f>
        <v>0</v>
      </c>
    </row>
    <row r="14" spans="1:9">
      <c r="A14" s="3324"/>
      <c r="B14" s="3325" t="s">
        <v>1101</v>
      </c>
      <c r="C14" s="3325"/>
      <c r="D14" s="1305"/>
      <c r="E14" s="1305"/>
      <c r="F14" s="1306"/>
      <c r="G14" s="1307"/>
      <c r="H14" s="1314"/>
      <c r="I14" s="1304">
        <f>ROUND(D14*E14*F14*G14/10000,0)</f>
        <v>0</v>
      </c>
    </row>
    <row r="15" spans="1:9">
      <c r="A15" s="3324"/>
      <c r="B15" s="3326" t="s">
        <v>1092</v>
      </c>
      <c r="C15" s="3326"/>
      <c r="D15" s="1309"/>
      <c r="E15" s="1309">
        <f>SUM(E12:E14)</f>
        <v>0</v>
      </c>
      <c r="F15" s="1310"/>
      <c r="G15" s="1307"/>
      <c r="H15" s="1314"/>
      <c r="I15" s="1315">
        <f>SUM(I12:I14)</f>
        <v>0</v>
      </c>
    </row>
    <row r="16" spans="1:9" ht="24">
      <c r="A16" s="3324" t="s">
        <v>1102</v>
      </c>
      <c r="B16" s="3325" t="s">
        <v>1103</v>
      </c>
      <c r="C16" s="3325"/>
      <c r="D16" s="1305" t="s">
        <v>1079</v>
      </c>
      <c r="E16" s="1316" t="s">
        <v>1104</v>
      </c>
      <c r="F16" s="1306" t="s">
        <v>1105</v>
      </c>
      <c r="G16" s="1307" t="s">
        <v>1083</v>
      </c>
      <c r="H16" s="1313" t="s">
        <v>1098</v>
      </c>
      <c r="I16" s="1304" t="s">
        <v>1084</v>
      </c>
    </row>
    <row r="17" spans="1:9" ht="14.25">
      <c r="A17" s="3324"/>
      <c r="B17" s="3325" t="s">
        <v>1106</v>
      </c>
      <c r="C17" s="3325"/>
      <c r="D17" s="1305"/>
      <c r="E17" s="1305"/>
      <c r="F17" s="1306"/>
      <c r="G17" s="1307"/>
      <c r="H17" s="1317"/>
      <c r="I17" s="1318">
        <f>ROUND(D17*E17*F17*G17/10000,0)</f>
        <v>0</v>
      </c>
    </row>
    <row r="18" spans="1:9" ht="14.25">
      <c r="A18" s="3324"/>
      <c r="B18" s="3325" t="s">
        <v>1107</v>
      </c>
      <c r="C18" s="3325"/>
      <c r="D18" s="1305"/>
      <c r="E18" s="1305"/>
      <c r="F18" s="1306"/>
      <c r="G18" s="1307"/>
      <c r="H18" s="1317"/>
      <c r="I18" s="1318">
        <f>ROUND(D18*E18*F18*G18/10000,0)</f>
        <v>0</v>
      </c>
    </row>
    <row r="19" spans="1:9" ht="14.25">
      <c r="A19" s="3324"/>
      <c r="B19" s="3325" t="s">
        <v>1108</v>
      </c>
      <c r="C19" s="3325"/>
      <c r="D19" s="1305"/>
      <c r="E19" s="1305"/>
      <c r="F19" s="1306"/>
      <c r="G19" s="1307"/>
      <c r="H19" s="1317"/>
      <c r="I19" s="1318">
        <f>ROUND(D19*E19*F19*G19/10000,0)</f>
        <v>0</v>
      </c>
    </row>
    <row r="20" spans="1:9">
      <c r="A20" s="3324"/>
      <c r="B20" s="3326" t="s">
        <v>1092</v>
      </c>
      <c r="C20" s="3326"/>
      <c r="D20" s="1309">
        <f>SUM(D17:D19)</f>
        <v>0</v>
      </c>
      <c r="E20" s="1309"/>
      <c r="F20" s="1310"/>
      <c r="G20" s="1307"/>
      <c r="H20" s="1314"/>
      <c r="I20" s="1315">
        <f>SUM(I17:I19)</f>
        <v>0</v>
      </c>
    </row>
    <row r="21" spans="1:9">
      <c r="A21" s="3324" t="s">
        <v>1109</v>
      </c>
      <c r="B21" s="3327"/>
      <c r="C21" s="3327"/>
      <c r="D21" s="3327"/>
      <c r="E21" s="3327"/>
      <c r="F21" s="3327"/>
      <c r="G21" s="3327"/>
      <c r="H21" s="1768">
        <v>0.1</v>
      </c>
      <c r="I21" s="1312">
        <f>ROUND(I10*H21,0)</f>
        <v>0</v>
      </c>
    </row>
    <row r="22" spans="1:9" ht="14.25">
      <c r="A22" s="3328" t="s">
        <v>1110</v>
      </c>
      <c r="B22" s="3329"/>
      <c r="C22" s="3330"/>
      <c r="D22" s="1319" t="s">
        <v>1111</v>
      </c>
      <c r="E22" s="1319" t="s">
        <v>1112</v>
      </c>
      <c r="F22" s="1320" t="s">
        <v>1113</v>
      </c>
      <c r="G22" s="1320" t="s">
        <v>1114</v>
      </c>
      <c r="H22" s="1313" t="s">
        <v>1115</v>
      </c>
      <c r="I22" s="1304" t="s">
        <v>1116</v>
      </c>
    </row>
    <row r="23" spans="1:9" ht="14.25" thickBot="1">
      <c r="A23" s="3331"/>
      <c r="B23" s="3332"/>
      <c r="C23" s="3333"/>
      <c r="D23" s="1321"/>
      <c r="E23" s="1321"/>
      <c r="F23" s="1321"/>
      <c r="G23" s="1322"/>
      <c r="H23" s="1323"/>
      <c r="I23" s="1324">
        <f>ROUND(E23*D23*F23*(1-G23)/10000,0)</f>
        <v>0</v>
      </c>
    </row>
    <row r="26" spans="1:9">
      <c r="A26" s="1325" t="s">
        <v>1117</v>
      </c>
      <c r="B26" s="1325"/>
      <c r="C26" s="1325"/>
      <c r="D26" s="1325"/>
      <c r="E26" s="3321">
        <f>C27-C30-C31-C32</f>
        <v>0</v>
      </c>
      <c r="F26" s="3321"/>
      <c r="G26" s="3321"/>
      <c r="H26" s="1740" t="s">
        <v>1341</v>
      </c>
    </row>
    <row r="27" spans="1:9">
      <c r="A27" s="1326">
        <v>1</v>
      </c>
      <c r="B27" s="1327" t="s">
        <v>1118</v>
      </c>
      <c r="C27" s="1327">
        <f>C28+C29</f>
        <v>0</v>
      </c>
      <c r="D27" s="1327"/>
      <c r="E27" s="3322"/>
      <c r="F27" s="3322"/>
      <c r="G27" s="3322"/>
    </row>
    <row r="28" spans="1:9">
      <c r="A28" s="1328" t="s">
        <v>1119</v>
      </c>
      <c r="B28" s="1327" t="s">
        <v>1120</v>
      </c>
      <c r="C28" s="1327"/>
      <c r="D28" s="1327"/>
      <c r="E28" s="3322"/>
      <c r="F28" s="3322"/>
      <c r="G28" s="3322"/>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323"/>
      <c r="F32" s="3323"/>
      <c r="G32" s="3323"/>
    </row>
    <row r="33" spans="1:7" hidden="1">
      <c r="A33" s="3318" t="s">
        <v>1129</v>
      </c>
      <c r="B33" s="3319"/>
      <c r="C33" s="3319"/>
      <c r="D33" s="3320"/>
      <c r="E33" s="3321"/>
      <c r="F33" s="3321"/>
      <c r="G33" s="3321"/>
    </row>
    <row r="34" spans="1:7" hidden="1">
      <c r="A34" s="1330">
        <v>1</v>
      </c>
      <c r="B34" s="1327" t="s">
        <v>1130</v>
      </c>
      <c r="C34" s="1327"/>
      <c r="D34" s="1327"/>
      <c r="E34" s="3322"/>
      <c r="F34" s="3322"/>
      <c r="G34" s="3322"/>
    </row>
    <row r="35" spans="1:7" hidden="1">
      <c r="A35" s="1330">
        <v>2</v>
      </c>
      <c r="B35" s="1327" t="s">
        <v>1131</v>
      </c>
      <c r="C35" s="1327"/>
      <c r="D35" s="1327"/>
      <c r="E35" s="3322"/>
      <c r="F35" s="3322"/>
      <c r="G35" s="3322"/>
    </row>
    <row r="36" spans="1:7" hidden="1">
      <c r="A36" s="1330">
        <v>3</v>
      </c>
      <c r="B36" s="1327" t="s">
        <v>1132</v>
      </c>
      <c r="C36" s="1327"/>
      <c r="D36" s="1327"/>
      <c r="E36" s="3322"/>
      <c r="F36" s="3322"/>
      <c r="G36" s="3322"/>
    </row>
    <row r="37" spans="1:7" hidden="1">
      <c r="A37" s="1330">
        <v>4</v>
      </c>
      <c r="B37" s="1327" t="s">
        <v>1133</v>
      </c>
      <c r="C37" s="1327"/>
      <c r="D37" s="1327"/>
      <c r="E37" s="3322"/>
      <c r="F37" s="3322"/>
      <c r="G37" s="3322"/>
    </row>
    <row r="38" spans="1:7" hidden="1">
      <c r="A38" s="3318" t="s">
        <v>1134</v>
      </c>
      <c r="B38" s="3319"/>
      <c r="C38" s="3319"/>
      <c r="D38" s="3320"/>
      <c r="E38" s="3321"/>
      <c r="F38" s="3321"/>
      <c r="G38" s="332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G5" sqref="G5:H6"/>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1"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2" customFormat="1" ht="28.5" customHeight="1" thickBot="1">
      <c r="A1" s="1621" t="s">
        <v>2524</v>
      </c>
      <c r="B1" s="2579" t="s">
        <v>2525</v>
      </c>
      <c r="C1" s="1637" t="s">
        <v>2526</v>
      </c>
      <c r="D1" s="1624" t="s">
        <v>3045</v>
      </c>
      <c r="E1" s="2580"/>
      <c r="F1" s="2581" t="s">
        <v>2527</v>
      </c>
      <c r="G1" s="1634" t="s">
        <v>2528</v>
      </c>
      <c r="H1" s="1633"/>
      <c r="I1" s="1633"/>
      <c r="J1" s="1633"/>
      <c r="K1" s="1635"/>
      <c r="L1" s="1636"/>
      <c r="M1" s="1637"/>
      <c r="N1" s="1637"/>
      <c r="O1" s="1637"/>
      <c r="P1" s="2582"/>
      <c r="Q1" s="1623"/>
      <c r="R1" s="1623"/>
      <c r="S1" s="1623"/>
      <c r="T1" s="1623"/>
      <c r="U1" s="1623"/>
      <c r="V1" s="1623"/>
      <c r="W1" s="1623"/>
      <c r="X1" s="1623"/>
      <c r="Y1" s="1623"/>
      <c r="Z1" s="1623"/>
      <c r="AA1" s="1623"/>
      <c r="AB1" s="1623"/>
      <c r="AC1" s="1631"/>
    </row>
    <row r="2" spans="1:29" s="394" customFormat="1" ht="28.5" customHeight="1" thickTop="1">
      <c r="A2" s="1620" t="s">
        <v>1395</v>
      </c>
      <c r="B2" s="1420">
        <f>IF(C2="——",ROUND(C49*D3/10000,0),ROUND(C49*D3/10000,0)-D2)</f>
        <v>0</v>
      </c>
      <c r="C2" s="2583" t="s">
        <v>70</v>
      </c>
      <c r="D2" s="1367" t="e">
        <f ca="1">SUMIF(INDIRECT("'"&amp;F2&amp;"'"&amp;"!A:A"),"承租人权益价值",INDIRECT("'"&amp;F2&amp;"'"&amp;"!c:c"))</f>
        <v>#REF!</v>
      </c>
      <c r="E2" s="2584" t="s">
        <v>2529</v>
      </c>
      <c r="F2" s="2585"/>
      <c r="G2" s="1126"/>
      <c r="H2" s="1126"/>
      <c r="I2" s="1126"/>
      <c r="J2" s="1126"/>
      <c r="K2" s="2586"/>
      <c r="L2" s="2587"/>
      <c r="M2" s="2588"/>
      <c r="N2" s="2588"/>
      <c r="O2" s="2588"/>
      <c r="P2" s="2589"/>
      <c r="Q2" s="2590"/>
      <c r="R2" s="2590"/>
      <c r="S2" s="2590"/>
      <c r="T2" s="2590"/>
      <c r="U2" s="2590"/>
      <c r="V2" s="2590"/>
      <c r="W2" s="2590"/>
      <c r="X2" s="2590"/>
      <c r="Y2" s="2590"/>
      <c r="Z2" s="2590"/>
      <c r="AA2" s="2590"/>
      <c r="AB2" s="2590"/>
      <c r="AC2" s="2591"/>
    </row>
    <row r="3" spans="1:29" s="394" customFormat="1" ht="28.5" customHeight="1" thickBot="1">
      <c r="A3" s="248" t="s">
        <v>1396</v>
      </c>
      <c r="B3" s="400">
        <f>IF(C2="——",C49,ROUND(B2*10000/D3,0))</f>
        <v>9424</v>
      </c>
      <c r="C3" s="401" t="s">
        <v>2530</v>
      </c>
      <c r="D3" s="400">
        <f>IF(D1="",'数据-汇总表'!E3,SUMIF('数据-汇总表'!$C19:$C33,D1,'数据-汇总表'!$E19:$E33))</f>
        <v>0</v>
      </c>
      <c r="E3" s="1126"/>
      <c r="F3" s="2592"/>
      <c r="G3" s="1126"/>
      <c r="H3" s="1126"/>
      <c r="I3" s="1126"/>
      <c r="J3" s="1126"/>
      <c r="K3" s="2586"/>
      <c r="L3" s="2587"/>
      <c r="M3" s="2588"/>
      <c r="N3" s="2588"/>
      <c r="O3" s="2588"/>
      <c r="P3" s="2589"/>
      <c r="Q3" s="2590"/>
      <c r="R3" s="2590"/>
      <c r="S3" s="2590"/>
      <c r="T3" s="2590"/>
      <c r="U3" s="2590"/>
      <c r="V3" s="2590"/>
      <c r="W3" s="2590"/>
      <c r="X3" s="2590"/>
      <c r="Y3" s="2590"/>
      <c r="Z3" s="2590"/>
      <c r="AA3" s="2590"/>
      <c r="AB3" s="2590"/>
      <c r="AC3" s="1284"/>
    </row>
    <row r="4" spans="1:29" ht="15">
      <c r="A4" s="402" t="s">
        <v>2531</v>
      </c>
      <c r="B4" s="403"/>
      <c r="C4" s="3270" t="s">
        <v>2532</v>
      </c>
      <c r="D4" s="3283"/>
      <c r="E4" s="3284" t="s">
        <v>2533</v>
      </c>
      <c r="F4" s="3285"/>
      <c r="G4" s="3270" t="s">
        <v>2534</v>
      </c>
      <c r="H4" s="3283"/>
      <c r="I4" s="3270" t="s">
        <v>2535</v>
      </c>
      <c r="J4" s="3283"/>
      <c r="K4" s="2593" t="s">
        <v>2536</v>
      </c>
      <c r="L4" s="1132"/>
      <c r="M4" s="1133"/>
      <c r="N4" s="1133"/>
      <c r="O4" s="1133"/>
      <c r="P4" s="3286" t="s">
        <v>2537</v>
      </c>
      <c r="Q4" s="3287"/>
      <c r="R4" s="3292" t="s">
        <v>2533</v>
      </c>
      <c r="S4" s="3293"/>
      <c r="T4" s="3292" t="s">
        <v>2534</v>
      </c>
      <c r="U4" s="3293"/>
      <c r="V4" s="3279" t="s">
        <v>2535</v>
      </c>
      <c r="W4" s="3279"/>
      <c r="X4" s="1816"/>
      <c r="Y4" s="3292" t="s">
        <v>2537</v>
      </c>
      <c r="Z4" s="3293"/>
      <c r="AA4" s="3280" t="s">
        <v>2533</v>
      </c>
      <c r="AB4" s="3280" t="s">
        <v>2534</v>
      </c>
      <c r="AC4" s="3280" t="s">
        <v>2535</v>
      </c>
    </row>
    <row r="5" spans="1:29" ht="15">
      <c r="A5" s="405"/>
      <c r="B5" s="406"/>
      <c r="C5" s="3300" t="s">
        <v>3133</v>
      </c>
      <c r="D5" s="3301"/>
      <c r="E5" s="3309" t="s">
        <v>3134</v>
      </c>
      <c r="F5" s="3310"/>
      <c r="G5" s="3300" t="s">
        <v>3148</v>
      </c>
      <c r="H5" s="3301"/>
      <c r="I5" s="3300" t="s">
        <v>3149</v>
      </c>
      <c r="J5" s="3301"/>
      <c r="K5" s="2594"/>
      <c r="L5" s="1132"/>
      <c r="M5" s="1133"/>
      <c r="N5" s="1133"/>
      <c r="O5" s="1133"/>
      <c r="P5" s="3288"/>
      <c r="Q5" s="3289"/>
      <c r="R5" s="3294"/>
      <c r="S5" s="3295"/>
      <c r="T5" s="3294"/>
      <c r="U5" s="3295"/>
      <c r="V5" s="3279"/>
      <c r="W5" s="3279"/>
      <c r="X5" s="1816"/>
      <c r="Y5" s="3294"/>
      <c r="Z5" s="3295"/>
      <c r="AA5" s="3281"/>
      <c r="AB5" s="3281"/>
      <c r="AC5" s="3281"/>
    </row>
    <row r="6" spans="1:29" ht="15.75" thickBot="1">
      <c r="A6" s="407"/>
      <c r="B6" s="408"/>
      <c r="C6" s="3347" t="s">
        <v>2542</v>
      </c>
      <c r="D6" s="3299"/>
      <c r="E6" s="3307" t="s">
        <v>3152</v>
      </c>
      <c r="F6" s="3308"/>
      <c r="G6" s="3298" t="s">
        <v>3151</v>
      </c>
      <c r="H6" s="3299"/>
      <c r="I6" s="3298" t="s">
        <v>3150</v>
      </c>
      <c r="J6" s="3299"/>
      <c r="K6" s="2594" t="s">
        <v>2543</v>
      </c>
      <c r="L6" s="1132"/>
      <c r="M6" s="1133"/>
      <c r="N6" s="1133"/>
      <c r="O6" s="1133"/>
      <c r="P6" s="3290"/>
      <c r="Q6" s="3291"/>
      <c r="R6" s="3294"/>
      <c r="S6" s="3295"/>
      <c r="T6" s="3296"/>
      <c r="U6" s="3297"/>
      <c r="V6" s="3279"/>
      <c r="W6" s="3279"/>
      <c r="X6" s="1816"/>
      <c r="Y6" s="3296"/>
      <c r="Z6" s="3297"/>
      <c r="AA6" s="3282"/>
      <c r="AB6" s="3282"/>
      <c r="AC6" s="3282"/>
    </row>
    <row r="7" spans="1:29" s="117" customFormat="1" ht="15.75" thickBot="1">
      <c r="A7" s="409" t="s">
        <v>2544</v>
      </c>
      <c r="B7" s="410"/>
      <c r="C7" s="411">
        <f>'数据-取费表'!B2</f>
        <v>43049</v>
      </c>
      <c r="D7" s="412">
        <v>100</v>
      </c>
      <c r="E7" s="413">
        <f>C7</f>
        <v>43049</v>
      </c>
      <c r="F7" s="414">
        <f>SUMIF(58:58,YEAR(E7)&amp;"-"&amp;MONTH(E7),59:59)</f>
        <v>100</v>
      </c>
      <c r="G7" s="413">
        <f>C7</f>
        <v>43049</v>
      </c>
      <c r="H7" s="412">
        <f>SUMIF(58:58,YEAR(G7)&amp;"-"&amp;MONTH(G7),59:59)</f>
        <v>100</v>
      </c>
      <c r="I7" s="413">
        <f>C7</f>
        <v>43049</v>
      </c>
      <c r="J7" s="412">
        <f>SUMIF(58:58,YEAR(I7)&amp;"-"&amp;MONTH(I7),59:59)</f>
        <v>100</v>
      </c>
      <c r="K7" s="2595"/>
      <c r="L7" s="1134"/>
      <c r="M7" s="1135"/>
      <c r="N7" s="1135"/>
      <c r="O7" s="1135"/>
      <c r="P7" s="3302" t="s">
        <v>2545</v>
      </c>
      <c r="Q7" s="3304"/>
      <c r="R7" s="769" t="s">
        <v>23</v>
      </c>
      <c r="S7" s="770">
        <f t="shared" ref="S7:S15" si="0">F7</f>
        <v>100</v>
      </c>
      <c r="T7" s="769" t="s">
        <v>23</v>
      </c>
      <c r="U7" s="770">
        <f t="shared" ref="U7:U15" si="1">H7</f>
        <v>100</v>
      </c>
      <c r="V7" s="769" t="s">
        <v>23</v>
      </c>
      <c r="W7" s="770">
        <f t="shared" ref="W7:W15" si="2">J7</f>
        <v>100</v>
      </c>
      <c r="X7" s="771"/>
      <c r="Y7" s="3302" t="s">
        <v>2545</v>
      </c>
      <c r="Z7" s="3303"/>
      <c r="AA7" s="772">
        <f>D7/F7</f>
        <v>1</v>
      </c>
      <c r="AB7" s="772">
        <f>D7/H7</f>
        <v>1</v>
      </c>
      <c r="AC7" s="772">
        <f>D7/J7</f>
        <v>1</v>
      </c>
    </row>
    <row r="8" spans="1:29" s="117" customFormat="1" ht="15.75" thickBot="1">
      <c r="A8" s="409" t="s">
        <v>2546</v>
      </c>
      <c r="B8" s="410"/>
      <c r="C8" s="415" t="s">
        <v>2547</v>
      </c>
      <c r="D8" s="412">
        <v>100</v>
      </c>
      <c r="E8" s="2596" t="s">
        <v>3097</v>
      </c>
      <c r="F8" s="414">
        <f>SUMIF(61:61,E8,62:62)-SUMIF(61:61,C8,62:62)+100</f>
        <v>100</v>
      </c>
      <c r="G8" s="415" t="s">
        <v>3097</v>
      </c>
      <c r="H8" s="412">
        <f>SUMIF(61:61,G8,62:62)-SUMIF(61:61,C8,62:62)+100</f>
        <v>100</v>
      </c>
      <c r="I8" s="2596" t="s">
        <v>3097</v>
      </c>
      <c r="J8" s="412">
        <f>SUMIF(61:61,I8,62:62)-SUMIF(61:61,C8,62:62)+100</f>
        <v>100</v>
      </c>
      <c r="K8" s="2595"/>
      <c r="L8" s="1134"/>
      <c r="M8" s="1135"/>
      <c r="N8" s="1135"/>
      <c r="O8" s="1135"/>
      <c r="P8" s="3302" t="s">
        <v>2548</v>
      </c>
      <c r="Q8" s="3303"/>
      <c r="R8" s="769" t="s">
        <v>23</v>
      </c>
      <c r="S8" s="770">
        <f t="shared" si="0"/>
        <v>100</v>
      </c>
      <c r="T8" s="769" t="s">
        <v>23</v>
      </c>
      <c r="U8" s="770">
        <f t="shared" si="1"/>
        <v>100</v>
      </c>
      <c r="V8" s="769" t="s">
        <v>23</v>
      </c>
      <c r="W8" s="770">
        <f t="shared" si="2"/>
        <v>100</v>
      </c>
      <c r="X8" s="771"/>
      <c r="Y8" s="3302" t="s">
        <v>2548</v>
      </c>
      <c r="Z8" s="3303"/>
      <c r="AA8" s="772">
        <f t="shared" ref="AA8:AA19" si="3">D8/F8</f>
        <v>1</v>
      </c>
      <c r="AB8" s="772">
        <f t="shared" ref="AB8:AB19" si="4">D8/H8</f>
        <v>1</v>
      </c>
      <c r="AC8" s="772">
        <f t="shared" ref="AC8:AC19" si="5">D8/J8</f>
        <v>1</v>
      </c>
    </row>
    <row r="9" spans="1:29" s="117" customFormat="1">
      <c r="A9" s="416" t="s">
        <v>2549</v>
      </c>
      <c r="B9" s="71" t="s">
        <v>2550</v>
      </c>
      <c r="C9" s="2944" t="s">
        <v>3135</v>
      </c>
      <c r="D9" s="135">
        <v>100</v>
      </c>
      <c r="E9" s="418" t="s">
        <v>3045</v>
      </c>
      <c r="F9" s="419">
        <f>SUMIF(63:63,E9,64:64)-SUMIF(63:63,C9,64:64)+100</f>
        <v>100</v>
      </c>
      <c r="G9" s="420" t="s">
        <v>3045</v>
      </c>
      <c r="H9" s="135">
        <f>SUMIF(63:63,G9,64:64)-SUMIF(63:63,C9,64:64)+100</f>
        <v>100</v>
      </c>
      <c r="I9" s="420" t="s">
        <v>3045</v>
      </c>
      <c r="J9" s="135">
        <f>SUMIF(63:63,I9,64:64)-SUMIF(63:63,C9,64:64)+100</f>
        <v>100</v>
      </c>
      <c r="K9" s="2595"/>
      <c r="L9" s="1134"/>
      <c r="M9" s="1135"/>
      <c r="N9" s="1135"/>
      <c r="O9" s="1135"/>
      <c r="P9" s="3272" t="s">
        <v>2551</v>
      </c>
      <c r="Q9" s="1798" t="str">
        <f t="shared" ref="Q9:Q15" si="6">B9</f>
        <v>用途</v>
      </c>
      <c r="R9" s="769" t="s">
        <v>17</v>
      </c>
      <c r="S9" s="770">
        <f t="shared" si="0"/>
        <v>100</v>
      </c>
      <c r="T9" s="769" t="s">
        <v>17</v>
      </c>
      <c r="U9" s="770">
        <f t="shared" si="1"/>
        <v>100</v>
      </c>
      <c r="V9" s="769" t="s">
        <v>17</v>
      </c>
      <c r="W9" s="770">
        <f t="shared" si="2"/>
        <v>100</v>
      </c>
      <c r="X9" s="771"/>
      <c r="Y9" s="3121" t="s">
        <v>2552</v>
      </c>
      <c r="Z9" s="55" t="str">
        <f t="shared" ref="Z9:Z15" si="7">Q9</f>
        <v>用途</v>
      </c>
      <c r="AA9" s="772">
        <f t="shared" si="3"/>
        <v>1</v>
      </c>
      <c r="AB9" s="772">
        <f t="shared" si="4"/>
        <v>1</v>
      </c>
      <c r="AC9" s="772">
        <f t="shared" si="5"/>
        <v>1</v>
      </c>
    </row>
    <row r="10" spans="1:29" s="428" customFormat="1" ht="27">
      <c r="A10" s="422"/>
      <c r="B10" s="423" t="s">
        <v>2553</v>
      </c>
      <c r="C10" s="424" t="s">
        <v>3136</v>
      </c>
      <c r="D10" s="136">
        <v>100</v>
      </c>
      <c r="E10" s="425" t="s">
        <v>3136</v>
      </c>
      <c r="F10" s="426">
        <f>SUMIF(65:65,E10,66:66)-SUMIF(65:65,C10,66:66)+100</f>
        <v>100</v>
      </c>
      <c r="G10" s="424" t="s">
        <v>3136</v>
      </c>
      <c r="H10" s="136">
        <f>SUMIF(65:65,G10,66:66)-SUMIF(65:65,C10,66:66)+100</f>
        <v>100</v>
      </c>
      <c r="I10" s="424" t="s">
        <v>3136</v>
      </c>
      <c r="J10" s="136">
        <f>SUMIF(65:65,I10,66:66)-SUMIF(65:65,C10,66:66)+100</f>
        <v>100</v>
      </c>
      <c r="K10" s="427"/>
      <c r="L10" s="1137"/>
      <c r="M10" s="1138"/>
      <c r="N10" s="1138"/>
      <c r="O10" s="1138"/>
      <c r="P10" s="3272"/>
      <c r="Q10" s="1798" t="str">
        <f t="shared" si="6"/>
        <v>土地使用年限（年）</v>
      </c>
      <c r="R10" s="769" t="s">
        <v>17</v>
      </c>
      <c r="S10" s="770">
        <f t="shared" si="0"/>
        <v>100</v>
      </c>
      <c r="T10" s="769" t="s">
        <v>17</v>
      </c>
      <c r="U10" s="770">
        <f t="shared" si="1"/>
        <v>100</v>
      </c>
      <c r="V10" s="769" t="s">
        <v>17</v>
      </c>
      <c r="W10" s="770">
        <f t="shared" si="2"/>
        <v>100</v>
      </c>
      <c r="X10" s="771"/>
      <c r="Y10" s="3121"/>
      <c r="Z10" s="55" t="str">
        <f t="shared" si="7"/>
        <v>土地使用年限（年）</v>
      </c>
      <c r="AA10" s="772">
        <f t="shared" si="3"/>
        <v>1</v>
      </c>
      <c r="AB10" s="772">
        <f t="shared" si="4"/>
        <v>1</v>
      </c>
      <c r="AC10" s="772">
        <f t="shared" si="5"/>
        <v>1</v>
      </c>
    </row>
    <row r="11" spans="1:29" ht="15.75" thickBot="1">
      <c r="A11" s="429"/>
      <c r="B11" s="423" t="s">
        <v>2554</v>
      </c>
      <c r="C11" s="430">
        <f>'数据-汇总表'!I6</f>
        <v>3.5</v>
      </c>
      <c r="D11" s="136">
        <v>100</v>
      </c>
      <c r="E11" s="431">
        <v>1.1000000000000001</v>
      </c>
      <c r="F11" s="426">
        <f>LOOKUP(E11,68:68,69:69)-LOOKUP(C11,68:68,69:69)+100</f>
        <v>101</v>
      </c>
      <c r="G11" s="430">
        <v>2.5</v>
      </c>
      <c r="H11" s="136">
        <f>LOOKUP(G11,68:68,69:69)-LOOKUP(C11,68:68,69:69)+100</f>
        <v>100</v>
      </c>
      <c r="I11" s="430">
        <v>2.5</v>
      </c>
      <c r="J11" s="136">
        <f>LOOKUP(I11,68:68,69:69)-LOOKUP(C11,68:68,69:69)+100</f>
        <v>100</v>
      </c>
      <c r="K11" s="427">
        <v>1</v>
      </c>
      <c r="L11" s="1140"/>
      <c r="M11" s="1133"/>
      <c r="N11" s="1133"/>
      <c r="O11" s="1133"/>
      <c r="P11" s="3272"/>
      <c r="Q11" s="1798" t="str">
        <f t="shared" si="6"/>
        <v>容积率</v>
      </c>
      <c r="R11" s="769" t="s">
        <v>21</v>
      </c>
      <c r="S11" s="770">
        <f t="shared" si="0"/>
        <v>101</v>
      </c>
      <c r="T11" s="769" t="s">
        <v>21</v>
      </c>
      <c r="U11" s="770">
        <f t="shared" si="1"/>
        <v>100</v>
      </c>
      <c r="V11" s="769" t="s">
        <v>21</v>
      </c>
      <c r="W11" s="770">
        <f t="shared" si="2"/>
        <v>100</v>
      </c>
      <c r="X11" s="771"/>
      <c r="Y11" s="3121"/>
      <c r="Z11" s="55" t="str">
        <f t="shared" si="7"/>
        <v>容积率</v>
      </c>
      <c r="AA11" s="772">
        <f t="shared" si="3"/>
        <v>0.99009900990099009</v>
      </c>
      <c r="AB11" s="772">
        <f t="shared" si="4"/>
        <v>1</v>
      </c>
      <c r="AC11" s="772">
        <f t="shared" si="5"/>
        <v>1</v>
      </c>
    </row>
    <row r="12" spans="1:29" s="117" customFormat="1" ht="15" hidden="1">
      <c r="A12" s="432"/>
      <c r="B12" s="2597">
        <v>111</v>
      </c>
      <c r="C12" s="433"/>
      <c r="D12" s="434">
        <v>100</v>
      </c>
      <c r="E12" s="433"/>
      <c r="F12" s="426">
        <f>SUMIF(70:70,E12,71:71)-SUMIF(70:70,C12,71:71)+100</f>
        <v>100</v>
      </c>
      <c r="G12" s="433"/>
      <c r="H12" s="136">
        <f>SUMIF(70:70,G12,71:71)-SUMIF(70:70,C12,71:71)+100</f>
        <v>100</v>
      </c>
      <c r="I12" s="433"/>
      <c r="J12" s="136">
        <f>SUMIF(70:70,I12,71:71)-SUMIF(70:70,C12,71:71)+100</f>
        <v>100</v>
      </c>
      <c r="K12" s="2598"/>
      <c r="L12" s="1134"/>
      <c r="M12" s="1135"/>
      <c r="N12" s="1135"/>
      <c r="O12" s="1135"/>
      <c r="P12" s="3272"/>
      <c r="Q12" s="1798">
        <f t="shared" si="6"/>
        <v>111</v>
      </c>
      <c r="R12" s="769" t="s">
        <v>21</v>
      </c>
      <c r="S12" s="770">
        <f t="shared" si="0"/>
        <v>100</v>
      </c>
      <c r="T12" s="769" t="s">
        <v>21</v>
      </c>
      <c r="U12" s="770">
        <f t="shared" si="1"/>
        <v>100</v>
      </c>
      <c r="V12" s="769" t="s">
        <v>21</v>
      </c>
      <c r="W12" s="770">
        <f t="shared" si="2"/>
        <v>100</v>
      </c>
      <c r="X12" s="771"/>
      <c r="Y12" s="3121"/>
      <c r="Z12" s="55">
        <f t="shared" si="7"/>
        <v>111</v>
      </c>
      <c r="AA12" s="772">
        <f>D12/F12</f>
        <v>1</v>
      </c>
      <c r="AB12" s="772">
        <f>D12/H12</f>
        <v>1</v>
      </c>
      <c r="AC12" s="772">
        <f>D12/J12</f>
        <v>1</v>
      </c>
    </row>
    <row r="13" spans="1:29" ht="15" hidden="1">
      <c r="A13" s="429"/>
      <c r="B13" s="2597">
        <v>111</v>
      </c>
      <c r="C13" s="435"/>
      <c r="D13" s="436">
        <v>100</v>
      </c>
      <c r="E13" s="435"/>
      <c r="F13" s="426">
        <f>SUMIF(72:72,E13,73:73)-SUMIF(72:72,C13,73:73)+100</f>
        <v>100</v>
      </c>
      <c r="G13" s="435"/>
      <c r="H13" s="436">
        <f>SUMIF(72:72,G13,73:73)-SUMIF(72:72,C13,73:73)+100</f>
        <v>100</v>
      </c>
      <c r="I13" s="435"/>
      <c r="J13" s="436">
        <f>SUMIF(72:72,I13,73:73)-SUMIF(72:72,C13,73:73)+100</f>
        <v>100</v>
      </c>
      <c r="K13" s="2598"/>
      <c r="L13" s="1142"/>
      <c r="M13" s="1133"/>
      <c r="N13" s="1133"/>
      <c r="O13" s="1133"/>
      <c r="P13" s="3272"/>
      <c r="Q13" s="1798">
        <f t="shared" si="6"/>
        <v>111</v>
      </c>
      <c r="R13" s="769" t="s">
        <v>21</v>
      </c>
      <c r="S13" s="770">
        <f t="shared" si="0"/>
        <v>100</v>
      </c>
      <c r="T13" s="769" t="s">
        <v>21</v>
      </c>
      <c r="U13" s="770">
        <f t="shared" si="1"/>
        <v>100</v>
      </c>
      <c r="V13" s="769" t="s">
        <v>21</v>
      </c>
      <c r="W13" s="770">
        <f t="shared" si="2"/>
        <v>100</v>
      </c>
      <c r="X13" s="771"/>
      <c r="Y13" s="3121"/>
      <c r="Z13" s="55">
        <f t="shared" si="7"/>
        <v>111</v>
      </c>
      <c r="AA13" s="772">
        <f t="shared" si="3"/>
        <v>1</v>
      </c>
      <c r="AB13" s="772">
        <f t="shared" si="4"/>
        <v>1</v>
      </c>
      <c r="AC13" s="772">
        <f t="shared" si="5"/>
        <v>1</v>
      </c>
    </row>
    <row r="14" spans="1:29" ht="15.75" hidden="1" thickBot="1">
      <c r="A14" s="437"/>
      <c r="B14" s="2599">
        <v>111</v>
      </c>
      <c r="C14" s="438"/>
      <c r="D14" s="439">
        <v>100</v>
      </c>
      <c r="E14" s="438"/>
      <c r="F14" s="440">
        <f>SUMIF(74:74,E14,75:75)-SUMIF(74:74,C14,75:75)+100</f>
        <v>100</v>
      </c>
      <c r="G14" s="438"/>
      <c r="H14" s="439">
        <f>SUMIF(74:74,G14,75:75)-SUMIF(74:74,C14,75:75)+100</f>
        <v>100</v>
      </c>
      <c r="I14" s="438"/>
      <c r="J14" s="439">
        <f>SUMIF(74:74,I14,75:75)-SUMIF(74:74,C14,75:75)+100</f>
        <v>100</v>
      </c>
      <c r="K14" s="2598"/>
      <c r="L14" s="1142"/>
      <c r="M14" s="1133"/>
      <c r="N14" s="1133"/>
      <c r="O14" s="1133"/>
      <c r="P14" s="3272"/>
      <c r="Q14" s="1798">
        <f t="shared" si="6"/>
        <v>111</v>
      </c>
      <c r="R14" s="769" t="s">
        <v>21</v>
      </c>
      <c r="S14" s="770">
        <f t="shared" si="0"/>
        <v>100</v>
      </c>
      <c r="T14" s="769" t="s">
        <v>21</v>
      </c>
      <c r="U14" s="770">
        <f t="shared" si="1"/>
        <v>100</v>
      </c>
      <c r="V14" s="769" t="s">
        <v>21</v>
      </c>
      <c r="W14" s="770">
        <f t="shared" si="2"/>
        <v>100</v>
      </c>
      <c r="X14" s="771"/>
      <c r="Y14" s="3121"/>
      <c r="Z14" s="55">
        <f t="shared" si="7"/>
        <v>111</v>
      </c>
      <c r="AA14" s="772">
        <f t="shared" si="3"/>
        <v>1</v>
      </c>
      <c r="AB14" s="772">
        <f t="shared" si="4"/>
        <v>1</v>
      </c>
      <c r="AC14" s="772">
        <f t="shared" si="5"/>
        <v>1</v>
      </c>
    </row>
    <row r="15" spans="1:29" ht="99.75">
      <c r="A15" s="441" t="s">
        <v>2555</v>
      </c>
      <c r="B15" s="69" t="s">
        <v>2083</v>
      </c>
      <c r="C15" s="2600" t="str">
        <f>估价对象房地状况!C3</f>
        <v>估价对象周边居住用地比例、居住小区规模和社区发展完善程度，综合评价居住社区成熟度一般</v>
      </c>
      <c r="D15" s="442">
        <v>100</v>
      </c>
      <c r="E15" s="445"/>
      <c r="F15" s="442">
        <f>SUMIF(76:76,E16,77:77)-SUMIF(76:76,C16,77:77)+100</f>
        <v>98</v>
      </c>
      <c r="G15" s="443"/>
      <c r="H15" s="442">
        <f>SUMIF(76:76,G16,77:77)-SUMIF(76:76,C16,77:77)+100</f>
        <v>99</v>
      </c>
      <c r="I15" s="443"/>
      <c r="J15" s="442">
        <f>SUMIF(76:76,I16,77:77)-SUMIF(76:76,C16,77:77)+100</f>
        <v>100</v>
      </c>
      <c r="K15" s="446">
        <v>1</v>
      </c>
      <c r="L15" s="1142"/>
      <c r="M15" s="1133"/>
      <c r="N15" s="1133"/>
      <c r="O15" s="1133"/>
      <c r="P15" s="3345" t="s">
        <v>2556</v>
      </c>
      <c r="Q15" s="1813" t="str">
        <f t="shared" si="6"/>
        <v>居住社区成熟度</v>
      </c>
      <c r="R15" s="773" t="s">
        <v>21</v>
      </c>
      <c r="S15" s="774">
        <f t="shared" si="0"/>
        <v>98</v>
      </c>
      <c r="T15" s="773" t="s">
        <v>21</v>
      </c>
      <c r="U15" s="774">
        <f t="shared" si="1"/>
        <v>99</v>
      </c>
      <c r="V15" s="773" t="s">
        <v>21</v>
      </c>
      <c r="W15" s="774">
        <f t="shared" si="2"/>
        <v>100</v>
      </c>
      <c r="X15" s="1816"/>
      <c r="Y15" s="3275" t="s">
        <v>2556</v>
      </c>
      <c r="Z15" s="1817" t="str">
        <f t="shared" si="7"/>
        <v>居住社区成熟度</v>
      </c>
      <c r="AA15" s="1814">
        <f t="shared" si="3"/>
        <v>1.0204081632653061</v>
      </c>
      <c r="AB15" s="1814">
        <f t="shared" si="4"/>
        <v>1.0101010101010102</v>
      </c>
      <c r="AC15" s="1814">
        <f t="shared" si="5"/>
        <v>1</v>
      </c>
    </row>
    <row r="16" spans="1:29" ht="15">
      <c r="A16" s="429"/>
      <c r="B16" s="447"/>
      <c r="C16" s="448" t="s">
        <v>3080</v>
      </c>
      <c r="D16" s="449"/>
      <c r="E16" s="2601" t="s">
        <v>3084</v>
      </c>
      <c r="F16" s="449"/>
      <c r="G16" s="2602" t="s">
        <v>3082</v>
      </c>
      <c r="H16" s="451"/>
      <c r="I16" s="2602" t="s">
        <v>3080</v>
      </c>
      <c r="J16" s="449"/>
      <c r="K16" s="2603"/>
      <c r="L16" s="1142"/>
      <c r="M16" s="1133"/>
      <c r="N16" s="1133"/>
      <c r="O16" s="1133"/>
      <c r="P16" s="3346"/>
      <c r="Q16" s="1813"/>
      <c r="R16" s="773"/>
      <c r="S16" s="774"/>
      <c r="T16" s="773"/>
      <c r="U16" s="774"/>
      <c r="V16" s="773"/>
      <c r="W16" s="774"/>
      <c r="X16" s="1816"/>
      <c r="Y16" s="3276"/>
      <c r="Z16" s="1817"/>
      <c r="AA16" s="1814">
        <v>1</v>
      </c>
      <c r="AB16" s="1814">
        <v>1</v>
      </c>
      <c r="AC16" s="1814">
        <v>1</v>
      </c>
    </row>
    <row r="17" spans="1:29" ht="85.5">
      <c r="A17" s="429"/>
      <c r="B17" s="452" t="s">
        <v>2095</v>
      </c>
      <c r="C17" s="2604" t="str">
        <f>估价对象房地状况!C6</f>
        <v>估价对象周边道路状况、公共交通通达情况、停车便捷程度，综合评价交通便捷度较好</v>
      </c>
      <c r="D17" s="451">
        <v>100</v>
      </c>
      <c r="E17" s="455"/>
      <c r="F17" s="451">
        <f>SUMIF(78:78,E18,79:79)-SUMIF(78:78,C18,79:79)+100</f>
        <v>100</v>
      </c>
      <c r="G17" s="453"/>
      <c r="H17" s="456">
        <f>SUMIF(78:78,G18,79:79)-SUMIF(78:78,C18,79:79)+100</f>
        <v>100</v>
      </c>
      <c r="I17" s="453"/>
      <c r="J17" s="456">
        <f>SUMIF(78:78,I18,79:79)-SUMIF(78:78,C18,79:79)+100</f>
        <v>100</v>
      </c>
      <c r="K17" s="446">
        <v>2</v>
      </c>
      <c r="L17" s="1142"/>
      <c r="M17" s="1133"/>
      <c r="N17" s="1133"/>
      <c r="O17" s="1133"/>
      <c r="P17" s="3346"/>
      <c r="Q17" s="1813" t="str">
        <f>B17</f>
        <v>交通便捷度</v>
      </c>
      <c r="R17" s="773" t="s">
        <v>21</v>
      </c>
      <c r="S17" s="774">
        <f>F17</f>
        <v>100</v>
      </c>
      <c r="T17" s="773" t="s">
        <v>21</v>
      </c>
      <c r="U17" s="774">
        <f>H17</f>
        <v>100</v>
      </c>
      <c r="V17" s="773" t="s">
        <v>21</v>
      </c>
      <c r="W17" s="774">
        <f>J17</f>
        <v>100</v>
      </c>
      <c r="X17" s="1816"/>
      <c r="Y17" s="3276"/>
      <c r="Z17" s="1817" t="str">
        <f>Q17</f>
        <v>交通便捷度</v>
      </c>
      <c r="AA17" s="1814">
        <f t="shared" si="3"/>
        <v>1</v>
      </c>
      <c r="AB17" s="1814">
        <f t="shared" si="4"/>
        <v>1</v>
      </c>
      <c r="AC17" s="1814">
        <f t="shared" si="5"/>
        <v>1</v>
      </c>
    </row>
    <row r="18" spans="1:29" ht="15">
      <c r="A18" s="429"/>
      <c r="B18" s="457"/>
      <c r="C18" s="2605" t="s">
        <v>3080</v>
      </c>
      <c r="D18" s="451"/>
      <c r="E18" s="2606" t="s">
        <v>3080</v>
      </c>
      <c r="F18" s="451"/>
      <c r="G18" s="2607" t="s">
        <v>3080</v>
      </c>
      <c r="H18" s="449"/>
      <c r="I18" s="2607" t="s">
        <v>3080</v>
      </c>
      <c r="J18" s="449"/>
      <c r="K18" s="2603"/>
      <c r="L18" s="1142"/>
      <c r="M18" s="1133"/>
      <c r="N18" s="1133"/>
      <c r="O18" s="1133"/>
      <c r="P18" s="3346"/>
      <c r="Q18" s="1813"/>
      <c r="R18" s="773"/>
      <c r="S18" s="774"/>
      <c r="T18" s="773"/>
      <c r="U18" s="774"/>
      <c r="V18" s="773"/>
      <c r="W18" s="774"/>
      <c r="X18" s="1816"/>
      <c r="Y18" s="3276"/>
      <c r="Z18" s="1817"/>
      <c r="AA18" s="1814">
        <v>1</v>
      </c>
      <c r="AB18" s="1814">
        <v>1</v>
      </c>
      <c r="AC18" s="1814">
        <v>1</v>
      </c>
    </row>
    <row r="19" spans="1:29" ht="42.75">
      <c r="A19" s="429"/>
      <c r="B19" s="452" t="s">
        <v>2093</v>
      </c>
      <c r="C19" s="2604" t="str">
        <f>估价对象房地状况!C7</f>
        <v>估价对象所在区域公共配套设施齐备情况</v>
      </c>
      <c r="D19" s="456">
        <v>100</v>
      </c>
      <c r="E19" s="460"/>
      <c r="F19" s="456">
        <f>SUMIF(80:80,E20,81:81)-SUMIF(80:80,C20,81:81)+100</f>
        <v>97</v>
      </c>
      <c r="G19" s="458"/>
      <c r="H19" s="451">
        <f>SUMIF(80:80,G20,81:81)-SUMIF(80:80,C20,81:81)+100</f>
        <v>100</v>
      </c>
      <c r="I19" s="458"/>
      <c r="J19" s="451">
        <f>SUMIF(80:80,I20,81:81)-SUMIF(80:80,C20,81:81)+100</f>
        <v>100</v>
      </c>
      <c r="K19" s="446">
        <v>1</v>
      </c>
      <c r="L19" s="1142"/>
      <c r="M19" s="1133"/>
      <c r="N19" s="1133"/>
      <c r="O19" s="1133"/>
      <c r="P19" s="3346"/>
      <c r="Q19" s="1813" t="str">
        <f>B19</f>
        <v>公共配套设施</v>
      </c>
      <c r="R19" s="773" t="s">
        <v>21</v>
      </c>
      <c r="S19" s="774">
        <f>F19</f>
        <v>97</v>
      </c>
      <c r="T19" s="773" t="s">
        <v>21</v>
      </c>
      <c r="U19" s="774">
        <f>H19</f>
        <v>100</v>
      </c>
      <c r="V19" s="773" t="s">
        <v>21</v>
      </c>
      <c r="W19" s="774">
        <f>J19</f>
        <v>100</v>
      </c>
      <c r="X19" s="1816"/>
      <c r="Y19" s="3276"/>
      <c r="Z19" s="1817" t="str">
        <f>Q19</f>
        <v>公共配套设施</v>
      </c>
      <c r="AA19" s="1814">
        <f t="shared" si="3"/>
        <v>1.0309278350515463</v>
      </c>
      <c r="AB19" s="1814">
        <f t="shared" si="4"/>
        <v>1</v>
      </c>
      <c r="AC19" s="1814">
        <f t="shared" si="5"/>
        <v>1</v>
      </c>
    </row>
    <row r="20" spans="1:29" ht="15">
      <c r="A20" s="429"/>
      <c r="B20" s="457"/>
      <c r="C20" s="448" t="s">
        <v>3080</v>
      </c>
      <c r="D20" s="449"/>
      <c r="E20" s="2601" t="s">
        <v>3086</v>
      </c>
      <c r="F20" s="449"/>
      <c r="G20" s="2602" t="s">
        <v>3080</v>
      </c>
      <c r="H20" s="449"/>
      <c r="I20" s="2602" t="s">
        <v>3080</v>
      </c>
      <c r="J20" s="449"/>
      <c r="K20" s="2603"/>
      <c r="L20" s="1142"/>
      <c r="M20" s="1133"/>
      <c r="N20" s="1133"/>
      <c r="O20" s="1133"/>
      <c r="P20" s="3346"/>
      <c r="Q20" s="1813"/>
      <c r="R20" s="773"/>
      <c r="S20" s="774"/>
      <c r="T20" s="773"/>
      <c r="U20" s="774"/>
      <c r="V20" s="773"/>
      <c r="W20" s="774"/>
      <c r="X20" s="1816"/>
      <c r="Y20" s="3276"/>
      <c r="Z20" s="1817"/>
      <c r="AA20" s="1814">
        <v>1</v>
      </c>
      <c r="AB20" s="1814">
        <v>1</v>
      </c>
      <c r="AC20" s="1814">
        <v>1</v>
      </c>
    </row>
    <row r="21" spans="1:29" ht="28.5">
      <c r="A21" s="429"/>
      <c r="B21" s="1386" t="s">
        <v>2096</v>
      </c>
      <c r="C21" s="2604" t="str">
        <f>估价对象房地状况!C8</f>
        <v>估价对象所在区域基础设施水平</v>
      </c>
      <c r="D21" s="451">
        <v>100</v>
      </c>
      <c r="E21" s="460"/>
      <c r="F21" s="456">
        <f>SUMIF(82:82,E22,83:83)-SUMIF(82:82,C22,83:83)+100</f>
        <v>100</v>
      </c>
      <c r="G21" s="458"/>
      <c r="H21" s="451">
        <f>SUMIF(82:82,G22,83:83)-SUMIF(82:82,C22,83:83)+100</f>
        <v>100</v>
      </c>
      <c r="I21" s="458"/>
      <c r="J21" s="451">
        <f>SUMIF(82:82,I22,83:83)-SUMIF(82:82,C22,83:83)+100</f>
        <v>100</v>
      </c>
      <c r="K21" s="446"/>
      <c r="L21" s="1142"/>
      <c r="M21" s="1133"/>
      <c r="N21" s="1133"/>
      <c r="O21" s="1133"/>
      <c r="P21" s="3346"/>
      <c r="Q21" s="1813" t="str">
        <f>B21</f>
        <v>基础设施水平</v>
      </c>
      <c r="R21" s="773" t="s">
        <v>17</v>
      </c>
      <c r="S21" s="774">
        <f>F21</f>
        <v>100</v>
      </c>
      <c r="T21" s="773" t="s">
        <v>17</v>
      </c>
      <c r="U21" s="774">
        <f>H21</f>
        <v>100</v>
      </c>
      <c r="V21" s="773" t="s">
        <v>17</v>
      </c>
      <c r="W21" s="774">
        <f>J21</f>
        <v>100</v>
      </c>
      <c r="X21" s="1816"/>
      <c r="Y21" s="3276"/>
      <c r="Z21" s="1817" t="str">
        <f>Q21</f>
        <v>基础设施水平</v>
      </c>
      <c r="AA21" s="1814">
        <f t="shared" ref="AA21" si="8">D21/F21</f>
        <v>1</v>
      </c>
      <c r="AB21" s="1814">
        <f t="shared" ref="AB21" si="9">D21/H21</f>
        <v>1</v>
      </c>
      <c r="AC21" s="1814">
        <f t="shared" ref="AC21" si="10">D21/J21</f>
        <v>1</v>
      </c>
    </row>
    <row r="22" spans="1:29" ht="15">
      <c r="A22" s="429"/>
      <c r="B22" s="1386"/>
      <c r="C22" s="2605" t="s">
        <v>3088</v>
      </c>
      <c r="D22" s="449"/>
      <c r="E22" s="448" t="s">
        <v>3088</v>
      </c>
      <c r="F22" s="449"/>
      <c r="G22" s="2608" t="s">
        <v>3088</v>
      </c>
      <c r="H22" s="449"/>
      <c r="I22" s="448" t="s">
        <v>3088</v>
      </c>
      <c r="J22" s="449"/>
      <c r="K22" s="2609"/>
      <c r="L22" s="1142"/>
      <c r="M22" s="1133"/>
      <c r="N22" s="1133"/>
      <c r="O22" s="1133"/>
      <c r="P22" s="3346"/>
      <c r="Q22" s="1813"/>
      <c r="R22" s="773"/>
      <c r="S22" s="774"/>
      <c r="T22" s="773"/>
      <c r="U22" s="774"/>
      <c r="V22" s="773"/>
      <c r="W22" s="774"/>
      <c r="X22" s="1816"/>
      <c r="Y22" s="3276"/>
      <c r="Z22" s="1817"/>
      <c r="AA22" s="1814">
        <v>1</v>
      </c>
      <c r="AB22" s="1814">
        <v>1</v>
      </c>
      <c r="AC22" s="1814">
        <v>1</v>
      </c>
    </row>
    <row r="23" spans="1:29" ht="57">
      <c r="A23" s="429"/>
      <c r="B23" s="452" t="s">
        <v>2100</v>
      </c>
      <c r="C23" s="2604" t="str">
        <f>估价对象房地状况!C9</f>
        <v>区域自然环境：；人文环境；综合评价环境状况一般</v>
      </c>
      <c r="D23" s="451">
        <v>100</v>
      </c>
      <c r="E23" s="455"/>
      <c r="F23" s="451">
        <f>SUMIF(84:84,E24,85:85)-SUMIF(84:84,C24,85:85)+100</f>
        <v>102</v>
      </c>
      <c r="G23" s="453"/>
      <c r="H23" s="451">
        <f>SUMIF(84:84,G24,85:85)-SUMIF(84:84,C24,85:85)+100</f>
        <v>100</v>
      </c>
      <c r="I23" s="453"/>
      <c r="J23" s="451">
        <f>SUMIF(84:84,I24,85:85)-SUMIF(84:84,C24,85:85)+100</f>
        <v>100</v>
      </c>
      <c r="K23" s="446">
        <v>2</v>
      </c>
      <c r="L23" s="1142"/>
      <c r="M23" s="1133"/>
      <c r="N23" s="1133"/>
      <c r="O23" s="1133"/>
      <c r="P23" s="3346"/>
      <c r="Q23" s="1813" t="str">
        <f>B23</f>
        <v>自然及人文环境</v>
      </c>
      <c r="R23" s="773" t="s">
        <v>21</v>
      </c>
      <c r="S23" s="774">
        <f>F23</f>
        <v>102</v>
      </c>
      <c r="T23" s="773" t="s">
        <v>21</v>
      </c>
      <c r="U23" s="774">
        <f>H23</f>
        <v>100</v>
      </c>
      <c r="V23" s="773" t="s">
        <v>21</v>
      </c>
      <c r="W23" s="774">
        <f>J23</f>
        <v>100</v>
      </c>
      <c r="X23" s="1816"/>
      <c r="Y23" s="3276"/>
      <c r="Z23" s="1817" t="str">
        <f>Q23</f>
        <v>自然及人文环境</v>
      </c>
      <c r="AA23" s="1814">
        <f>D23/F23</f>
        <v>0.98039215686274506</v>
      </c>
      <c r="AB23" s="1814">
        <f>D23/H23</f>
        <v>1</v>
      </c>
      <c r="AC23" s="1814">
        <f>D23/J23</f>
        <v>1</v>
      </c>
    </row>
    <row r="24" spans="1:29" ht="15.75" thickBot="1">
      <c r="A24" s="429"/>
      <c r="B24" s="457"/>
      <c r="C24" s="448" t="s">
        <v>3082</v>
      </c>
      <c r="D24" s="449"/>
      <c r="E24" s="2601" t="s">
        <v>3080</v>
      </c>
      <c r="F24" s="449"/>
      <c r="G24" s="2602" t="s">
        <v>3082</v>
      </c>
      <c r="H24" s="449"/>
      <c r="I24" s="2602" t="s">
        <v>3082</v>
      </c>
      <c r="J24" s="449"/>
      <c r="K24" s="2603"/>
      <c r="L24" s="1142"/>
      <c r="M24" s="1133"/>
      <c r="N24" s="1133"/>
      <c r="O24" s="1133"/>
      <c r="P24" s="3346"/>
      <c r="Q24" s="1813"/>
      <c r="R24" s="773"/>
      <c r="S24" s="774"/>
      <c r="T24" s="773"/>
      <c r="U24" s="774"/>
      <c r="V24" s="773"/>
      <c r="W24" s="774"/>
      <c r="X24" s="1816"/>
      <c r="Y24" s="3276"/>
      <c r="Z24" s="1817"/>
      <c r="AA24" s="1814">
        <v>1</v>
      </c>
      <c r="AB24" s="1814">
        <v>1</v>
      </c>
      <c r="AC24" s="1814">
        <v>1</v>
      </c>
    </row>
    <row r="25" spans="1:29" ht="15" hidden="1">
      <c r="A25" s="429"/>
      <c r="B25" s="423" t="s">
        <v>2557</v>
      </c>
      <c r="C25" s="461"/>
      <c r="D25" s="436">
        <v>100</v>
      </c>
      <c r="E25" s="2610"/>
      <c r="F25" s="436">
        <f>SUMIF(86:86,E25,87:87)-SUMIF(86:86,C25,87:87)+100</f>
        <v>100</v>
      </c>
      <c r="G25" s="2611"/>
      <c r="H25" s="436">
        <f>SUMIF(86:86,G25,87:87)-SUMIF(86:86,C25,87:87)+100</f>
        <v>100</v>
      </c>
      <c r="I25" s="2611"/>
      <c r="J25" s="436">
        <f>SUMIF(86:86,I25,87:87)-SUMIF(86:86,C25,87:87)+100</f>
        <v>100</v>
      </c>
      <c r="K25" s="427"/>
      <c r="L25" s="1142"/>
      <c r="M25" s="1133"/>
      <c r="N25" s="1133"/>
      <c r="O25" s="1133"/>
      <c r="P25" s="3346"/>
      <c r="Q25" s="1813" t="str">
        <f t="shared" ref="Q25:Q46" si="11">B25</f>
        <v>楼层-1</v>
      </c>
      <c r="R25" s="773" t="s">
        <v>21</v>
      </c>
      <c r="S25" s="774">
        <f t="shared" ref="S25:S46" si="12">F25</f>
        <v>100</v>
      </c>
      <c r="T25" s="773" t="s">
        <v>21</v>
      </c>
      <c r="U25" s="774">
        <f t="shared" ref="U25:U46" si="13">H25</f>
        <v>100</v>
      </c>
      <c r="V25" s="773" t="s">
        <v>21</v>
      </c>
      <c r="W25" s="774">
        <f t="shared" ref="W25:W46" si="14">J25</f>
        <v>100</v>
      </c>
      <c r="X25" s="1816"/>
      <c r="Y25" s="3276"/>
      <c r="Z25" s="1817" t="str">
        <f>Q25</f>
        <v>楼层-1</v>
      </c>
      <c r="AA25" s="1814">
        <f t="shared" ref="AA25:AA46" si="15">D25/F25</f>
        <v>1</v>
      </c>
      <c r="AB25" s="1814">
        <f t="shared" ref="AB25:AB46" si="16">D25/H25</f>
        <v>1</v>
      </c>
      <c r="AC25" s="1814">
        <f t="shared" ref="AC25:AC46" si="17">D25/J25</f>
        <v>1</v>
      </c>
    </row>
    <row r="26" spans="1:29" ht="15" hidden="1">
      <c r="A26" s="429"/>
      <c r="B26" s="423" t="s">
        <v>2558</v>
      </c>
      <c r="C26" s="461"/>
      <c r="D26" s="436">
        <v>100</v>
      </c>
      <c r="E26" s="2610"/>
      <c r="F26" s="436">
        <f>SUMIF(88:88,E26,89:89)-SUMIF(88:88,C26,89:89)+100</f>
        <v>100</v>
      </c>
      <c r="G26" s="2611"/>
      <c r="H26" s="436">
        <f>SUMIF(88:88,G26,89:89)-SUMIF(88:88,C26,89:89)+100</f>
        <v>100</v>
      </c>
      <c r="I26" s="2611"/>
      <c r="J26" s="436">
        <f>SUMIF(88:88,I26,89:89)-SUMIF(88:88,C26,89:89)+100</f>
        <v>100</v>
      </c>
      <c r="K26" s="427"/>
      <c r="L26" s="1142"/>
      <c r="M26" s="1133"/>
      <c r="N26" s="1133"/>
      <c r="O26" s="1133"/>
      <c r="P26" s="3346"/>
      <c r="Q26" s="1813" t="str">
        <f t="shared" si="11"/>
        <v>朝向</v>
      </c>
      <c r="R26" s="773" t="s">
        <v>21</v>
      </c>
      <c r="S26" s="774">
        <f t="shared" si="12"/>
        <v>100</v>
      </c>
      <c r="T26" s="773" t="s">
        <v>21</v>
      </c>
      <c r="U26" s="774">
        <f t="shared" si="13"/>
        <v>100</v>
      </c>
      <c r="V26" s="773" t="s">
        <v>21</v>
      </c>
      <c r="W26" s="774">
        <f t="shared" si="14"/>
        <v>100</v>
      </c>
      <c r="X26" s="1816"/>
      <c r="Y26" s="3276"/>
      <c r="Z26" s="1817" t="str">
        <f>Q26</f>
        <v>朝向</v>
      </c>
      <c r="AA26" s="1814">
        <f t="shared" si="15"/>
        <v>1</v>
      </c>
      <c r="AB26" s="1814">
        <f t="shared" si="16"/>
        <v>1</v>
      </c>
      <c r="AC26" s="1814">
        <f t="shared" si="17"/>
        <v>1</v>
      </c>
    </row>
    <row r="27" spans="1:29" s="117" customFormat="1" ht="15" hidden="1">
      <c r="A27" s="432"/>
      <c r="B27" s="1388">
        <v>111</v>
      </c>
      <c r="C27" s="433"/>
      <c r="D27" s="463">
        <v>100</v>
      </c>
      <c r="E27" s="466"/>
      <c r="F27" s="463">
        <f>SUMIF(90:90,E27,91:91)-SUMIF(90:90,C27,91:91)+100</f>
        <v>100</v>
      </c>
      <c r="G27" s="464"/>
      <c r="H27" s="463">
        <f>SUMIF(90:90,G27,91:91)-SUMIF(90:90,C27,91:91)+100</f>
        <v>100</v>
      </c>
      <c r="I27" s="464"/>
      <c r="J27" s="463">
        <f>SUMIF(90:90,I27,91:91)-SUMIF(90:90,C27,91:91)+100</f>
        <v>100</v>
      </c>
      <c r="K27" s="2598"/>
      <c r="L27" s="1134"/>
      <c r="M27" s="1135"/>
      <c r="N27" s="1135"/>
      <c r="O27" s="1135"/>
      <c r="P27" s="3346"/>
      <c r="Q27" s="1798">
        <f t="shared" si="11"/>
        <v>111</v>
      </c>
      <c r="R27" s="769" t="s">
        <v>21</v>
      </c>
      <c r="S27" s="770">
        <f t="shared" si="12"/>
        <v>100</v>
      </c>
      <c r="T27" s="769" t="s">
        <v>21</v>
      </c>
      <c r="U27" s="770">
        <f t="shared" si="13"/>
        <v>100</v>
      </c>
      <c r="V27" s="769" t="s">
        <v>21</v>
      </c>
      <c r="W27" s="770">
        <f t="shared" si="14"/>
        <v>100</v>
      </c>
      <c r="X27" s="771"/>
      <c r="Y27" s="3276"/>
      <c r="Z27" s="55">
        <f>Q27</f>
        <v>111</v>
      </c>
      <c r="AA27" s="1814">
        <f t="shared" si="15"/>
        <v>1</v>
      </c>
      <c r="AB27" s="1814">
        <f t="shared" si="16"/>
        <v>1</v>
      </c>
      <c r="AC27" s="1814">
        <f t="shared" si="17"/>
        <v>1</v>
      </c>
    </row>
    <row r="28" spans="1:29" ht="15" hidden="1">
      <c r="A28" s="429"/>
      <c r="B28" s="1388">
        <v>111</v>
      </c>
      <c r="C28" s="435"/>
      <c r="D28" s="436">
        <v>100</v>
      </c>
      <c r="E28" s="435"/>
      <c r="F28" s="436">
        <f>SUMIF(92:92,E28,93:93)-SUMIF(92:92,C28,93:93)+100</f>
        <v>100</v>
      </c>
      <c r="G28" s="2612"/>
      <c r="H28" s="436">
        <f>SUMIF(92:92,G28,93:93)-SUMIF(92:92,C28,93:93)+100</f>
        <v>100</v>
      </c>
      <c r="I28" s="435"/>
      <c r="J28" s="436">
        <f>SUMIF(92:92,I28,93:93)-SUMIF(92:92,C28,93:93)+100</f>
        <v>100</v>
      </c>
      <c r="K28" s="2598"/>
      <c r="L28" s="1142"/>
      <c r="M28" s="1133"/>
      <c r="N28" s="1133"/>
      <c r="O28" s="1133"/>
      <c r="P28" s="3346"/>
      <c r="Q28" s="1813">
        <f t="shared" si="11"/>
        <v>111</v>
      </c>
      <c r="R28" s="773" t="s">
        <v>21</v>
      </c>
      <c r="S28" s="774">
        <f t="shared" si="12"/>
        <v>100</v>
      </c>
      <c r="T28" s="773" t="s">
        <v>21</v>
      </c>
      <c r="U28" s="774">
        <f t="shared" si="13"/>
        <v>100</v>
      </c>
      <c r="V28" s="773" t="s">
        <v>21</v>
      </c>
      <c r="W28" s="774">
        <f t="shared" si="14"/>
        <v>100</v>
      </c>
      <c r="X28" s="1816"/>
      <c r="Y28" s="3276"/>
      <c r="Z28" s="1817">
        <f t="shared" ref="Z28:Z46" si="18">Q28</f>
        <v>111</v>
      </c>
      <c r="AA28" s="1814">
        <f t="shared" si="15"/>
        <v>1</v>
      </c>
      <c r="AB28" s="1814">
        <f t="shared" si="16"/>
        <v>1</v>
      </c>
      <c r="AC28" s="1814">
        <f t="shared" si="17"/>
        <v>1</v>
      </c>
    </row>
    <row r="29" spans="1:29" ht="15" hidden="1">
      <c r="A29" s="429"/>
      <c r="B29" s="1388">
        <v>111</v>
      </c>
      <c r="C29" s="435"/>
      <c r="D29" s="436">
        <v>100</v>
      </c>
      <c r="E29" s="435"/>
      <c r="F29" s="436">
        <f>SUMIF(94:94,E29,95:95)-SUMIF(94:94,C29,95:95)+100</f>
        <v>100</v>
      </c>
      <c r="G29" s="2612"/>
      <c r="H29" s="436">
        <f>SUMIF(94:94,G29,95:95)-SUMIF(94:94,C29,95:95)+100</f>
        <v>100</v>
      </c>
      <c r="I29" s="435"/>
      <c r="J29" s="436">
        <f>SUMIF(94:94,I29,95:95)-SUMIF(94:94,C29,95:95)+100</f>
        <v>100</v>
      </c>
      <c r="K29" s="2598"/>
      <c r="L29" s="1142"/>
      <c r="M29" s="1133"/>
      <c r="N29" s="1133"/>
      <c r="O29" s="1133"/>
      <c r="P29" s="3346"/>
      <c r="Q29" s="1813">
        <f t="shared" si="11"/>
        <v>111</v>
      </c>
      <c r="R29" s="773" t="s">
        <v>21</v>
      </c>
      <c r="S29" s="774">
        <f t="shared" si="12"/>
        <v>100</v>
      </c>
      <c r="T29" s="773" t="s">
        <v>21</v>
      </c>
      <c r="U29" s="774">
        <f t="shared" si="13"/>
        <v>100</v>
      </c>
      <c r="V29" s="773" t="s">
        <v>21</v>
      </c>
      <c r="W29" s="774">
        <f t="shared" si="14"/>
        <v>100</v>
      </c>
      <c r="X29" s="1816"/>
      <c r="Y29" s="3276"/>
      <c r="Z29" s="1817">
        <f t="shared" si="18"/>
        <v>111</v>
      </c>
      <c r="AA29" s="1814">
        <f t="shared" si="15"/>
        <v>1</v>
      </c>
      <c r="AB29" s="1814">
        <f t="shared" si="16"/>
        <v>1</v>
      </c>
      <c r="AC29" s="1814">
        <f t="shared" si="17"/>
        <v>1</v>
      </c>
    </row>
    <row r="30" spans="1:29" ht="15" hidden="1">
      <c r="A30" s="429"/>
      <c r="B30" s="1388">
        <v>111</v>
      </c>
      <c r="C30" s="435"/>
      <c r="D30" s="436">
        <v>100</v>
      </c>
      <c r="E30" s="435"/>
      <c r="F30" s="436">
        <f>SUMIF(96:96,E30,97:97)-SUMIF(96:96,C30,97:97)+100</f>
        <v>100</v>
      </c>
      <c r="G30" s="2612"/>
      <c r="H30" s="436">
        <f>SUMIF(96:96,G30,97:97)-SUMIF(96:96,C30,97:97)+100</f>
        <v>100</v>
      </c>
      <c r="I30" s="435"/>
      <c r="J30" s="436">
        <f>SUMIF(96:96,I30,97:97)-SUMIF(96:96,C30,97:97)+100</f>
        <v>100</v>
      </c>
      <c r="K30" s="2598"/>
      <c r="L30" s="1142"/>
      <c r="M30" s="1133"/>
      <c r="N30" s="1133"/>
      <c r="O30" s="1133"/>
      <c r="P30" s="3346"/>
      <c r="Q30" s="1813">
        <f t="shared" si="11"/>
        <v>111</v>
      </c>
      <c r="R30" s="773" t="s">
        <v>21</v>
      </c>
      <c r="S30" s="774">
        <f t="shared" si="12"/>
        <v>100</v>
      </c>
      <c r="T30" s="773" t="s">
        <v>21</v>
      </c>
      <c r="U30" s="774">
        <f t="shared" si="13"/>
        <v>100</v>
      </c>
      <c r="V30" s="773" t="s">
        <v>21</v>
      </c>
      <c r="W30" s="774">
        <f t="shared" si="14"/>
        <v>100</v>
      </c>
      <c r="X30" s="1816"/>
      <c r="Y30" s="3276"/>
      <c r="Z30" s="1817">
        <f t="shared" si="18"/>
        <v>111</v>
      </c>
      <c r="AA30" s="1814">
        <f t="shared" si="15"/>
        <v>1</v>
      </c>
      <c r="AB30" s="1814">
        <f t="shared" si="16"/>
        <v>1</v>
      </c>
      <c r="AC30" s="1814">
        <f t="shared" si="17"/>
        <v>1</v>
      </c>
    </row>
    <row r="31" spans="1:29" ht="15.75" hidden="1" thickBot="1">
      <c r="A31" s="437"/>
      <c r="B31" s="1388">
        <v>111</v>
      </c>
      <c r="C31" s="438"/>
      <c r="D31" s="439">
        <v>100</v>
      </c>
      <c r="E31" s="438"/>
      <c r="F31" s="439">
        <f>SUMIF(98:98,E31,99:99)-SUMIF(98:98,C31,99:99)+100</f>
        <v>100</v>
      </c>
      <c r="G31" s="2613"/>
      <c r="H31" s="439">
        <f>SUMIF(98:98,G31,99:99)-SUMIF(98:98,C31,99:99)+100</f>
        <v>100</v>
      </c>
      <c r="I31" s="438"/>
      <c r="J31" s="439">
        <f>SUMIF(98:98,I31,99:99)-SUMIF(98:98,C31,99:99)+100</f>
        <v>100</v>
      </c>
      <c r="K31" s="2598"/>
      <c r="L31" s="1142"/>
      <c r="M31" s="1133"/>
      <c r="N31" s="1133"/>
      <c r="O31" s="1133"/>
      <c r="P31" s="3346"/>
      <c r="Q31" s="1813">
        <f t="shared" si="11"/>
        <v>111</v>
      </c>
      <c r="R31" s="773" t="s">
        <v>21</v>
      </c>
      <c r="S31" s="774">
        <f t="shared" si="12"/>
        <v>100</v>
      </c>
      <c r="T31" s="773" t="s">
        <v>21</v>
      </c>
      <c r="U31" s="774">
        <f t="shared" si="13"/>
        <v>100</v>
      </c>
      <c r="V31" s="773" t="s">
        <v>21</v>
      </c>
      <c r="W31" s="774">
        <f t="shared" si="14"/>
        <v>100</v>
      </c>
      <c r="X31" s="1816"/>
      <c r="Y31" s="3276"/>
      <c r="Z31" s="1817">
        <f t="shared" si="18"/>
        <v>111</v>
      </c>
      <c r="AA31" s="1814">
        <f t="shared" si="15"/>
        <v>1</v>
      </c>
      <c r="AB31" s="1814">
        <f t="shared" si="16"/>
        <v>1</v>
      </c>
      <c r="AC31" s="1814">
        <f t="shared" si="17"/>
        <v>1</v>
      </c>
    </row>
    <row r="32" spans="1:29" ht="15">
      <c r="A32" s="441" t="s">
        <v>2559</v>
      </c>
      <c r="B32" s="71" t="s">
        <v>2560</v>
      </c>
      <c r="C32" s="2614" t="s">
        <v>3144</v>
      </c>
      <c r="D32" s="468">
        <v>100</v>
      </c>
      <c r="E32" s="2615" t="s">
        <v>3144</v>
      </c>
      <c r="F32" s="462">
        <f>SUMIF(100:100,E32,101:101)-SUMIF(100:100,C32,101:101)+100</f>
        <v>100</v>
      </c>
      <c r="G32" s="2614" t="s">
        <v>3144</v>
      </c>
      <c r="H32" s="468">
        <f>SUMIF(100:100,G32,101:101)-SUMIF(100:100,C32,101:101)+100</f>
        <v>100</v>
      </c>
      <c r="I32" s="2615" t="s">
        <v>3144</v>
      </c>
      <c r="J32" s="436">
        <f>SUMIF(100:100,I32,101:101)-SUMIF(100:100,C32,101:101)+100</f>
        <v>100</v>
      </c>
      <c r="K32" s="427">
        <v>5</v>
      </c>
      <c r="L32" s="1142"/>
      <c r="M32" s="1133"/>
      <c r="N32" s="1133"/>
      <c r="O32" s="1133"/>
      <c r="P32" s="3341" t="s">
        <v>2561</v>
      </c>
      <c r="Q32" s="1813" t="str">
        <f t="shared" si="11"/>
        <v>建筑类型</v>
      </c>
      <c r="R32" s="773" t="s">
        <v>21</v>
      </c>
      <c r="S32" s="774">
        <f t="shared" si="12"/>
        <v>100</v>
      </c>
      <c r="T32" s="773" t="s">
        <v>21</v>
      </c>
      <c r="U32" s="774">
        <f t="shared" si="13"/>
        <v>100</v>
      </c>
      <c r="V32" s="773" t="s">
        <v>21</v>
      </c>
      <c r="W32" s="774">
        <f t="shared" si="14"/>
        <v>100</v>
      </c>
      <c r="X32" s="1816"/>
      <c r="Y32" s="3278" t="s">
        <v>2561</v>
      </c>
      <c r="Z32" s="1817" t="str">
        <f t="shared" si="18"/>
        <v>建筑类型</v>
      </c>
      <c r="AA32" s="1814">
        <f t="shared" si="15"/>
        <v>1</v>
      </c>
      <c r="AB32" s="1814">
        <f t="shared" si="16"/>
        <v>1</v>
      </c>
      <c r="AC32" s="1814">
        <f t="shared" si="17"/>
        <v>1</v>
      </c>
    </row>
    <row r="33" spans="1:29" s="472" customFormat="1" ht="15">
      <c r="A33" s="469"/>
      <c r="B33" s="423" t="s">
        <v>2562</v>
      </c>
      <c r="C33" s="470">
        <v>2000000</v>
      </c>
      <c r="D33" s="136">
        <v>100</v>
      </c>
      <c r="E33" s="431">
        <v>394644</v>
      </c>
      <c r="F33" s="426">
        <f>LOOKUP(E33,103:103,104:104)-LOOKUP(C33,103:103,104:104)+100</f>
        <v>98</v>
      </c>
      <c r="G33" s="430">
        <v>200000</v>
      </c>
      <c r="H33" s="136">
        <f>LOOKUP(G33,103:103,104:104)-LOOKUP(C33,103:103,104:104)+100</f>
        <v>97</v>
      </c>
      <c r="I33" s="431">
        <v>211419.15</v>
      </c>
      <c r="J33" s="136">
        <f>LOOKUP(I33,103:103,104:104)-LOOKUP(C33,103:103,104:104)+100</f>
        <v>97</v>
      </c>
      <c r="K33" s="2598"/>
      <c r="L33" s="1140"/>
      <c r="M33" s="1143"/>
      <c r="N33" s="1143"/>
      <c r="O33" s="1143"/>
      <c r="P33" s="3342"/>
      <c r="Q33" s="775" t="str">
        <f t="shared" si="11"/>
        <v>项目建筑规模</v>
      </c>
      <c r="R33" s="776" t="s">
        <v>21</v>
      </c>
      <c r="S33" s="777">
        <f t="shared" si="12"/>
        <v>98</v>
      </c>
      <c r="T33" s="776" t="s">
        <v>21</v>
      </c>
      <c r="U33" s="777">
        <f t="shared" si="13"/>
        <v>97</v>
      </c>
      <c r="V33" s="776" t="s">
        <v>21</v>
      </c>
      <c r="W33" s="777">
        <f t="shared" si="14"/>
        <v>97</v>
      </c>
      <c r="X33" s="778"/>
      <c r="Y33" s="3278"/>
      <c r="Z33" s="779" t="str">
        <f t="shared" si="18"/>
        <v>项目建筑规模</v>
      </c>
      <c r="AA33" s="1814">
        <f t="shared" si="15"/>
        <v>1.0204081632653061</v>
      </c>
      <c r="AB33" s="1814">
        <f t="shared" si="16"/>
        <v>1.0309278350515463</v>
      </c>
      <c r="AC33" s="1814">
        <f t="shared" si="17"/>
        <v>1.0309278350515463</v>
      </c>
    </row>
    <row r="34" spans="1:29" ht="15">
      <c r="A34" s="473"/>
      <c r="B34" s="423" t="s">
        <v>2563</v>
      </c>
      <c r="C34" s="2616" t="s">
        <v>3111</v>
      </c>
      <c r="D34" s="436">
        <v>100</v>
      </c>
      <c r="E34" s="2617" t="s">
        <v>3111</v>
      </c>
      <c r="F34" s="462">
        <f>SUMIF(105:105,E34,106:106)-SUMIF(105:105,C34,106:106)+100</f>
        <v>100</v>
      </c>
      <c r="G34" s="2616" t="s">
        <v>3111</v>
      </c>
      <c r="H34" s="436">
        <f>SUMIF(105:105,G34,106:106)-SUMIF(105:105,C34,106:106)+100</f>
        <v>100</v>
      </c>
      <c r="I34" s="2617" t="s">
        <v>3111</v>
      </c>
      <c r="J34" s="436">
        <f>SUMIF(105:105,I34,106:106)-SUMIF(105:105,C34,106:106)+100</f>
        <v>100</v>
      </c>
      <c r="K34" s="427">
        <v>3</v>
      </c>
      <c r="L34" s="1142"/>
      <c r="M34" s="1133"/>
      <c r="N34" s="1133"/>
      <c r="O34" s="1133"/>
      <c r="P34" s="3342"/>
      <c r="Q34" s="1813" t="str">
        <f t="shared" si="11"/>
        <v>建筑结构</v>
      </c>
      <c r="R34" s="773" t="s">
        <v>21</v>
      </c>
      <c r="S34" s="774">
        <f t="shared" si="12"/>
        <v>100</v>
      </c>
      <c r="T34" s="773" t="s">
        <v>21</v>
      </c>
      <c r="U34" s="774">
        <f t="shared" si="13"/>
        <v>100</v>
      </c>
      <c r="V34" s="773" t="s">
        <v>21</v>
      </c>
      <c r="W34" s="774">
        <f t="shared" si="14"/>
        <v>100</v>
      </c>
      <c r="X34" s="1816"/>
      <c r="Y34" s="3278"/>
      <c r="Z34" s="1817" t="str">
        <f t="shared" si="18"/>
        <v>建筑结构</v>
      </c>
      <c r="AA34" s="1814">
        <f t="shared" si="15"/>
        <v>1</v>
      </c>
      <c r="AB34" s="1814">
        <f t="shared" si="16"/>
        <v>1</v>
      </c>
      <c r="AC34" s="1814">
        <f t="shared" si="17"/>
        <v>1</v>
      </c>
    </row>
    <row r="35" spans="1:29" ht="15">
      <c r="A35" s="473"/>
      <c r="B35" s="423" t="s">
        <v>2564</v>
      </c>
      <c r="C35" s="2610" t="s">
        <v>3121</v>
      </c>
      <c r="D35" s="436">
        <v>100</v>
      </c>
      <c r="E35" s="2611" t="s">
        <v>3119</v>
      </c>
      <c r="F35" s="462">
        <f>SUMIF(107:107,E35,108:108)-SUMIF(107:107,C35,108:108)+100</f>
        <v>103</v>
      </c>
      <c r="G35" s="2610" t="s">
        <v>3121</v>
      </c>
      <c r="H35" s="436">
        <f>SUMIF(107:107,G35,108:108)-SUMIF(107:107,C35,108:108)+100</f>
        <v>100</v>
      </c>
      <c r="I35" s="2611" t="s">
        <v>3121</v>
      </c>
      <c r="J35" s="436">
        <f>SUMIF(107:107,I35,108:108)-SUMIF(107:107,C35,108:108)+100</f>
        <v>100</v>
      </c>
      <c r="K35" s="427">
        <v>3</v>
      </c>
      <c r="L35" s="1142"/>
      <c r="M35" s="1133"/>
      <c r="N35" s="1133"/>
      <c r="O35" s="1133"/>
      <c r="P35" s="3342"/>
      <c r="Q35" s="1813" t="str">
        <f t="shared" si="11"/>
        <v>建筑品质</v>
      </c>
      <c r="R35" s="773" t="s">
        <v>21</v>
      </c>
      <c r="S35" s="774">
        <f t="shared" si="12"/>
        <v>103</v>
      </c>
      <c r="T35" s="773" t="s">
        <v>21</v>
      </c>
      <c r="U35" s="774">
        <f t="shared" si="13"/>
        <v>100</v>
      </c>
      <c r="V35" s="773" t="s">
        <v>21</v>
      </c>
      <c r="W35" s="774">
        <f t="shared" si="14"/>
        <v>100</v>
      </c>
      <c r="X35" s="1816"/>
      <c r="Y35" s="3278"/>
      <c r="Z35" s="1817" t="str">
        <f t="shared" si="18"/>
        <v>建筑品质</v>
      </c>
      <c r="AA35" s="1814">
        <f t="shared" si="15"/>
        <v>0.970873786407767</v>
      </c>
      <c r="AB35" s="1814">
        <f t="shared" si="16"/>
        <v>1</v>
      </c>
      <c r="AC35" s="1814">
        <f t="shared" si="17"/>
        <v>1</v>
      </c>
    </row>
    <row r="36" spans="1:29" ht="15">
      <c r="A36" s="473"/>
      <c r="B36" s="423" t="s">
        <v>2565</v>
      </c>
      <c r="C36" s="2610" t="s">
        <v>3126</v>
      </c>
      <c r="D36" s="436">
        <v>100</v>
      </c>
      <c r="E36" s="2611" t="s">
        <v>3124</v>
      </c>
      <c r="F36" s="462">
        <f>SUMIF(109:109,E36,110:110)-SUMIF(109:109,C36,110:110)+100</f>
        <v>103</v>
      </c>
      <c r="G36" s="2610" t="s">
        <v>3126</v>
      </c>
      <c r="H36" s="436">
        <f>SUMIF(109:109,G36,110:110)-SUMIF(109:109,C36,110:110)+100</f>
        <v>100</v>
      </c>
      <c r="I36" s="2611" t="s">
        <v>3126</v>
      </c>
      <c r="J36" s="436">
        <f>SUMIF(109:109,I36,110:110)-SUMIF(109:109,C36,110:110)+100</f>
        <v>100</v>
      </c>
      <c r="K36" s="427">
        <v>3</v>
      </c>
      <c r="L36" s="1142"/>
      <c r="M36" s="1133"/>
      <c r="N36" s="1133"/>
      <c r="O36" s="1133"/>
      <c r="P36" s="3342"/>
      <c r="Q36" s="1813" t="str">
        <f t="shared" si="11"/>
        <v>公共部分装修</v>
      </c>
      <c r="R36" s="773" t="s">
        <v>21</v>
      </c>
      <c r="S36" s="774">
        <f t="shared" si="12"/>
        <v>103</v>
      </c>
      <c r="T36" s="773" t="s">
        <v>21</v>
      </c>
      <c r="U36" s="774">
        <f t="shared" si="13"/>
        <v>100</v>
      </c>
      <c r="V36" s="773" t="s">
        <v>21</v>
      </c>
      <c r="W36" s="774">
        <f t="shared" si="14"/>
        <v>100</v>
      </c>
      <c r="X36" s="1816"/>
      <c r="Y36" s="3278"/>
      <c r="Z36" s="1817" t="str">
        <f t="shared" si="18"/>
        <v>公共部分装修</v>
      </c>
      <c r="AA36" s="1814">
        <f t="shared" si="15"/>
        <v>0.970873786407767</v>
      </c>
      <c r="AB36" s="1814">
        <f t="shared" si="16"/>
        <v>1</v>
      </c>
      <c r="AC36" s="1814">
        <f t="shared" si="17"/>
        <v>1</v>
      </c>
    </row>
    <row r="37" spans="1:29" s="117" customFormat="1" ht="15">
      <c r="A37" s="474"/>
      <c r="B37" s="423" t="s">
        <v>2566</v>
      </c>
      <c r="C37" s="475">
        <v>1</v>
      </c>
      <c r="D37" s="136">
        <v>100</v>
      </c>
      <c r="E37" s="475">
        <v>1</v>
      </c>
      <c r="F37" s="426">
        <f>LOOKUP(E37,112:112,113:113)-LOOKUP(C37,112:112,113:113)+100</f>
        <v>100</v>
      </c>
      <c r="G37" s="477">
        <v>1</v>
      </c>
      <c r="H37" s="136">
        <f>LOOKUP(G37,112:112,113:113)-LOOKUP(C37,112:112,113:113)+100</f>
        <v>100</v>
      </c>
      <c r="I37" s="476">
        <v>1</v>
      </c>
      <c r="J37" s="136">
        <f>LOOKUP(I37,112:112,113:113)-LOOKUP(C37,112:112,113:113)+100</f>
        <v>100</v>
      </c>
      <c r="K37" s="427"/>
      <c r="L37" s="1134"/>
      <c r="M37" s="1135"/>
      <c r="N37" s="1135"/>
      <c r="O37" s="1135"/>
      <c r="P37" s="3342"/>
      <c r="Q37" s="1798" t="str">
        <f t="shared" si="11"/>
        <v>成新度</v>
      </c>
      <c r="R37" s="769" t="s">
        <v>21</v>
      </c>
      <c r="S37" s="770">
        <f t="shared" si="12"/>
        <v>100</v>
      </c>
      <c r="T37" s="769" t="s">
        <v>21</v>
      </c>
      <c r="U37" s="770">
        <f t="shared" si="13"/>
        <v>100</v>
      </c>
      <c r="V37" s="769" t="s">
        <v>21</v>
      </c>
      <c r="W37" s="770">
        <f t="shared" si="14"/>
        <v>100</v>
      </c>
      <c r="X37" s="771"/>
      <c r="Y37" s="3278"/>
      <c r="Z37" s="55" t="str">
        <f t="shared" si="18"/>
        <v>成新度</v>
      </c>
      <c r="AA37" s="772">
        <f t="shared" si="15"/>
        <v>1</v>
      </c>
      <c r="AB37" s="772">
        <f t="shared" si="16"/>
        <v>1</v>
      </c>
      <c r="AC37" s="772">
        <f t="shared" si="17"/>
        <v>1</v>
      </c>
    </row>
    <row r="38" spans="1:29" ht="15">
      <c r="A38" s="473"/>
      <c r="B38" s="423" t="s">
        <v>2567</v>
      </c>
      <c r="C38" s="2610" t="s">
        <v>3130</v>
      </c>
      <c r="D38" s="436">
        <v>100</v>
      </c>
      <c r="E38" s="2611" t="s">
        <v>3130</v>
      </c>
      <c r="F38" s="462">
        <f>SUMIF(114:114,E38,115:115)-SUMIF(114:114,C38,115:115)+100</f>
        <v>100</v>
      </c>
      <c r="G38" s="2610" t="s">
        <v>3130</v>
      </c>
      <c r="H38" s="436">
        <f>SUMIF(114:114,G38,115:115)-SUMIF(114:114,C38,115:115)+100</f>
        <v>100</v>
      </c>
      <c r="I38" s="2611" t="s">
        <v>3130</v>
      </c>
      <c r="J38" s="436">
        <f>SUMIF(114:114,I38,115:115)-SUMIF(114:114,C38,115:115)+100</f>
        <v>100</v>
      </c>
      <c r="K38" s="427"/>
      <c r="L38" s="1142"/>
      <c r="M38" s="1133"/>
      <c r="N38" s="1133"/>
      <c r="O38" s="1133"/>
      <c r="P38" s="3342" t="s">
        <v>2561</v>
      </c>
      <c r="Q38" s="1813" t="str">
        <f t="shared" si="11"/>
        <v>物业管理</v>
      </c>
      <c r="R38" s="773" t="s">
        <v>21</v>
      </c>
      <c r="S38" s="774">
        <f t="shared" si="12"/>
        <v>100</v>
      </c>
      <c r="T38" s="773" t="s">
        <v>21</v>
      </c>
      <c r="U38" s="774">
        <f t="shared" si="13"/>
        <v>100</v>
      </c>
      <c r="V38" s="773" t="s">
        <v>21</v>
      </c>
      <c r="W38" s="774">
        <f t="shared" si="14"/>
        <v>100</v>
      </c>
      <c r="X38" s="1816"/>
      <c r="Y38" s="3278" t="s">
        <v>2561</v>
      </c>
      <c r="Z38" s="1817" t="str">
        <f t="shared" si="18"/>
        <v>物业管理</v>
      </c>
      <c r="AA38" s="1814">
        <f t="shared" si="15"/>
        <v>1</v>
      </c>
      <c r="AB38" s="1814">
        <f t="shared" si="16"/>
        <v>1</v>
      </c>
      <c r="AC38" s="1814">
        <f t="shared" si="17"/>
        <v>1</v>
      </c>
    </row>
    <row r="39" spans="1:29" ht="15">
      <c r="A39" s="473"/>
      <c r="B39" s="423" t="s">
        <v>2568</v>
      </c>
      <c r="C39" s="2610" t="s">
        <v>3088</v>
      </c>
      <c r="D39" s="436">
        <v>100</v>
      </c>
      <c r="E39" s="2611" t="s">
        <v>3088</v>
      </c>
      <c r="F39" s="462">
        <f>SUMIF(116:116,E39,117:117)-SUMIF(116:116,C39,117:117)+100</f>
        <v>100</v>
      </c>
      <c r="G39" s="2610" t="s">
        <v>3088</v>
      </c>
      <c r="H39" s="436">
        <f>SUMIF(116:116,G39,117:117)-SUMIF(116:116,C39,117:117)+100</f>
        <v>100</v>
      </c>
      <c r="I39" s="2611" t="s">
        <v>3088</v>
      </c>
      <c r="J39" s="436">
        <f>SUMIF(116:116,I39,117:117)-SUMIF(116:116,C39,117:117)+100</f>
        <v>100</v>
      </c>
      <c r="K39" s="427"/>
      <c r="L39" s="1142"/>
      <c r="M39" s="1133"/>
      <c r="N39" s="1133"/>
      <c r="O39" s="1133"/>
      <c r="P39" s="3342"/>
      <c r="Q39" s="1813" t="str">
        <f t="shared" si="11"/>
        <v>市政基础设施</v>
      </c>
      <c r="R39" s="773" t="s">
        <v>21</v>
      </c>
      <c r="S39" s="774">
        <f t="shared" si="12"/>
        <v>100</v>
      </c>
      <c r="T39" s="773" t="s">
        <v>21</v>
      </c>
      <c r="U39" s="774">
        <f t="shared" si="13"/>
        <v>100</v>
      </c>
      <c r="V39" s="773" t="s">
        <v>21</v>
      </c>
      <c r="W39" s="774">
        <f t="shared" si="14"/>
        <v>100</v>
      </c>
      <c r="X39" s="1816"/>
      <c r="Y39" s="3278"/>
      <c r="Z39" s="1817" t="str">
        <f t="shared" si="18"/>
        <v>市政基础设施</v>
      </c>
      <c r="AA39" s="1814">
        <f t="shared" si="15"/>
        <v>1</v>
      </c>
      <c r="AB39" s="1814">
        <f t="shared" si="16"/>
        <v>1</v>
      </c>
      <c r="AC39" s="1814">
        <f t="shared" si="17"/>
        <v>1</v>
      </c>
    </row>
    <row r="40" spans="1:29" ht="15" hidden="1">
      <c r="A40" s="473"/>
      <c r="B40" s="423" t="s">
        <v>2569</v>
      </c>
      <c r="C40" s="2610"/>
      <c r="D40" s="436">
        <v>100</v>
      </c>
      <c r="E40" s="2611"/>
      <c r="F40" s="462">
        <f>SUMIF(118:118,E40,119:119)-SUMIF(118:118,C40,119:119)+100</f>
        <v>100</v>
      </c>
      <c r="G40" s="2610"/>
      <c r="H40" s="436">
        <f>SUMIF(118:118,G40,119:119)-SUMIF(118:118,C40,119:119)+100</f>
        <v>100</v>
      </c>
      <c r="I40" s="2611"/>
      <c r="J40" s="436">
        <f>SUMIF(118:118,I40,119:119)-SUMIF(118:118,C40,119:119)+100</f>
        <v>100</v>
      </c>
      <c r="K40" s="427"/>
      <c r="L40" s="1142"/>
      <c r="M40" s="1133"/>
      <c r="N40" s="1133"/>
      <c r="O40" s="1133"/>
      <c r="P40" s="3342"/>
      <c r="Q40" s="1813" t="str">
        <f t="shared" si="11"/>
        <v>房型</v>
      </c>
      <c r="R40" s="773" t="s">
        <v>21</v>
      </c>
      <c r="S40" s="774">
        <f t="shared" si="12"/>
        <v>100</v>
      </c>
      <c r="T40" s="773" t="s">
        <v>21</v>
      </c>
      <c r="U40" s="774">
        <f t="shared" si="13"/>
        <v>100</v>
      </c>
      <c r="V40" s="773" t="s">
        <v>21</v>
      </c>
      <c r="W40" s="774">
        <f t="shared" si="14"/>
        <v>100</v>
      </c>
      <c r="X40" s="1816"/>
      <c r="Y40" s="3278"/>
      <c r="Z40" s="1817" t="str">
        <f t="shared" si="18"/>
        <v>房型</v>
      </c>
      <c r="AA40" s="1814">
        <f t="shared" si="15"/>
        <v>1</v>
      </c>
      <c r="AB40" s="1814">
        <f t="shared" si="16"/>
        <v>1</v>
      </c>
      <c r="AC40" s="1814">
        <f t="shared" si="17"/>
        <v>1</v>
      </c>
    </row>
    <row r="41" spans="1:29" s="472" customFormat="1" ht="28.5">
      <c r="A41" s="469"/>
      <c r="B41" s="423" t="s">
        <v>2570</v>
      </c>
      <c r="C41" s="470" t="s">
        <v>3142</v>
      </c>
      <c r="D41" s="136">
        <v>100</v>
      </c>
      <c r="E41" s="431" t="s">
        <v>3142</v>
      </c>
      <c r="F41" s="426">
        <f>SUMIF(120:120,E41,121:121)-SUMIF(120:120,C41,121:121)+100</f>
        <v>100</v>
      </c>
      <c r="G41" s="430" t="s">
        <v>3142</v>
      </c>
      <c r="H41" s="136">
        <f>SUMIF(120:120,G41,121:121)-SUMIF(120:120,C41,121:121)+100</f>
        <v>100</v>
      </c>
      <c r="I41" s="478" t="s">
        <v>3142</v>
      </c>
      <c r="J41" s="436">
        <f>SUMIF(120:120,I41,121:121)-SUMIF(120:120,C41,121:121)+100</f>
        <v>100</v>
      </c>
      <c r="K41" s="2598"/>
      <c r="L41" s="1140"/>
      <c r="M41" s="1143"/>
      <c r="N41" s="1143"/>
      <c r="O41" s="1143"/>
      <c r="P41" s="3342"/>
      <c r="Q41" s="775" t="str">
        <f t="shared" si="11"/>
        <v>单套/主力户型建筑面积</v>
      </c>
      <c r="R41" s="776" t="s">
        <v>21</v>
      </c>
      <c r="S41" s="777">
        <f t="shared" si="12"/>
        <v>100</v>
      </c>
      <c r="T41" s="776" t="s">
        <v>21</v>
      </c>
      <c r="U41" s="777">
        <f t="shared" si="13"/>
        <v>100</v>
      </c>
      <c r="V41" s="776" t="s">
        <v>21</v>
      </c>
      <c r="W41" s="777">
        <f t="shared" si="14"/>
        <v>100</v>
      </c>
      <c r="X41" s="778"/>
      <c r="Y41" s="3278"/>
      <c r="Z41" s="779" t="str">
        <f t="shared" si="18"/>
        <v>单套/主力户型建筑面积</v>
      </c>
      <c r="AA41" s="1814">
        <f t="shared" si="15"/>
        <v>1</v>
      </c>
      <c r="AB41" s="1814">
        <f t="shared" si="16"/>
        <v>1</v>
      </c>
      <c r="AC41" s="1814">
        <f t="shared" si="17"/>
        <v>1</v>
      </c>
    </row>
    <row r="42" spans="1:29" ht="15.75" thickBot="1">
      <c r="A42" s="473"/>
      <c r="B42" s="423" t="s">
        <v>2571</v>
      </c>
      <c r="C42" s="2610" t="s">
        <v>3128</v>
      </c>
      <c r="D42" s="436">
        <v>100</v>
      </c>
      <c r="E42" s="2611" t="s">
        <v>3128</v>
      </c>
      <c r="F42" s="462">
        <f>SUMIF(122:122,E42,123:123)-SUMIF(122:122,C42,123:123)+100</f>
        <v>100</v>
      </c>
      <c r="G42" s="2610" t="s">
        <v>3128</v>
      </c>
      <c r="H42" s="436">
        <f>SUMIF(122:122,G42,123:123)-SUMIF(122:122,C42,123:123)+100</f>
        <v>100</v>
      </c>
      <c r="I42" s="2611" t="s">
        <v>3126</v>
      </c>
      <c r="J42" s="436">
        <f>SUMIF(122:122,I42,123:123)-SUMIF(122:122,C42,123:123)+100</f>
        <v>102</v>
      </c>
      <c r="K42" s="427">
        <v>2</v>
      </c>
      <c r="L42" s="1142"/>
      <c r="M42" s="1133"/>
      <c r="N42" s="1133"/>
      <c r="O42" s="1133"/>
      <c r="P42" s="3342"/>
      <c r="Q42" s="1813" t="str">
        <f t="shared" si="11"/>
        <v>内部装修</v>
      </c>
      <c r="R42" s="773" t="s">
        <v>21</v>
      </c>
      <c r="S42" s="774">
        <f t="shared" si="12"/>
        <v>100</v>
      </c>
      <c r="T42" s="773" t="s">
        <v>21</v>
      </c>
      <c r="U42" s="774">
        <f t="shared" si="13"/>
        <v>100</v>
      </c>
      <c r="V42" s="773" t="s">
        <v>21</v>
      </c>
      <c r="W42" s="774">
        <f t="shared" si="14"/>
        <v>102</v>
      </c>
      <c r="X42" s="1816"/>
      <c r="Y42" s="3278"/>
      <c r="Z42" s="1817" t="str">
        <f t="shared" si="18"/>
        <v>内部装修</v>
      </c>
      <c r="AA42" s="1814">
        <f t="shared" si="15"/>
        <v>1</v>
      </c>
      <c r="AB42" s="1814">
        <f t="shared" si="16"/>
        <v>1</v>
      </c>
      <c r="AC42" s="1814">
        <f t="shared" si="17"/>
        <v>0.98039215686274506</v>
      </c>
    </row>
    <row r="43" spans="1:29" ht="15.75" hidden="1" thickBot="1">
      <c r="A43" s="473"/>
      <c r="B43" s="423" t="s">
        <v>2572</v>
      </c>
      <c r="C43" s="2610" t="s">
        <v>3080</v>
      </c>
      <c r="D43" s="436">
        <v>100</v>
      </c>
      <c r="E43" s="2611" t="s">
        <v>3080</v>
      </c>
      <c r="F43" s="462">
        <f>SUMIF(124:124,E43,125:125)-SUMIF(124:124,C43,125:125)+100</f>
        <v>100</v>
      </c>
      <c r="G43" s="2610" t="s">
        <v>3080</v>
      </c>
      <c r="H43" s="436">
        <f>SUMIF(124:124,G43,125:125)-SUMIF(124:124,C43,125:125)+100</f>
        <v>100</v>
      </c>
      <c r="I43" s="2611" t="s">
        <v>3080</v>
      </c>
      <c r="J43" s="436">
        <f>SUMIF(124:124,I43,125:125)-SUMIF(124:124,C43,125:125)+100</f>
        <v>100</v>
      </c>
      <c r="K43" s="427"/>
      <c r="L43" s="1142"/>
      <c r="M43" s="1133"/>
      <c r="N43" s="1133"/>
      <c r="O43" s="1133"/>
      <c r="P43" s="3342"/>
      <c r="Q43" s="1813" t="str">
        <f t="shared" si="11"/>
        <v>内部装修维护情况</v>
      </c>
      <c r="R43" s="773" t="s">
        <v>21</v>
      </c>
      <c r="S43" s="774">
        <f t="shared" si="12"/>
        <v>100</v>
      </c>
      <c r="T43" s="773" t="s">
        <v>21</v>
      </c>
      <c r="U43" s="774">
        <f t="shared" si="13"/>
        <v>100</v>
      </c>
      <c r="V43" s="773" t="s">
        <v>21</v>
      </c>
      <c r="W43" s="774">
        <f t="shared" si="14"/>
        <v>100</v>
      </c>
      <c r="X43" s="1816"/>
      <c r="Y43" s="3278"/>
      <c r="Z43" s="1817" t="str">
        <f t="shared" si="18"/>
        <v>内部装修维护情况</v>
      </c>
      <c r="AA43" s="1814">
        <f t="shared" si="15"/>
        <v>1</v>
      </c>
      <c r="AB43" s="1814">
        <f t="shared" si="16"/>
        <v>1</v>
      </c>
      <c r="AC43" s="1814">
        <f t="shared" si="17"/>
        <v>1</v>
      </c>
    </row>
    <row r="44" spans="1:29" s="117" customFormat="1" ht="15" hidden="1">
      <c r="A44" s="474"/>
      <c r="B44" s="1388">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598"/>
      <c r="L44" s="1134"/>
      <c r="M44" s="1135"/>
      <c r="N44" s="1135"/>
      <c r="O44" s="1135"/>
      <c r="P44" s="3342"/>
      <c r="Q44" s="1798">
        <f t="shared" si="11"/>
        <v>111</v>
      </c>
      <c r="R44" s="769" t="s">
        <v>21</v>
      </c>
      <c r="S44" s="770">
        <f t="shared" si="12"/>
        <v>100</v>
      </c>
      <c r="T44" s="769" t="s">
        <v>21</v>
      </c>
      <c r="U44" s="770">
        <f t="shared" si="13"/>
        <v>100</v>
      </c>
      <c r="V44" s="769" t="s">
        <v>21</v>
      </c>
      <c r="W44" s="770">
        <f t="shared" si="14"/>
        <v>100</v>
      </c>
      <c r="X44" s="771"/>
      <c r="Y44" s="3278"/>
      <c r="Z44" s="55">
        <f t="shared" si="18"/>
        <v>111</v>
      </c>
      <c r="AA44" s="772">
        <f t="shared" si="15"/>
        <v>1</v>
      </c>
      <c r="AB44" s="772">
        <f t="shared" si="16"/>
        <v>1</v>
      </c>
      <c r="AC44" s="772">
        <f t="shared" si="17"/>
        <v>1</v>
      </c>
    </row>
    <row r="45" spans="1:29" ht="15" hidden="1">
      <c r="A45" s="473"/>
      <c r="B45" s="1388">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598"/>
      <c r="L45" s="1142"/>
      <c r="M45" s="1133"/>
      <c r="N45" s="1133"/>
      <c r="O45" s="1133"/>
      <c r="P45" s="3342"/>
      <c r="Q45" s="1813">
        <f t="shared" si="11"/>
        <v>111</v>
      </c>
      <c r="R45" s="773" t="s">
        <v>21</v>
      </c>
      <c r="S45" s="774">
        <f t="shared" si="12"/>
        <v>100</v>
      </c>
      <c r="T45" s="773" t="s">
        <v>21</v>
      </c>
      <c r="U45" s="774">
        <f t="shared" si="13"/>
        <v>100</v>
      </c>
      <c r="V45" s="773" t="s">
        <v>21</v>
      </c>
      <c r="W45" s="774">
        <f t="shared" si="14"/>
        <v>100</v>
      </c>
      <c r="X45" s="1816"/>
      <c r="Y45" s="3278"/>
      <c r="Z45" s="1817">
        <f t="shared" si="18"/>
        <v>111</v>
      </c>
      <c r="AA45" s="1814">
        <f t="shared" si="15"/>
        <v>1</v>
      </c>
      <c r="AB45" s="1814">
        <f t="shared" si="16"/>
        <v>1</v>
      </c>
      <c r="AC45" s="1814">
        <f t="shared" si="17"/>
        <v>1</v>
      </c>
    </row>
    <row r="46" spans="1:29" ht="15.75" hidden="1" thickBot="1">
      <c r="A46" s="479"/>
      <c r="B46" s="2599">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598"/>
      <c r="L46" s="1142"/>
      <c r="M46" s="1133"/>
      <c r="N46" s="1133"/>
      <c r="O46" s="1133"/>
      <c r="P46" s="3343"/>
      <c r="Q46" s="1813">
        <f t="shared" si="11"/>
        <v>111</v>
      </c>
      <c r="R46" s="773" t="s">
        <v>20</v>
      </c>
      <c r="S46" s="774">
        <f t="shared" si="12"/>
        <v>100</v>
      </c>
      <c r="T46" s="773" t="s">
        <v>20</v>
      </c>
      <c r="U46" s="774">
        <f t="shared" si="13"/>
        <v>100</v>
      </c>
      <c r="V46" s="773" t="s">
        <v>20</v>
      </c>
      <c r="W46" s="774">
        <f t="shared" si="14"/>
        <v>100</v>
      </c>
      <c r="X46" s="1816"/>
      <c r="Y46" s="3344"/>
      <c r="Z46" s="1817">
        <f t="shared" si="18"/>
        <v>111</v>
      </c>
      <c r="AA46" s="1814">
        <f t="shared" si="15"/>
        <v>1</v>
      </c>
      <c r="AB46" s="1814">
        <f t="shared" si="16"/>
        <v>1</v>
      </c>
      <c r="AC46" s="1814">
        <f t="shared" si="17"/>
        <v>1</v>
      </c>
    </row>
    <row r="47" spans="1:29" ht="15">
      <c r="A47" s="480" t="s">
        <v>2573</v>
      </c>
      <c r="B47" s="481"/>
      <c r="C47" s="1409" t="s">
        <v>19</v>
      </c>
      <c r="D47" s="1410"/>
      <c r="E47" s="1411">
        <f>ROUND(10000*0.96,0)</f>
        <v>9600</v>
      </c>
      <c r="F47" s="1412"/>
      <c r="G47" s="1413">
        <f>ROUND(9500*0.98,0)</f>
        <v>9310</v>
      </c>
      <c r="H47" s="1414"/>
      <c r="I47" s="1411">
        <v>9052</v>
      </c>
      <c r="J47" s="1414"/>
      <c r="K47" s="2618"/>
      <c r="L47" s="1145"/>
      <c r="M47" s="1146"/>
      <c r="N47" s="1133"/>
      <c r="O47" s="1146"/>
      <c r="P47" s="3273" t="str">
        <f>A47</f>
        <v>成交单价（元/平方米）</v>
      </c>
      <c r="Q47" s="3273"/>
      <c r="R47" s="3340">
        <f>E47</f>
        <v>9600</v>
      </c>
      <c r="S47" s="3340"/>
      <c r="T47" s="3340">
        <f>G47</f>
        <v>9310</v>
      </c>
      <c r="U47" s="3340"/>
      <c r="V47" s="3340">
        <f>I47</f>
        <v>9052</v>
      </c>
      <c r="W47" s="3340"/>
      <c r="X47" s="758"/>
      <c r="Y47" s="780"/>
      <c r="Z47" s="758"/>
      <c r="AA47" s="758"/>
      <c r="AB47" s="758"/>
      <c r="AC47" s="758"/>
    </row>
    <row r="48" spans="1:29" ht="15.75" thickBot="1">
      <c r="A48" s="487" t="s">
        <v>2574</v>
      </c>
      <c r="B48" s="488"/>
      <c r="C48" s="1415">
        <f>R49</f>
        <v>9424</v>
      </c>
      <c r="D48" s="1416"/>
      <c r="E48" s="1417">
        <f>R48</f>
        <v>9429</v>
      </c>
      <c r="F48" s="1417"/>
      <c r="G48" s="1415">
        <f>T48</f>
        <v>9695</v>
      </c>
      <c r="H48" s="1416"/>
      <c r="I48" s="1417">
        <f>V48</f>
        <v>9149</v>
      </c>
      <c r="J48" s="1416"/>
      <c r="K48" s="2619"/>
      <c r="L48" s="1145"/>
      <c r="M48" s="1146"/>
      <c r="N48" s="1146"/>
      <c r="O48" s="1146"/>
      <c r="P48" s="3273" t="str">
        <f>A48</f>
        <v>比较价值（元/平方米）</v>
      </c>
      <c r="Q48" s="3273"/>
      <c r="R48" s="3340">
        <f>IF(F1="售价",ROUND(PRODUCT(R47,AA7:AA46),0),ROUND(PRODUCT(R47,AA7:AA46),1))</f>
        <v>9429</v>
      </c>
      <c r="S48" s="3340"/>
      <c r="T48" s="3340">
        <f>IF(F1="售价",ROUND(PRODUCT(T47,AB7:AB46),0),ROUND(PRODUCT(T47,AB7:AB46),1))</f>
        <v>9695</v>
      </c>
      <c r="U48" s="3340"/>
      <c r="V48" s="3340">
        <f>IF(F1="售价",ROUND(PRODUCT(V47,AC7:AC46),0),ROUND(PRODUCT(V47,AC7:AC46),1))</f>
        <v>9149</v>
      </c>
      <c r="W48" s="3340"/>
      <c r="X48" s="758"/>
      <c r="Y48" s="758"/>
      <c r="Z48" s="758"/>
      <c r="AA48" s="758"/>
      <c r="AB48" s="758"/>
      <c r="AC48" s="758"/>
    </row>
    <row r="49" spans="1:29" ht="15.75" thickBot="1">
      <c r="A49" s="493" t="s">
        <v>2575</v>
      </c>
      <c r="B49" s="494"/>
      <c r="C49" s="1418">
        <f>R49</f>
        <v>9424</v>
      </c>
      <c r="D49" s="1419"/>
      <c r="E49" s="1419"/>
      <c r="F49" s="1419"/>
      <c r="G49" s="1419"/>
      <c r="H49" s="1419"/>
      <c r="I49" s="1419"/>
      <c r="J49" s="1419"/>
      <c r="K49" s="2620"/>
      <c r="L49" s="1145"/>
      <c r="M49" s="1146"/>
      <c r="N49" s="1146"/>
      <c r="O49" s="1146"/>
      <c r="P49" s="3267" t="str">
        <f>A49</f>
        <v>估价对象XX用房的比较价值（楼面单价，元/平方米）</v>
      </c>
      <c r="Q49" s="3268"/>
      <c r="R49" s="3339">
        <f>IF(F1="售价",ROUND(AVERAGE(R48:V48),0),ROUND(AVERAGE(R48:V48),1))</f>
        <v>9424</v>
      </c>
      <c r="S49" s="3339"/>
      <c r="T49" s="3339"/>
      <c r="U49" s="3339"/>
      <c r="V49" s="3339"/>
      <c r="W49" s="3339"/>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8" t="s">
        <v>2576</v>
      </c>
      <c r="D52" s="499"/>
      <c r="E52" s="500">
        <f>IF(E47&lt;E48,E48/E47-1,E47/E48-1)</f>
        <v>1.8135539293668401E-2</v>
      </c>
      <c r="F52" s="501" t="str">
        <f>IF(OR(E52&gt;=0.3,E52&lt;=-0.3),"超过30%","")</f>
        <v/>
      </c>
      <c r="G52" s="500">
        <f>IF(G47&lt;G48,G48/G47-1,G47/G48-1)</f>
        <v>4.1353383458646586E-2</v>
      </c>
      <c r="H52" s="501" t="str">
        <f>IF(OR(G52&gt;=0.3,G52&lt;=-0.3),"超过30%","")</f>
        <v/>
      </c>
      <c r="I52" s="500">
        <f>IF(I47&lt;I48,I48/I47-1,I47/I48-1)</f>
        <v>1.0715863897481137E-2</v>
      </c>
      <c r="J52" s="501" t="str">
        <f>IF(OR(I52&gt;=0.3,I52&lt;=-0.3),"超过30%","")</f>
        <v/>
      </c>
      <c r="K52" s="1107"/>
      <c r="L52" s="1108"/>
      <c r="M52" s="1146"/>
      <c r="N52" s="1146"/>
      <c r="O52" s="1146"/>
    </row>
    <row r="53" spans="1:29" ht="13.5" customHeight="1">
      <c r="A53" s="1146"/>
      <c r="B53" s="1146"/>
      <c r="C53" s="498" t="s">
        <v>2577</v>
      </c>
      <c r="D53" s="502"/>
      <c r="E53" s="500">
        <f>IF(E48&lt;G48,G48/E48-1,E48/G48-1)</f>
        <v>2.8210838901262081E-2</v>
      </c>
      <c r="F53" s="501" t="str">
        <f>IF(OR(E53&gt;=0.2,E53&lt;=-0.2),"超过20%","")</f>
        <v/>
      </c>
      <c r="G53" s="500">
        <f>IF(G48&lt;I48,I48/G48-1,G48/I48-1)</f>
        <v>5.9678653404743764E-2</v>
      </c>
      <c r="H53" s="501" t="str">
        <f>IF(OR(G53&gt;=0.2,G53&lt;=-0.2),"超过20%","")</f>
        <v/>
      </c>
      <c r="I53" s="500">
        <f>IF(I48&lt;E48,E48/I48-1,I48/E48-1)</f>
        <v>3.0604437643458215E-2</v>
      </c>
      <c r="J53" s="501" t="str">
        <f>IF(OR(I53&gt;=0.2,I53&lt;=-0.2),"超过20%","")</f>
        <v/>
      </c>
      <c r="K53" s="1107"/>
      <c r="L53" s="1108"/>
      <c r="M53" s="1146"/>
      <c r="N53" s="1146"/>
      <c r="O53" s="1146"/>
    </row>
    <row r="54" spans="1:29" s="503" customFormat="1" ht="13.5" customHeight="1">
      <c r="A54" s="1147"/>
      <c r="B54" s="1147"/>
      <c r="C54" s="498" t="s">
        <v>2578</v>
      </c>
      <c r="D54" s="502"/>
      <c r="E54" s="500">
        <f>IF(E47&lt;G47,G47/E47-1,E47/G47-1)</f>
        <v>3.1149301825993625E-2</v>
      </c>
      <c r="F54" s="501" t="str">
        <f>IF(OR(E54&gt;=0.3,E54&lt;=-0.3),"超过30%","")</f>
        <v/>
      </c>
      <c r="G54" s="500">
        <f>IF(G47&lt;I47,I47/G47-1,G47/I47-1)</f>
        <v>2.8501988510826415E-2</v>
      </c>
      <c r="H54" s="501" t="str">
        <f>IF(OR(G54&gt;=0.3,G54&lt;=-0.3),"超过30%","")</f>
        <v/>
      </c>
      <c r="I54" s="500">
        <f>IF(I47&lt;E47,E47/I47-1,I47/E47-1)</f>
        <v>6.0539107379584678E-2</v>
      </c>
      <c r="J54" s="501" t="str">
        <f>IF(OR(I54&gt;=0.3,I54&lt;=-0.3),"超过30%","")</f>
        <v/>
      </c>
      <c r="K54" s="1150"/>
      <c r="L54" s="1151"/>
      <c r="M54" s="1147"/>
      <c r="N54" s="1147"/>
      <c r="O54" s="1147"/>
      <c r="P54" s="2622"/>
    </row>
    <row r="55" spans="1:29" s="503" customFormat="1">
      <c r="A55" s="1147"/>
      <c r="B55" s="1148"/>
      <c r="C55" s="1152"/>
      <c r="D55" s="1147"/>
      <c r="E55" s="1147"/>
      <c r="F55" s="1147"/>
      <c r="G55" s="1147"/>
      <c r="H55" s="1147"/>
      <c r="I55" s="1147"/>
      <c r="J55" s="1147"/>
      <c r="K55" s="1150"/>
      <c r="L55" s="1151"/>
      <c r="M55" s="1147"/>
      <c r="N55" s="1147"/>
      <c r="O55" s="1147"/>
      <c r="P55" s="2622"/>
    </row>
    <row r="56" spans="1:29">
      <c r="A56" s="1146"/>
      <c r="B56" s="1148"/>
      <c r="C56" s="1152"/>
      <c r="D56" s="1146"/>
      <c r="E56" s="1146"/>
      <c r="F56" s="1146"/>
      <c r="G56" s="1146"/>
      <c r="H56" s="1146"/>
      <c r="I56" s="1146"/>
      <c r="J56" s="1146"/>
      <c r="K56" s="1107"/>
      <c r="L56" s="1108"/>
      <c r="M56" s="1146"/>
      <c r="N56" s="1146"/>
      <c r="O56" s="1146"/>
    </row>
    <row r="57" spans="1:29" ht="21.75" thickBot="1">
      <c r="A57" s="762" t="s">
        <v>2579</v>
      </c>
      <c r="B57" s="758"/>
      <c r="C57" s="763"/>
      <c r="D57" s="763"/>
      <c r="E57" s="763"/>
      <c r="F57" s="764"/>
      <c r="G57" s="764"/>
      <c r="H57" s="763"/>
      <c r="I57" s="763"/>
      <c r="J57" s="763"/>
      <c r="K57" s="1162"/>
      <c r="L57" s="1163"/>
      <c r="M57" s="1161"/>
      <c r="N57" s="1161"/>
      <c r="O57" s="1161"/>
      <c r="P57" s="2623"/>
      <c r="Q57" s="505"/>
    </row>
    <row r="58" spans="1:29" s="509" customFormat="1" ht="15">
      <c r="A58" s="506" t="s">
        <v>2580</v>
      </c>
      <c r="B58" s="507"/>
      <c r="C58" s="1579" t="str">
        <f>YEAR(C7)&amp;"-"&amp;MONTH(C7)</f>
        <v>2017-11</v>
      </c>
      <c r="D58" s="1578">
        <f>EDATE(C58,-1)</f>
        <v>43009</v>
      </c>
      <c r="E58" s="1578">
        <f>EDATE(D58,-1)</f>
        <v>42979</v>
      </c>
      <c r="F58" s="1578">
        <f t="shared" ref="F58:O58" si="19">EDATE(E58,-1)</f>
        <v>42948</v>
      </c>
      <c r="G58" s="1578">
        <f t="shared" si="19"/>
        <v>42917</v>
      </c>
      <c r="H58" s="1578">
        <f t="shared" si="19"/>
        <v>42887</v>
      </c>
      <c r="I58" s="1578">
        <f t="shared" si="19"/>
        <v>42856</v>
      </c>
      <c r="J58" s="1578">
        <f t="shared" si="19"/>
        <v>42826</v>
      </c>
      <c r="K58" s="1578">
        <f t="shared" si="19"/>
        <v>42795</v>
      </c>
      <c r="L58" s="1578">
        <f t="shared" si="19"/>
        <v>42767</v>
      </c>
      <c r="M58" s="1578">
        <f t="shared" si="19"/>
        <v>42736</v>
      </c>
      <c r="N58" s="1578">
        <f t="shared" si="19"/>
        <v>42705</v>
      </c>
      <c r="O58" s="1578">
        <f t="shared" si="19"/>
        <v>42675</v>
      </c>
      <c r="P58" s="1573"/>
    </row>
    <row r="59" spans="1:29" s="117" customFormat="1" ht="15">
      <c r="A59" s="510"/>
      <c r="B59" s="2624"/>
      <c r="C59" s="1576">
        <v>100</v>
      </c>
      <c r="D59" s="512"/>
      <c r="E59" s="513"/>
      <c r="F59" s="513"/>
      <c r="G59" s="513"/>
      <c r="H59" s="513"/>
      <c r="I59" s="513"/>
      <c r="J59" s="513"/>
      <c r="K59" s="513"/>
      <c r="L59" s="513"/>
      <c r="M59" s="514"/>
      <c r="N59" s="513"/>
      <c r="O59" s="514"/>
      <c r="P59" s="2625"/>
    </row>
    <row r="60" spans="1:29" s="117" customFormat="1" ht="15.75" thickBot="1">
      <c r="A60" s="516" t="s">
        <v>2581</v>
      </c>
      <c r="B60" s="517"/>
      <c r="C60" s="518"/>
      <c r="D60" s="519"/>
      <c r="E60" s="519"/>
      <c r="F60" s="519"/>
      <c r="G60" s="519"/>
      <c r="H60" s="519"/>
      <c r="I60" s="519"/>
      <c r="J60" s="519"/>
      <c r="K60" s="519"/>
      <c r="L60" s="519"/>
      <c r="M60" s="520"/>
      <c r="N60" s="519"/>
      <c r="O60" s="520"/>
      <c r="P60" s="2625"/>
      <c r="Q60" s="505"/>
    </row>
    <row r="61" spans="1:29" s="117" customFormat="1" ht="15">
      <c r="A61" s="522" t="s">
        <v>2582</v>
      </c>
      <c r="B61" s="511"/>
      <c r="C61" s="523" t="s">
        <v>2583</v>
      </c>
      <c r="D61" s="524"/>
      <c r="E61" s="524"/>
      <c r="F61" s="524"/>
      <c r="G61" s="524"/>
      <c r="H61" s="524"/>
      <c r="I61" s="524"/>
      <c r="J61" s="524"/>
      <c r="K61" s="524"/>
      <c r="L61" s="525"/>
      <c r="M61" s="526"/>
      <c r="N61" s="1153"/>
      <c r="O61" s="1153"/>
      <c r="P61" s="2626"/>
      <c r="Q61" s="505"/>
    </row>
    <row r="62" spans="1:29" s="117" customFormat="1" ht="15.75" thickBot="1">
      <c r="A62" s="522"/>
      <c r="B62" s="511"/>
      <c r="C62" s="512">
        <v>100</v>
      </c>
      <c r="D62" s="513"/>
      <c r="E62" s="513"/>
      <c r="F62" s="513"/>
      <c r="G62" s="513"/>
      <c r="H62" s="513"/>
      <c r="I62" s="513"/>
      <c r="J62" s="513"/>
      <c r="K62" s="513"/>
      <c r="L62" s="513"/>
      <c r="M62" s="515"/>
      <c r="N62" s="1153"/>
      <c r="O62" s="1153"/>
      <c r="P62" s="2625"/>
      <c r="Q62" s="505"/>
    </row>
    <row r="63" spans="1:29">
      <c r="A63" s="528" t="s">
        <v>2584</v>
      </c>
      <c r="B63" s="529" t="s">
        <v>2550</v>
      </c>
      <c r="C63" s="530" t="str">
        <f>C9</f>
        <v>住宅</v>
      </c>
      <c r="D63" s="531"/>
      <c r="E63" s="531"/>
      <c r="F63" s="531"/>
      <c r="G63" s="531"/>
      <c r="H63" s="531"/>
      <c r="I63" s="531"/>
      <c r="J63" s="531"/>
      <c r="K63" s="532"/>
      <c r="L63" s="533"/>
      <c r="M63" s="534"/>
      <c r="N63" s="1154"/>
      <c r="O63" s="1154"/>
      <c r="P63" s="2627"/>
      <c r="Q63" s="505"/>
    </row>
    <row r="64" spans="1:29" ht="15.75" thickBot="1">
      <c r="A64" s="535"/>
      <c r="B64" s="536"/>
      <c r="C64" s="537">
        <v>100</v>
      </c>
      <c r="D64" s="537"/>
      <c r="E64" s="537"/>
      <c r="F64" s="537"/>
      <c r="G64" s="537"/>
      <c r="H64" s="537"/>
      <c r="I64" s="537"/>
      <c r="J64" s="537"/>
      <c r="K64" s="537"/>
      <c r="L64" s="537"/>
      <c r="M64" s="538"/>
      <c r="N64" s="1155"/>
      <c r="O64" s="1155"/>
      <c r="P64" s="2627"/>
      <c r="Q64" s="505"/>
    </row>
    <row r="65" spans="1:17" ht="27.75" thickTop="1">
      <c r="A65" s="535"/>
      <c r="B65" s="539" t="s">
        <v>2553</v>
      </c>
      <c r="C65" s="540" t="s">
        <v>2585</v>
      </c>
      <c r="D65" s="540" t="s">
        <v>2586</v>
      </c>
      <c r="E65" s="540" t="s">
        <v>2587</v>
      </c>
      <c r="F65" s="540" t="s">
        <v>2588</v>
      </c>
      <c r="G65" s="540" t="s">
        <v>2589</v>
      </c>
      <c r="H65" s="540" t="s">
        <v>2590</v>
      </c>
      <c r="I65" s="540" t="s">
        <v>2591</v>
      </c>
      <c r="J65" s="540"/>
      <c r="K65" s="541"/>
      <c r="L65" s="542"/>
      <c r="M65" s="543"/>
      <c r="N65" s="1154"/>
      <c r="O65" s="1154"/>
      <c r="P65" s="2627"/>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5"/>
      <c r="O66" s="1155"/>
      <c r="P66" s="2627"/>
      <c r="Q66" s="505"/>
    </row>
    <row r="67" spans="1:17" ht="15.75" thickTop="1">
      <c r="A67" s="535"/>
      <c r="B67" s="547" t="s">
        <v>2554</v>
      </c>
      <c r="C67" s="548" t="str">
        <f>C68&amp;"（含）"&amp;"-"&amp;D68</f>
        <v>0（含）-2</v>
      </c>
      <c r="D67" s="548" t="str">
        <f t="shared" ref="D67:L67" si="21">D68&amp;"（含）"&amp;"-"&amp;E68</f>
        <v>2（含）-4</v>
      </c>
      <c r="E67" s="548" t="str">
        <f t="shared" si="21"/>
        <v>4（含）-6</v>
      </c>
      <c r="F67" s="548" t="str">
        <f t="shared" si="21"/>
        <v>6（含）-8</v>
      </c>
      <c r="G67" s="548" t="str">
        <f t="shared" si="21"/>
        <v>8（含）-</v>
      </c>
      <c r="H67" s="548" t="str">
        <f t="shared" si="21"/>
        <v>（含）-</v>
      </c>
      <c r="I67" s="548" t="str">
        <f t="shared" si="21"/>
        <v>（含）-</v>
      </c>
      <c r="J67" s="548" t="str">
        <f t="shared" si="21"/>
        <v>（含）-</v>
      </c>
      <c r="K67" s="548" t="str">
        <f>K68&amp;"（含）"&amp;"-"&amp;L68</f>
        <v>（含）-</v>
      </c>
      <c r="L67" s="548" t="str">
        <f t="shared" si="21"/>
        <v>（含）-</v>
      </c>
      <c r="M67" s="449" t="str">
        <f>M68&amp;"（含）"&amp;"-"&amp;P68</f>
        <v>（含）-</v>
      </c>
      <c r="N67" s="1155"/>
      <c r="O67" s="1155"/>
      <c r="P67" s="2627"/>
      <c r="Q67" s="505"/>
    </row>
    <row r="68" spans="1:17" ht="15">
      <c r="A68" s="535"/>
      <c r="B68" s="549"/>
      <c r="C68" s="550">
        <v>0</v>
      </c>
      <c r="D68" s="550">
        <v>2</v>
      </c>
      <c r="E68" s="550">
        <v>4</v>
      </c>
      <c r="F68" s="550">
        <v>6</v>
      </c>
      <c r="G68" s="550">
        <v>8</v>
      </c>
      <c r="H68" s="550"/>
      <c r="I68" s="550"/>
      <c r="J68" s="550"/>
      <c r="K68" s="551"/>
      <c r="L68" s="552"/>
      <c r="M68" s="553"/>
      <c r="N68" s="1154"/>
      <c r="O68" s="1154"/>
      <c r="P68" s="2627"/>
      <c r="Q68" s="505"/>
    </row>
    <row r="69" spans="1:17" ht="15.75" thickBot="1">
      <c r="A69" s="535"/>
      <c r="B69" s="536"/>
      <c r="C69" s="545">
        <v>100</v>
      </c>
      <c r="D69" s="545">
        <f t="shared" ref="D69:M69" si="22">C69-$K11</f>
        <v>99</v>
      </c>
      <c r="E69" s="545">
        <f t="shared" si="22"/>
        <v>98</v>
      </c>
      <c r="F69" s="545">
        <f t="shared" si="22"/>
        <v>97</v>
      </c>
      <c r="G69" s="545">
        <f t="shared" si="22"/>
        <v>96</v>
      </c>
      <c r="H69" s="545">
        <f t="shared" si="22"/>
        <v>95</v>
      </c>
      <c r="I69" s="545">
        <f t="shared" si="22"/>
        <v>94</v>
      </c>
      <c r="J69" s="545">
        <f t="shared" si="22"/>
        <v>93</v>
      </c>
      <c r="K69" s="545">
        <f t="shared" si="22"/>
        <v>92</v>
      </c>
      <c r="L69" s="545">
        <f t="shared" si="22"/>
        <v>91</v>
      </c>
      <c r="M69" s="546">
        <f t="shared" si="22"/>
        <v>90</v>
      </c>
      <c r="N69" s="1155"/>
      <c r="O69" s="1155"/>
      <c r="P69" s="2627"/>
      <c r="Q69" s="505"/>
    </row>
    <row r="70" spans="1:17" s="472" customFormat="1" ht="15.75" hidden="1" thickTop="1">
      <c r="A70" s="554"/>
      <c r="B70" s="539">
        <f>B12</f>
        <v>111</v>
      </c>
      <c r="C70" s="555"/>
      <c r="D70" s="555"/>
      <c r="E70" s="555"/>
      <c r="F70" s="555"/>
      <c r="G70" s="555"/>
      <c r="H70" s="556"/>
      <c r="I70" s="556"/>
      <c r="J70" s="556"/>
      <c r="K70" s="556"/>
      <c r="L70" s="557"/>
      <c r="M70" s="558"/>
      <c r="N70" s="1156"/>
      <c r="O70" s="1156"/>
      <c r="P70" s="2628"/>
      <c r="Q70" s="560"/>
    </row>
    <row r="71" spans="1:17" s="472" customFormat="1" ht="15.75" hidden="1" thickBot="1">
      <c r="A71" s="554"/>
      <c r="B71" s="544"/>
      <c r="C71" s="561"/>
      <c r="D71" s="537"/>
      <c r="E71" s="537"/>
      <c r="F71" s="537"/>
      <c r="G71" s="537"/>
      <c r="H71" s="537"/>
      <c r="I71" s="537"/>
      <c r="J71" s="537"/>
      <c r="K71" s="537"/>
      <c r="L71" s="537"/>
      <c r="M71" s="538"/>
      <c r="N71" s="1155"/>
      <c r="O71" s="1155"/>
      <c r="P71" s="2628"/>
      <c r="Q71" s="560"/>
    </row>
    <row r="72" spans="1:17" s="472" customFormat="1" ht="15.75" hidden="1" thickTop="1">
      <c r="A72" s="554"/>
      <c r="B72" s="539">
        <f>B13</f>
        <v>111</v>
      </c>
      <c r="C72" s="555"/>
      <c r="D72" s="555"/>
      <c r="E72" s="555"/>
      <c r="F72" s="555"/>
      <c r="G72" s="555"/>
      <c r="H72" s="556"/>
      <c r="I72" s="556"/>
      <c r="J72" s="556"/>
      <c r="K72" s="556"/>
      <c r="L72" s="557"/>
      <c r="M72" s="558"/>
      <c r="N72" s="1156"/>
      <c r="O72" s="1156"/>
      <c r="P72" s="2629"/>
      <c r="Q72" s="562"/>
    </row>
    <row r="73" spans="1:17" s="472" customFormat="1" ht="15.75" hidden="1" thickBot="1">
      <c r="A73" s="554"/>
      <c r="B73" s="544"/>
      <c r="C73" s="561"/>
      <c r="D73" s="561"/>
      <c r="E73" s="561"/>
      <c r="F73" s="561"/>
      <c r="G73" s="561"/>
      <c r="H73" s="563"/>
      <c r="I73" s="563"/>
      <c r="J73" s="563"/>
      <c r="K73" s="563"/>
      <c r="L73" s="563"/>
      <c r="M73" s="564"/>
      <c r="N73" s="1156"/>
      <c r="O73" s="1156"/>
      <c r="P73" s="2628"/>
      <c r="Q73" s="560"/>
    </row>
    <row r="74" spans="1:17" s="472" customFormat="1" ht="15.75" hidden="1" thickTop="1">
      <c r="A74" s="554"/>
      <c r="B74" s="547">
        <f>B14</f>
        <v>111</v>
      </c>
      <c r="C74" s="555"/>
      <c r="D74" s="555"/>
      <c r="E74" s="555"/>
      <c r="F74" s="555"/>
      <c r="G74" s="524"/>
      <c r="H74" s="565"/>
      <c r="I74" s="565"/>
      <c r="J74" s="565"/>
      <c r="K74" s="565"/>
      <c r="L74" s="566"/>
      <c r="M74" s="567"/>
      <c r="N74" s="1156"/>
      <c r="O74" s="1156"/>
      <c r="P74" s="2630"/>
      <c r="Q74" s="560"/>
    </row>
    <row r="75" spans="1:17" s="472" customFormat="1" ht="15.75" hidden="1" thickBot="1">
      <c r="A75" s="569"/>
      <c r="B75" s="570"/>
      <c r="C75" s="571"/>
      <c r="D75" s="571"/>
      <c r="E75" s="571"/>
      <c r="F75" s="571"/>
      <c r="G75" s="571"/>
      <c r="H75" s="572"/>
      <c r="I75" s="572"/>
      <c r="J75" s="572"/>
      <c r="K75" s="572"/>
      <c r="L75" s="572"/>
      <c r="M75" s="573"/>
      <c r="N75" s="1156"/>
      <c r="O75" s="1156"/>
      <c r="P75" s="2628"/>
      <c r="Q75" s="560"/>
    </row>
    <row r="76" spans="1:17" ht="15" thickTop="1">
      <c r="A76" s="528" t="s">
        <v>2555</v>
      </c>
      <c r="B76" s="529" t="s">
        <v>2592</v>
      </c>
      <c r="C76" s="574" t="s">
        <v>2593</v>
      </c>
      <c r="D76" s="574" t="s">
        <v>2594</v>
      </c>
      <c r="E76" s="574" t="s">
        <v>2595</v>
      </c>
      <c r="F76" s="574" t="s">
        <v>2596</v>
      </c>
      <c r="G76" s="574" t="s">
        <v>2597</v>
      </c>
      <c r="H76" s="530"/>
      <c r="I76" s="530"/>
      <c r="J76" s="530"/>
      <c r="K76" s="575"/>
      <c r="L76" s="576"/>
      <c r="M76" s="577"/>
      <c r="N76" s="1154"/>
      <c r="O76" s="1154"/>
      <c r="P76" s="2631"/>
      <c r="Q76" s="505"/>
    </row>
    <row r="77" spans="1:17" ht="15.75" thickBot="1">
      <c r="A77" s="535"/>
      <c r="B77" s="544"/>
      <c r="C77" s="545">
        <v>100</v>
      </c>
      <c r="D77" s="545">
        <f>C77-$K15</f>
        <v>99</v>
      </c>
      <c r="E77" s="545">
        <f>D77-$K15</f>
        <v>98</v>
      </c>
      <c r="F77" s="545">
        <f>E77-$K15</f>
        <v>97</v>
      </c>
      <c r="G77" s="545">
        <f>F77-$K15</f>
        <v>96</v>
      </c>
      <c r="H77" s="545"/>
      <c r="I77" s="545"/>
      <c r="J77" s="545"/>
      <c r="K77" s="545"/>
      <c r="L77" s="545"/>
      <c r="M77" s="546"/>
      <c r="N77" s="1155"/>
      <c r="O77" s="1155"/>
      <c r="P77" s="2627"/>
      <c r="Q77" s="505"/>
    </row>
    <row r="78" spans="1:17" ht="15.75" thickTop="1">
      <c r="A78" s="535"/>
      <c r="B78" s="539" t="s">
        <v>2598</v>
      </c>
      <c r="C78" s="579" t="s">
        <v>2593</v>
      </c>
      <c r="D78" s="579" t="s">
        <v>2594</v>
      </c>
      <c r="E78" s="579" t="s">
        <v>2595</v>
      </c>
      <c r="F78" s="579" t="s">
        <v>2596</v>
      </c>
      <c r="G78" s="579" t="s">
        <v>2597</v>
      </c>
      <c r="H78" s="540"/>
      <c r="I78" s="540"/>
      <c r="J78" s="540"/>
      <c r="K78" s="541"/>
      <c r="L78" s="542"/>
      <c r="M78" s="543"/>
      <c r="N78" s="1154"/>
      <c r="O78" s="1154"/>
      <c r="P78" s="2627"/>
      <c r="Q78" s="505"/>
    </row>
    <row r="79" spans="1:17" ht="15.75" thickBot="1">
      <c r="A79" s="535"/>
      <c r="B79" s="544"/>
      <c r="C79" s="545">
        <v>100</v>
      </c>
      <c r="D79" s="545">
        <f>C79-$K17</f>
        <v>98</v>
      </c>
      <c r="E79" s="545">
        <f>D79-$K17</f>
        <v>96</v>
      </c>
      <c r="F79" s="545">
        <f>E79-$K17</f>
        <v>94</v>
      </c>
      <c r="G79" s="545">
        <f>F79-$K17</f>
        <v>92</v>
      </c>
      <c r="H79" s="545"/>
      <c r="I79" s="545"/>
      <c r="J79" s="545"/>
      <c r="K79" s="545"/>
      <c r="L79" s="545"/>
      <c r="M79" s="546"/>
      <c r="N79" s="1155"/>
      <c r="O79" s="1155"/>
      <c r="P79" s="2627"/>
      <c r="Q79" s="505"/>
    </row>
    <row r="80" spans="1:17" ht="15.75" thickTop="1">
      <c r="A80" s="535"/>
      <c r="B80" s="539" t="s">
        <v>2599</v>
      </c>
      <c r="C80" s="579" t="s">
        <v>2593</v>
      </c>
      <c r="D80" s="579" t="s">
        <v>2594</v>
      </c>
      <c r="E80" s="579" t="s">
        <v>2595</v>
      </c>
      <c r="F80" s="579" t="s">
        <v>2596</v>
      </c>
      <c r="G80" s="579" t="s">
        <v>2597</v>
      </c>
      <c r="H80" s="540"/>
      <c r="I80" s="540"/>
      <c r="J80" s="540"/>
      <c r="K80" s="541"/>
      <c r="L80" s="542"/>
      <c r="M80" s="543"/>
      <c r="N80" s="1154"/>
      <c r="O80" s="1154"/>
      <c r="P80" s="2627"/>
      <c r="Q80" s="505"/>
    </row>
    <row r="81" spans="1:17" ht="15.75" thickBot="1">
      <c r="A81" s="535"/>
      <c r="B81" s="544"/>
      <c r="C81" s="545">
        <v>100</v>
      </c>
      <c r="D81" s="545">
        <f>C81-$K19</f>
        <v>99</v>
      </c>
      <c r="E81" s="545">
        <f>D81-$K19</f>
        <v>98</v>
      </c>
      <c r="F81" s="545">
        <f>E81-$K19</f>
        <v>97</v>
      </c>
      <c r="G81" s="545">
        <f>F81-$K19</f>
        <v>96</v>
      </c>
      <c r="H81" s="545"/>
      <c r="I81" s="545"/>
      <c r="J81" s="545"/>
      <c r="K81" s="545"/>
      <c r="L81" s="545"/>
      <c r="M81" s="546"/>
      <c r="N81" s="1155"/>
      <c r="O81" s="1155"/>
      <c r="P81" s="2627"/>
      <c r="Q81" s="505"/>
    </row>
    <row r="82" spans="1:17" ht="15.75" thickTop="1">
      <c r="A82" s="535"/>
      <c r="B82" s="547" t="s">
        <v>2096</v>
      </c>
      <c r="C82" s="540" t="s">
        <v>2600</v>
      </c>
      <c r="D82" s="540" t="s">
        <v>2601</v>
      </c>
      <c r="E82" s="540" t="s">
        <v>2602</v>
      </c>
      <c r="F82" s="540" t="s">
        <v>2603</v>
      </c>
      <c r="G82" s="540" t="s">
        <v>2604</v>
      </c>
      <c r="H82" s="540"/>
      <c r="I82" s="540"/>
      <c r="J82" s="540"/>
      <c r="K82" s="540"/>
      <c r="L82" s="540"/>
      <c r="M82" s="1384"/>
      <c r="N82" s="1155"/>
      <c r="O82" s="1155"/>
      <c r="P82" s="2627"/>
      <c r="Q82" s="505"/>
    </row>
    <row r="83" spans="1:17" ht="15.75" thickBot="1">
      <c r="A83" s="535"/>
      <c r="B83" s="547"/>
      <c r="C83" s="660">
        <v>100</v>
      </c>
      <c r="D83" s="660">
        <f>C83-$K21</f>
        <v>100</v>
      </c>
      <c r="E83" s="660">
        <f t="shared" ref="E83:G83" si="23">D83-$K21</f>
        <v>100</v>
      </c>
      <c r="F83" s="660">
        <f t="shared" si="23"/>
        <v>100</v>
      </c>
      <c r="G83" s="660">
        <f t="shared" si="23"/>
        <v>100</v>
      </c>
      <c r="H83" s="660"/>
      <c r="I83" s="660"/>
      <c r="J83" s="660"/>
      <c r="K83" s="660"/>
      <c r="L83" s="660"/>
      <c r="M83" s="451"/>
      <c r="N83" s="1155"/>
      <c r="O83" s="1155"/>
      <c r="P83" s="2627"/>
      <c r="Q83" s="505"/>
    </row>
    <row r="84" spans="1:17" ht="15.75" thickTop="1">
      <c r="A84" s="535"/>
      <c r="B84" s="539" t="s">
        <v>2605</v>
      </c>
      <c r="C84" s="579" t="s">
        <v>2593</v>
      </c>
      <c r="D84" s="579" t="s">
        <v>2594</v>
      </c>
      <c r="E84" s="579" t="s">
        <v>2595</v>
      </c>
      <c r="F84" s="579" t="s">
        <v>2596</v>
      </c>
      <c r="G84" s="579" t="s">
        <v>2597</v>
      </c>
      <c r="H84" s="540"/>
      <c r="I84" s="540"/>
      <c r="J84" s="540"/>
      <c r="K84" s="541"/>
      <c r="L84" s="542"/>
      <c r="M84" s="543"/>
      <c r="N84" s="1154"/>
      <c r="O84" s="1154"/>
      <c r="P84" s="2627"/>
      <c r="Q84" s="505"/>
    </row>
    <row r="85" spans="1:17" ht="15.75" thickBot="1">
      <c r="A85" s="535"/>
      <c r="B85" s="544"/>
      <c r="C85" s="545">
        <v>100</v>
      </c>
      <c r="D85" s="545">
        <f>C85-$K23</f>
        <v>98</v>
      </c>
      <c r="E85" s="545">
        <f>D85-$K23</f>
        <v>96</v>
      </c>
      <c r="F85" s="545">
        <f>E85-$K23</f>
        <v>94</v>
      </c>
      <c r="G85" s="545">
        <f>F85-$K23</f>
        <v>92</v>
      </c>
      <c r="H85" s="545"/>
      <c r="I85" s="545"/>
      <c r="J85" s="545"/>
      <c r="K85" s="545"/>
      <c r="L85" s="545"/>
      <c r="M85" s="546"/>
      <c r="N85" s="1155"/>
      <c r="O85" s="1155"/>
      <c r="P85" s="2627"/>
      <c r="Q85" s="505"/>
    </row>
    <row r="86" spans="1:17" s="117" customFormat="1" ht="15.75" hidden="1" thickTop="1">
      <c r="A86" s="580"/>
      <c r="B86" s="539" t="s">
        <v>2606</v>
      </c>
      <c r="C86" s="555"/>
      <c r="D86" s="555"/>
      <c r="E86" s="555"/>
      <c r="F86" s="555"/>
      <c r="G86" s="555"/>
      <c r="H86" s="555"/>
      <c r="I86" s="555"/>
      <c r="J86" s="555"/>
      <c r="K86" s="555"/>
      <c r="L86" s="581"/>
      <c r="M86" s="582"/>
      <c r="N86" s="1153"/>
      <c r="O86" s="1153"/>
      <c r="P86" s="2627"/>
      <c r="Q86" s="505"/>
    </row>
    <row r="87" spans="1:17" s="117" customFormat="1" ht="15.75" hidden="1"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5"/>
      <c r="O87" s="1155"/>
      <c r="P87" s="2627"/>
      <c r="Q87" s="505"/>
    </row>
    <row r="88" spans="1:17" s="117" customFormat="1" ht="15.75" hidden="1" thickTop="1">
      <c r="A88" s="580"/>
      <c r="B88" s="539" t="s">
        <v>2607</v>
      </c>
      <c r="C88" s="555"/>
      <c r="D88" s="555"/>
      <c r="E88" s="555"/>
      <c r="F88" s="2632"/>
      <c r="G88" s="555"/>
      <c r="H88" s="555"/>
      <c r="I88" s="555"/>
      <c r="J88" s="555"/>
      <c r="K88" s="555"/>
      <c r="L88" s="555"/>
      <c r="M88" s="582"/>
      <c r="N88" s="1153"/>
      <c r="O88" s="1153"/>
      <c r="P88" s="2627"/>
      <c r="Q88" s="505"/>
    </row>
    <row r="89" spans="1:17" s="117" customFormat="1" ht="15.75" hidden="1"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5"/>
      <c r="O89" s="1155"/>
      <c r="P89" s="2627"/>
      <c r="Q89" s="505"/>
    </row>
    <row r="90" spans="1:17" s="472" customFormat="1" ht="15.75" hidden="1" thickTop="1">
      <c r="A90" s="554"/>
      <c r="B90" s="539">
        <f>B27</f>
        <v>111</v>
      </c>
      <c r="C90" s="555"/>
      <c r="D90" s="555"/>
      <c r="E90" s="555"/>
      <c r="F90" s="555"/>
      <c r="G90" s="555"/>
      <c r="H90" s="556"/>
      <c r="I90" s="556"/>
      <c r="J90" s="556"/>
      <c r="K90" s="556"/>
      <c r="L90" s="557"/>
      <c r="M90" s="558"/>
      <c r="N90" s="1156"/>
      <c r="O90" s="1156"/>
      <c r="P90" s="2628"/>
      <c r="Q90" s="560"/>
    </row>
    <row r="91" spans="1:17" s="472" customFormat="1" ht="15.75" hidden="1" thickBot="1">
      <c r="A91" s="554"/>
      <c r="B91" s="544"/>
      <c r="C91" s="561"/>
      <c r="D91" s="561"/>
      <c r="E91" s="561"/>
      <c r="F91" s="561"/>
      <c r="G91" s="561"/>
      <c r="H91" s="563"/>
      <c r="I91" s="563"/>
      <c r="J91" s="563"/>
      <c r="K91" s="563"/>
      <c r="L91" s="563"/>
      <c r="M91" s="564"/>
      <c r="N91" s="1156"/>
      <c r="O91" s="1156"/>
      <c r="P91" s="2628"/>
      <c r="Q91" s="560"/>
    </row>
    <row r="92" spans="1:17" ht="15.75" hidden="1" thickTop="1">
      <c r="A92" s="535"/>
      <c r="B92" s="539">
        <f>B28</f>
        <v>111</v>
      </c>
      <c r="C92" s="555"/>
      <c r="D92" s="555"/>
      <c r="E92" s="555"/>
      <c r="F92" s="555"/>
      <c r="G92" s="584"/>
      <c r="H92" s="584"/>
      <c r="I92" s="584"/>
      <c r="J92" s="584"/>
      <c r="K92" s="585"/>
      <c r="L92" s="586"/>
      <c r="M92" s="587"/>
      <c r="N92" s="1154"/>
      <c r="O92" s="1154"/>
      <c r="P92" s="2627"/>
      <c r="Q92" s="505"/>
    </row>
    <row r="93" spans="1:17" ht="15.75" hidden="1" thickBot="1">
      <c r="A93" s="535"/>
      <c r="B93" s="544"/>
      <c r="C93" s="561"/>
      <c r="D93" s="537"/>
      <c r="E93" s="537"/>
      <c r="F93" s="537"/>
      <c r="G93" s="537"/>
      <c r="H93" s="537"/>
      <c r="I93" s="537"/>
      <c r="J93" s="537"/>
      <c r="K93" s="537"/>
      <c r="L93" s="537"/>
      <c r="M93" s="538"/>
      <c r="N93" s="1155"/>
      <c r="O93" s="1155"/>
      <c r="P93" s="2627"/>
      <c r="Q93" s="505"/>
    </row>
    <row r="94" spans="1:17" ht="15.75" hidden="1" thickTop="1">
      <c r="A94" s="535"/>
      <c r="B94" s="539">
        <f>B29</f>
        <v>111</v>
      </c>
      <c r="C94" s="555"/>
      <c r="D94" s="555"/>
      <c r="E94" s="555"/>
      <c r="F94" s="555"/>
      <c r="G94" s="584"/>
      <c r="H94" s="584"/>
      <c r="I94" s="584"/>
      <c r="J94" s="584"/>
      <c r="K94" s="585"/>
      <c r="L94" s="586"/>
      <c r="M94" s="587"/>
      <c r="N94" s="1154"/>
      <c r="O94" s="1154"/>
      <c r="P94" s="2627"/>
      <c r="Q94" s="505"/>
    </row>
    <row r="95" spans="1:17" ht="15.75" hidden="1" thickBot="1">
      <c r="A95" s="535"/>
      <c r="B95" s="544"/>
      <c r="C95" s="561"/>
      <c r="D95" s="561"/>
      <c r="E95" s="561"/>
      <c r="F95" s="561"/>
      <c r="G95" s="537"/>
      <c r="H95" s="537"/>
      <c r="I95" s="537"/>
      <c r="J95" s="537"/>
      <c r="K95" s="537"/>
      <c r="L95" s="537"/>
      <c r="M95" s="538"/>
      <c r="N95" s="1155"/>
      <c r="O95" s="1155"/>
      <c r="P95" s="2627"/>
      <c r="Q95" s="505"/>
    </row>
    <row r="96" spans="1:17" ht="15.75" hidden="1" thickTop="1">
      <c r="A96" s="535"/>
      <c r="B96" s="539">
        <f>B30</f>
        <v>111</v>
      </c>
      <c r="C96" s="555"/>
      <c r="D96" s="555"/>
      <c r="E96" s="555"/>
      <c r="F96" s="555"/>
      <c r="G96" s="584"/>
      <c r="H96" s="584"/>
      <c r="I96" s="584"/>
      <c r="J96" s="584"/>
      <c r="K96" s="585"/>
      <c r="L96" s="586"/>
      <c r="M96" s="587"/>
      <c r="N96" s="1154"/>
      <c r="O96" s="1154"/>
      <c r="P96" s="2627"/>
      <c r="Q96" s="505"/>
    </row>
    <row r="97" spans="1:17" ht="15.75" hidden="1" thickBot="1">
      <c r="A97" s="535"/>
      <c r="B97" s="544"/>
      <c r="C97" s="571"/>
      <c r="D97" s="571"/>
      <c r="E97" s="571"/>
      <c r="F97" s="571"/>
      <c r="G97" s="537"/>
      <c r="H97" s="537"/>
      <c r="I97" s="537"/>
      <c r="J97" s="537"/>
      <c r="K97" s="537"/>
      <c r="L97" s="537"/>
      <c r="M97" s="538"/>
      <c r="N97" s="1155"/>
      <c r="O97" s="1155"/>
      <c r="P97" s="2627"/>
      <c r="Q97" s="505"/>
    </row>
    <row r="98" spans="1:17" ht="15.75" hidden="1" thickTop="1">
      <c r="A98" s="535"/>
      <c r="B98" s="547">
        <f>B31</f>
        <v>111</v>
      </c>
      <c r="C98" s="588"/>
      <c r="D98" s="588"/>
      <c r="E98" s="588"/>
      <c r="F98" s="588"/>
      <c r="G98" s="588"/>
      <c r="H98" s="588"/>
      <c r="I98" s="588"/>
      <c r="J98" s="588"/>
      <c r="K98" s="589"/>
      <c r="L98" s="590"/>
      <c r="M98" s="591"/>
      <c r="N98" s="1154"/>
      <c r="O98" s="1154"/>
      <c r="P98" s="2627"/>
      <c r="Q98" s="505"/>
    </row>
    <row r="99" spans="1:17" ht="15.75" hidden="1" thickBot="1">
      <c r="A99" s="2633"/>
      <c r="B99" s="570"/>
      <c r="C99" s="592"/>
      <c r="D99" s="592"/>
      <c r="E99" s="592"/>
      <c r="F99" s="592"/>
      <c r="G99" s="592"/>
      <c r="H99" s="592"/>
      <c r="I99" s="592"/>
      <c r="J99" s="592"/>
      <c r="K99" s="592"/>
      <c r="L99" s="592"/>
      <c r="M99" s="593"/>
      <c r="N99" s="1155"/>
      <c r="O99" s="1155"/>
      <c r="P99" s="2627"/>
      <c r="Q99" s="505"/>
    </row>
    <row r="100" spans="1:17" ht="15" thickTop="1">
      <c r="A100" s="528" t="s">
        <v>2559</v>
      </c>
      <c r="B100" s="529" t="s">
        <v>2608</v>
      </c>
      <c r="C100" s="2930" t="s">
        <v>3114</v>
      </c>
      <c r="D100" s="2930" t="s">
        <v>3115</v>
      </c>
      <c r="E100" s="2930" t="s">
        <v>3146</v>
      </c>
      <c r="F100" s="2930" t="s">
        <v>3145</v>
      </c>
      <c r="G100" s="2930" t="s">
        <v>3147</v>
      </c>
      <c r="H100" s="531"/>
      <c r="I100" s="531"/>
      <c r="J100" s="531"/>
      <c r="K100" s="532"/>
      <c r="L100" s="533"/>
      <c r="M100" s="534"/>
      <c r="N100" s="1154"/>
      <c r="O100" s="1154"/>
      <c r="P100" s="2627"/>
      <c r="Q100" s="505"/>
    </row>
    <row r="101" spans="1:17" ht="15.75" thickBot="1">
      <c r="A101" s="535"/>
      <c r="B101" s="544"/>
      <c r="C101" s="545">
        <v>100</v>
      </c>
      <c r="D101" s="545">
        <f t="shared" ref="D101:M101" si="26">C101-$K32</f>
        <v>95</v>
      </c>
      <c r="E101" s="545">
        <f t="shared" si="26"/>
        <v>90</v>
      </c>
      <c r="F101" s="545">
        <f t="shared" si="26"/>
        <v>85</v>
      </c>
      <c r="G101" s="545">
        <f t="shared" si="26"/>
        <v>80</v>
      </c>
      <c r="H101" s="545">
        <f t="shared" si="26"/>
        <v>75</v>
      </c>
      <c r="I101" s="545">
        <f t="shared" si="26"/>
        <v>70</v>
      </c>
      <c r="J101" s="545">
        <f t="shared" si="26"/>
        <v>65</v>
      </c>
      <c r="K101" s="545">
        <f t="shared" si="26"/>
        <v>60</v>
      </c>
      <c r="L101" s="545">
        <f t="shared" si="26"/>
        <v>55</v>
      </c>
      <c r="M101" s="545">
        <f t="shared" si="26"/>
        <v>50</v>
      </c>
      <c r="N101" s="1155"/>
      <c r="O101" s="1155"/>
      <c r="P101" s="2627"/>
      <c r="Q101" s="505"/>
    </row>
    <row r="102" spans="1:17" ht="29.25" thickTop="1">
      <c r="A102" s="535"/>
      <c r="B102" s="539" t="s">
        <v>2609</v>
      </c>
      <c r="C102" s="579" t="str">
        <f>C103&amp;"(含)"&amp;"-"&amp;D103</f>
        <v>0(含)-100000</v>
      </c>
      <c r="D102" s="579" t="str">
        <f t="shared" ref="D102:L102" si="27">D103&amp;"(含)"&amp;"-"&amp;E103</f>
        <v>100000(含)-200000</v>
      </c>
      <c r="E102" s="579" t="str">
        <f t="shared" si="27"/>
        <v>200000(含)-300000</v>
      </c>
      <c r="F102" s="579" t="str">
        <f t="shared" si="27"/>
        <v>300000(含)-400000</v>
      </c>
      <c r="G102" s="579" t="str">
        <f t="shared" si="27"/>
        <v>400000(含)-500000</v>
      </c>
      <c r="H102" s="579" t="str">
        <f t="shared" si="27"/>
        <v>500000(含)-</v>
      </c>
      <c r="I102" s="579" t="str">
        <f t="shared" si="27"/>
        <v>(含)-</v>
      </c>
      <c r="J102" s="579" t="str">
        <f t="shared" si="27"/>
        <v>(含)-</v>
      </c>
      <c r="K102" s="579" t="str">
        <f>K103&amp;"(含)"&amp;"-"&amp;L103</f>
        <v>(含)-</v>
      </c>
      <c r="L102" s="579" t="str">
        <f t="shared" si="27"/>
        <v>(含)-</v>
      </c>
      <c r="M102" s="579" t="str">
        <f>M103&amp;"(含)"&amp;"-"&amp;P103</f>
        <v>(含)-</v>
      </c>
      <c r="N102" s="1153"/>
      <c r="O102" s="1153"/>
      <c r="P102" s="2627"/>
      <c r="Q102" s="505"/>
    </row>
    <row r="103" spans="1:17" s="472" customFormat="1">
      <c r="A103" s="594"/>
      <c r="B103" s="595"/>
      <c r="C103" s="596">
        <v>0</v>
      </c>
      <c r="D103" s="596">
        <v>100000</v>
      </c>
      <c r="E103" s="596">
        <v>200000</v>
      </c>
      <c r="F103" s="596">
        <v>300000</v>
      </c>
      <c r="G103" s="596">
        <v>400000</v>
      </c>
      <c r="H103" s="596">
        <v>500000</v>
      </c>
      <c r="I103" s="596"/>
      <c r="J103" s="597"/>
      <c r="K103" s="597"/>
      <c r="L103" s="598"/>
      <c r="M103" s="599"/>
      <c r="N103" s="1156"/>
      <c r="O103" s="1156"/>
      <c r="P103" s="2628"/>
      <c r="Q103" s="560"/>
    </row>
    <row r="104" spans="1:17" s="472" customFormat="1" ht="15.75" thickBot="1">
      <c r="A104" s="554"/>
      <c r="B104" s="544"/>
      <c r="C104" s="561">
        <v>100</v>
      </c>
      <c r="D104" s="537">
        <v>101</v>
      </c>
      <c r="E104" s="537">
        <v>102</v>
      </c>
      <c r="F104" s="537">
        <v>103</v>
      </c>
      <c r="G104" s="537">
        <v>104</v>
      </c>
      <c r="H104" s="537">
        <v>105</v>
      </c>
      <c r="I104" s="537"/>
      <c r="J104" s="537"/>
      <c r="K104" s="537"/>
      <c r="L104" s="537"/>
      <c r="M104" s="537"/>
      <c r="N104" s="1155"/>
      <c r="O104" s="1155"/>
      <c r="P104" s="2628"/>
      <c r="Q104" s="560"/>
    </row>
    <row r="105" spans="1:17" ht="15" thickTop="1">
      <c r="A105" s="600"/>
      <c r="B105" s="539" t="s">
        <v>2610</v>
      </c>
      <c r="C105" s="2931" t="s">
        <v>3116</v>
      </c>
      <c r="D105" s="2931" t="s">
        <v>3117</v>
      </c>
      <c r="E105" s="2932" t="s">
        <v>3118</v>
      </c>
      <c r="F105" s="584"/>
      <c r="G105" s="584"/>
      <c r="H105" s="584"/>
      <c r="I105" s="584"/>
      <c r="J105" s="584"/>
      <c r="K105" s="585"/>
      <c r="L105" s="586"/>
      <c r="M105" s="587"/>
      <c r="N105" s="1154"/>
      <c r="O105" s="1154"/>
      <c r="P105" s="2627"/>
      <c r="Q105" s="505"/>
    </row>
    <row r="106" spans="1:17" ht="15.75" thickBot="1">
      <c r="A106" s="535"/>
      <c r="B106" s="544"/>
      <c r="C106" s="545">
        <v>100</v>
      </c>
      <c r="D106" s="545">
        <f t="shared" ref="D106:M106" si="28">C106-$K34</f>
        <v>97</v>
      </c>
      <c r="E106" s="545">
        <f t="shared" si="28"/>
        <v>94</v>
      </c>
      <c r="F106" s="545">
        <f t="shared" si="28"/>
        <v>91</v>
      </c>
      <c r="G106" s="545">
        <f t="shared" si="28"/>
        <v>88</v>
      </c>
      <c r="H106" s="545">
        <f t="shared" si="28"/>
        <v>85</v>
      </c>
      <c r="I106" s="545">
        <f t="shared" si="28"/>
        <v>82</v>
      </c>
      <c r="J106" s="545">
        <f t="shared" si="28"/>
        <v>79</v>
      </c>
      <c r="K106" s="545">
        <f t="shared" si="28"/>
        <v>76</v>
      </c>
      <c r="L106" s="545">
        <f t="shared" si="28"/>
        <v>73</v>
      </c>
      <c r="M106" s="545">
        <f t="shared" si="28"/>
        <v>70</v>
      </c>
      <c r="N106" s="1155"/>
      <c r="O106" s="1155"/>
      <c r="P106" s="2627"/>
      <c r="Q106" s="505"/>
    </row>
    <row r="107" spans="1:17" ht="15" thickTop="1">
      <c r="A107" s="600"/>
      <c r="B107" s="539" t="s">
        <v>2611</v>
      </c>
      <c r="C107" s="2932" t="s">
        <v>3120</v>
      </c>
      <c r="D107" s="2932" t="s">
        <v>3122</v>
      </c>
      <c r="E107" s="2932" t="s">
        <v>3123</v>
      </c>
      <c r="F107" s="584"/>
      <c r="G107" s="584"/>
      <c r="H107" s="584"/>
      <c r="I107" s="584"/>
      <c r="J107" s="584"/>
      <c r="K107" s="585"/>
      <c r="L107" s="586"/>
      <c r="M107" s="587"/>
      <c r="N107" s="1154"/>
      <c r="O107" s="1154"/>
      <c r="P107" s="2627"/>
      <c r="Q107" s="505"/>
    </row>
    <row r="108" spans="1:17" ht="15.75" thickBot="1">
      <c r="A108" s="535"/>
      <c r="B108" s="544"/>
      <c r="C108" s="545">
        <v>100</v>
      </c>
      <c r="D108" s="545">
        <f t="shared" ref="D108:M108" si="29">C108-$K35</f>
        <v>97</v>
      </c>
      <c r="E108" s="545">
        <f t="shared" si="29"/>
        <v>94</v>
      </c>
      <c r="F108" s="545">
        <f t="shared" si="29"/>
        <v>91</v>
      </c>
      <c r="G108" s="545">
        <f t="shared" si="29"/>
        <v>88</v>
      </c>
      <c r="H108" s="545">
        <f t="shared" si="29"/>
        <v>85</v>
      </c>
      <c r="I108" s="545">
        <f t="shared" si="29"/>
        <v>82</v>
      </c>
      <c r="J108" s="545">
        <f t="shared" si="29"/>
        <v>79</v>
      </c>
      <c r="K108" s="545">
        <f t="shared" si="29"/>
        <v>76</v>
      </c>
      <c r="L108" s="545">
        <f t="shared" si="29"/>
        <v>73</v>
      </c>
      <c r="M108" s="545">
        <f t="shared" si="29"/>
        <v>70</v>
      </c>
      <c r="N108" s="1155"/>
      <c r="O108" s="1155"/>
      <c r="P108" s="2627"/>
      <c r="Q108" s="505"/>
    </row>
    <row r="109" spans="1:17" ht="15" thickTop="1">
      <c r="A109" s="600"/>
      <c r="B109" s="539" t="s">
        <v>2612</v>
      </c>
      <c r="C109" s="2931" t="s">
        <v>3125</v>
      </c>
      <c r="D109" s="2931" t="s">
        <v>3127</v>
      </c>
      <c r="E109" s="2931" t="s">
        <v>3129</v>
      </c>
      <c r="F109" s="584"/>
      <c r="G109" s="584"/>
      <c r="H109" s="584"/>
      <c r="I109" s="584"/>
      <c r="J109" s="584"/>
      <c r="K109" s="585"/>
      <c r="L109" s="586"/>
      <c r="M109" s="587"/>
      <c r="N109" s="1154"/>
      <c r="O109" s="1154"/>
      <c r="P109" s="2627"/>
      <c r="Q109" s="505"/>
    </row>
    <row r="110" spans="1:17" ht="15.75" thickBot="1">
      <c r="A110" s="535"/>
      <c r="B110" s="544"/>
      <c r="C110" s="545">
        <v>100</v>
      </c>
      <c r="D110" s="545">
        <f t="shared" ref="D110:M110" si="30">C110-$K36</f>
        <v>97</v>
      </c>
      <c r="E110" s="545">
        <f t="shared" si="30"/>
        <v>94</v>
      </c>
      <c r="F110" s="545">
        <f t="shared" si="30"/>
        <v>91</v>
      </c>
      <c r="G110" s="545">
        <f t="shared" si="30"/>
        <v>88</v>
      </c>
      <c r="H110" s="545">
        <f t="shared" si="30"/>
        <v>85</v>
      </c>
      <c r="I110" s="545">
        <f t="shared" si="30"/>
        <v>82</v>
      </c>
      <c r="J110" s="545">
        <f t="shared" si="30"/>
        <v>79</v>
      </c>
      <c r="K110" s="545">
        <f t="shared" si="30"/>
        <v>76</v>
      </c>
      <c r="L110" s="545">
        <f t="shared" si="30"/>
        <v>73</v>
      </c>
      <c r="M110" s="545">
        <f t="shared" si="30"/>
        <v>70</v>
      </c>
      <c r="N110" s="1155"/>
      <c r="O110" s="1155"/>
      <c r="P110" s="2627"/>
      <c r="Q110" s="505"/>
    </row>
    <row r="111" spans="1:17" s="472" customFormat="1" ht="15" thickTop="1">
      <c r="A111" s="594"/>
      <c r="B111" s="539" t="s">
        <v>1995</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6"/>
      <c r="O111" s="1156"/>
      <c r="P111" s="2628"/>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6"/>
      <c r="O112" s="1156"/>
      <c r="P112" s="2628"/>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6"/>
      <c r="O113" s="1156"/>
      <c r="P113" s="2628"/>
      <c r="Q113" s="560"/>
    </row>
    <row r="114" spans="1:17" ht="15" thickTop="1">
      <c r="A114" s="600"/>
      <c r="B114" s="539" t="s">
        <v>2613</v>
      </c>
      <c r="C114" s="2931" t="s">
        <v>3131</v>
      </c>
      <c r="D114" s="2931" t="s">
        <v>3132</v>
      </c>
      <c r="E114" s="584"/>
      <c r="F114" s="584"/>
      <c r="G114" s="584"/>
      <c r="H114" s="584"/>
      <c r="I114" s="584"/>
      <c r="J114" s="584"/>
      <c r="K114" s="585"/>
      <c r="L114" s="586"/>
      <c r="M114" s="587"/>
      <c r="N114" s="1154"/>
      <c r="O114" s="1154"/>
      <c r="P114" s="2627"/>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5"/>
      <c r="O115" s="1155"/>
      <c r="P115" s="2627"/>
      <c r="Q115" s="505"/>
    </row>
    <row r="116" spans="1:17" ht="15" thickTop="1">
      <c r="A116" s="600"/>
      <c r="B116" s="539" t="s">
        <v>2614</v>
      </c>
      <c r="C116" s="2931" t="s">
        <v>3137</v>
      </c>
      <c r="D116" s="2931" t="s">
        <v>3138</v>
      </c>
      <c r="E116" s="2931" t="s">
        <v>3139</v>
      </c>
      <c r="F116" s="2931" t="s">
        <v>3140</v>
      </c>
      <c r="G116" s="2931" t="s">
        <v>3141</v>
      </c>
      <c r="H116" s="584"/>
      <c r="I116" s="584"/>
      <c r="J116" s="584"/>
      <c r="K116" s="585"/>
      <c r="L116" s="586"/>
      <c r="M116" s="587"/>
      <c r="N116" s="1154"/>
      <c r="O116" s="1154"/>
      <c r="P116" s="2627"/>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5"/>
      <c r="O117" s="1155"/>
      <c r="P117" s="2627"/>
      <c r="Q117" s="505"/>
    </row>
    <row r="118" spans="1:17" ht="15" thickTop="1">
      <c r="A118" s="600"/>
      <c r="B118" s="539" t="s">
        <v>2615</v>
      </c>
      <c r="C118" s="584"/>
      <c r="D118" s="584"/>
      <c r="E118" s="584"/>
      <c r="F118" s="584"/>
      <c r="G118" s="584"/>
      <c r="H118" s="584"/>
      <c r="I118" s="584"/>
      <c r="J118" s="584"/>
      <c r="K118" s="585"/>
      <c r="L118" s="586"/>
      <c r="M118" s="587"/>
      <c r="N118" s="1154"/>
      <c r="O118" s="1154"/>
      <c r="P118" s="2627"/>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5"/>
      <c r="O119" s="1155"/>
      <c r="P119" s="2627"/>
      <c r="Q119" s="505"/>
    </row>
    <row r="120" spans="1:17" s="472" customFormat="1" ht="28.5" thickTop="1">
      <c r="A120" s="594"/>
      <c r="B120" s="539" t="s">
        <v>2570</v>
      </c>
      <c r="C120" s="555" t="s">
        <v>3142</v>
      </c>
      <c r="D120" s="555" t="s">
        <v>3143</v>
      </c>
      <c r="E120" s="555"/>
      <c r="F120" s="555"/>
      <c r="G120" s="555"/>
      <c r="H120" s="555"/>
      <c r="I120" s="555"/>
      <c r="J120" s="555"/>
      <c r="K120" s="555"/>
      <c r="L120" s="581"/>
      <c r="M120" s="582"/>
      <c r="N120" s="1156"/>
      <c r="O120" s="1156"/>
      <c r="P120" s="2628"/>
      <c r="Q120" s="560"/>
    </row>
    <row r="121" spans="1:17" s="472" customFormat="1" ht="15.75" thickBot="1">
      <c r="A121" s="554"/>
      <c r="B121" s="536"/>
      <c r="C121" s="561">
        <v>100</v>
      </c>
      <c r="D121" s="537">
        <v>102</v>
      </c>
      <c r="E121" s="537"/>
      <c r="F121" s="537"/>
      <c r="G121" s="537"/>
      <c r="H121" s="537"/>
      <c r="I121" s="537"/>
      <c r="J121" s="537"/>
      <c r="K121" s="537"/>
      <c r="L121" s="537"/>
      <c r="M121" s="537"/>
      <c r="N121" s="1156"/>
      <c r="O121" s="1156"/>
      <c r="P121" s="2628"/>
      <c r="Q121" s="560"/>
    </row>
    <row r="122" spans="1:17" ht="15" thickTop="1">
      <c r="A122" s="600"/>
      <c r="B122" s="539" t="s">
        <v>2616</v>
      </c>
      <c r="C122" s="2931" t="s">
        <v>3125</v>
      </c>
      <c r="D122" s="2931" t="s">
        <v>3127</v>
      </c>
      <c r="E122" s="2931" t="s">
        <v>3129</v>
      </c>
      <c r="F122" s="584"/>
      <c r="G122" s="584"/>
      <c r="H122" s="584"/>
      <c r="I122" s="584"/>
      <c r="J122" s="584"/>
      <c r="K122" s="585"/>
      <c r="L122" s="586"/>
      <c r="M122" s="587"/>
      <c r="N122" s="1154"/>
      <c r="O122" s="1154"/>
      <c r="P122" s="2627"/>
      <c r="Q122" s="505"/>
    </row>
    <row r="123" spans="1:17" ht="15.75" thickBot="1">
      <c r="A123" s="535"/>
      <c r="B123" s="544"/>
      <c r="C123" s="545">
        <v>100</v>
      </c>
      <c r="D123" s="545">
        <f t="shared" ref="D123:M123" si="33">C123-$K42</f>
        <v>98</v>
      </c>
      <c r="E123" s="545">
        <f t="shared" si="33"/>
        <v>96</v>
      </c>
      <c r="F123" s="545">
        <f t="shared" si="33"/>
        <v>94</v>
      </c>
      <c r="G123" s="545">
        <f t="shared" si="33"/>
        <v>92</v>
      </c>
      <c r="H123" s="545">
        <f t="shared" si="33"/>
        <v>90</v>
      </c>
      <c r="I123" s="545">
        <f t="shared" si="33"/>
        <v>88</v>
      </c>
      <c r="J123" s="545">
        <f t="shared" si="33"/>
        <v>86</v>
      </c>
      <c r="K123" s="545">
        <f t="shared" si="33"/>
        <v>84</v>
      </c>
      <c r="L123" s="545">
        <f t="shared" si="33"/>
        <v>82</v>
      </c>
      <c r="M123" s="545">
        <f t="shared" si="33"/>
        <v>80</v>
      </c>
      <c r="N123" s="1155"/>
      <c r="O123" s="1155"/>
      <c r="P123" s="2627"/>
      <c r="Q123" s="505"/>
    </row>
    <row r="124" spans="1:17" ht="15" thickTop="1">
      <c r="A124" s="600"/>
      <c r="B124" s="539" t="s">
        <v>2617</v>
      </c>
      <c r="C124" s="579" t="s">
        <v>2593</v>
      </c>
      <c r="D124" s="579" t="s">
        <v>2594</v>
      </c>
      <c r="E124" s="579" t="s">
        <v>2595</v>
      </c>
      <c r="F124" s="579" t="s">
        <v>2596</v>
      </c>
      <c r="G124" s="579" t="s">
        <v>2597</v>
      </c>
      <c r="H124" s="540"/>
      <c r="I124" s="540"/>
      <c r="J124" s="540"/>
      <c r="K124" s="541"/>
      <c r="L124" s="542"/>
      <c r="M124" s="543"/>
      <c r="N124" s="1154"/>
      <c r="O124" s="1154"/>
      <c r="P124" s="2628"/>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5"/>
      <c r="O125" s="1155"/>
      <c r="P125" s="2627"/>
      <c r="Q125" s="505"/>
    </row>
    <row r="126" spans="1:17" s="472" customFormat="1" ht="15" hidden="1" thickTop="1">
      <c r="A126" s="594"/>
      <c r="B126" s="539">
        <f>B44</f>
        <v>111</v>
      </c>
      <c r="C126" s="555"/>
      <c r="D126" s="555"/>
      <c r="E126" s="555"/>
      <c r="F126" s="555"/>
      <c r="G126" s="555"/>
      <c r="H126" s="556"/>
      <c r="I126" s="556"/>
      <c r="J126" s="556"/>
      <c r="K126" s="556"/>
      <c r="L126" s="557"/>
      <c r="M126" s="558"/>
      <c r="N126" s="1156"/>
      <c r="O126" s="1156"/>
      <c r="P126" s="2628"/>
      <c r="Q126" s="560"/>
    </row>
    <row r="127" spans="1:17" s="472" customFormat="1" ht="15.75" hidden="1" thickBot="1">
      <c r="A127" s="554"/>
      <c r="B127" s="544"/>
      <c r="C127" s="561"/>
      <c r="D127" s="537"/>
      <c r="E127" s="537"/>
      <c r="F127" s="537"/>
      <c r="G127" s="561"/>
      <c r="H127" s="563"/>
      <c r="I127" s="563"/>
      <c r="J127" s="563"/>
      <c r="K127" s="563"/>
      <c r="L127" s="563"/>
      <c r="M127" s="564"/>
      <c r="N127" s="1156"/>
      <c r="O127" s="1156"/>
      <c r="P127" s="2628"/>
      <c r="Q127" s="560"/>
    </row>
    <row r="128" spans="1:17" ht="15" hidden="1" thickTop="1">
      <c r="A128" s="600"/>
      <c r="B128" s="539">
        <f>B45</f>
        <v>111</v>
      </c>
      <c r="C128" s="555"/>
      <c r="D128" s="555"/>
      <c r="E128" s="555"/>
      <c r="F128" s="555"/>
      <c r="G128" s="584"/>
      <c r="H128" s="584"/>
      <c r="I128" s="584"/>
      <c r="J128" s="584"/>
      <c r="K128" s="585"/>
      <c r="L128" s="586"/>
      <c r="M128" s="587"/>
      <c r="N128" s="1154"/>
      <c r="O128" s="1154"/>
      <c r="P128" s="2627"/>
      <c r="Q128" s="505"/>
    </row>
    <row r="129" spans="1:17" ht="15.75" hidden="1" thickBot="1">
      <c r="A129" s="535"/>
      <c r="B129" s="544"/>
      <c r="C129" s="561"/>
      <c r="D129" s="561"/>
      <c r="E129" s="561"/>
      <c r="F129" s="561"/>
      <c r="G129" s="537"/>
      <c r="H129" s="537"/>
      <c r="I129" s="537"/>
      <c r="J129" s="537"/>
      <c r="K129" s="537"/>
      <c r="L129" s="537"/>
      <c r="M129" s="538"/>
      <c r="N129" s="1155"/>
      <c r="O129" s="1155"/>
      <c r="P129" s="2627"/>
      <c r="Q129" s="505"/>
    </row>
    <row r="130" spans="1:17" ht="15" hidden="1" thickTop="1">
      <c r="A130" s="600"/>
      <c r="B130" s="547">
        <f>B46</f>
        <v>111</v>
      </c>
      <c r="C130" s="555"/>
      <c r="D130" s="555"/>
      <c r="E130" s="555"/>
      <c r="F130" s="555"/>
      <c r="G130" s="588"/>
      <c r="H130" s="588"/>
      <c r="I130" s="588"/>
      <c r="J130" s="588"/>
      <c r="K130" s="524"/>
      <c r="L130" s="525"/>
      <c r="M130" s="591"/>
      <c r="N130" s="1154"/>
      <c r="O130" s="1154"/>
      <c r="P130" s="2627"/>
      <c r="Q130" s="505"/>
    </row>
    <row r="131" spans="1:17" ht="15.75" hidden="1" thickBot="1">
      <c r="A131" s="2633"/>
      <c r="B131" s="570"/>
      <c r="C131" s="571"/>
      <c r="D131" s="571"/>
      <c r="E131" s="571"/>
      <c r="F131" s="571"/>
      <c r="G131" s="592"/>
      <c r="H131" s="592"/>
      <c r="I131" s="592"/>
      <c r="J131" s="592"/>
      <c r="K131" s="592"/>
      <c r="L131" s="592"/>
      <c r="M131" s="593"/>
      <c r="N131" s="1155"/>
      <c r="O131" s="1155"/>
      <c r="P131" s="2627"/>
      <c r="Q131" s="505"/>
    </row>
    <row r="132" spans="1:17" ht="15" thickTop="1"/>
    <row r="136" spans="1:17" ht="15" thickBot="1">
      <c r="B136" s="2634" t="s">
        <v>2618</v>
      </c>
    </row>
    <row r="137" spans="1:17" ht="15">
      <c r="B137" s="2635" t="s">
        <v>2619</v>
      </c>
      <c r="C137" s="2636"/>
      <c r="D137" s="2636"/>
      <c r="E137" s="2636"/>
      <c r="F137" s="2636"/>
      <c r="G137" s="2637"/>
      <c r="H137" s="2638"/>
      <c r="I137" s="2639" t="s">
        <v>2620</v>
      </c>
      <c r="J137" s="2636"/>
      <c r="K137" s="2640"/>
    </row>
    <row r="138" spans="1:17" ht="15">
      <c r="B138" s="2641"/>
      <c r="C138" s="146" t="s">
        <v>2621</v>
      </c>
      <c r="D138" s="146" t="s">
        <v>2622</v>
      </c>
      <c r="E138" s="2642" t="s">
        <v>2623</v>
      </c>
      <c r="F138" s="2643" t="s">
        <v>2624</v>
      </c>
      <c r="G138" s="146" t="s">
        <v>2622</v>
      </c>
      <c r="H138" s="147" t="s">
        <v>2623</v>
      </c>
      <c r="I138" s="2644"/>
      <c r="J138" s="146" t="s">
        <v>2625</v>
      </c>
      <c r="K138" s="147" t="s">
        <v>2626</v>
      </c>
    </row>
    <row r="139" spans="1:17" ht="15">
      <c r="B139" s="1086">
        <v>6</v>
      </c>
      <c r="C139" s="1087">
        <v>96</v>
      </c>
      <c r="D139" s="2645" t="s">
        <v>2627</v>
      </c>
      <c r="E139" s="1088">
        <v>100</v>
      </c>
      <c r="F139" s="1089">
        <v>102.5</v>
      </c>
      <c r="G139" s="2645" t="s">
        <v>2627</v>
      </c>
      <c r="H139" s="1090">
        <v>105</v>
      </c>
      <c r="I139" s="2646" t="s">
        <v>2628</v>
      </c>
      <c r="J139" s="1087">
        <v>20</v>
      </c>
      <c r="K139" s="1091">
        <f>C145/(J139-2)</f>
        <v>4.0555555555555553E-3</v>
      </c>
    </row>
    <row r="140" spans="1:17" ht="15">
      <c r="B140" s="1092">
        <v>5</v>
      </c>
      <c r="C140" s="1093">
        <v>100</v>
      </c>
      <c r="D140" s="1093"/>
      <c r="E140" s="1094"/>
      <c r="F140" s="1095">
        <v>102</v>
      </c>
      <c r="G140" s="1093"/>
      <c r="H140" s="1096"/>
      <c r="I140" s="2647" t="s">
        <v>2629</v>
      </c>
      <c r="J140" s="316">
        <f>ROUNDUP((J139-1)/2,0)</f>
        <v>10</v>
      </c>
      <c r="K140" s="1097">
        <v>100</v>
      </c>
    </row>
    <row r="141" spans="1:17" ht="15">
      <c r="B141" s="1092">
        <v>4</v>
      </c>
      <c r="C141" s="1093">
        <v>102</v>
      </c>
      <c r="D141" s="1093"/>
      <c r="E141" s="1094"/>
      <c r="F141" s="1095">
        <v>101.5</v>
      </c>
      <c r="G141" s="1093"/>
      <c r="H141" s="1096"/>
      <c r="I141" s="2647" t="s">
        <v>2630</v>
      </c>
      <c r="J141" s="316">
        <v>1</v>
      </c>
      <c r="K141" s="1098">
        <f>ROUND(100+(J141-J140)*K139*100,1)</f>
        <v>96.4</v>
      </c>
    </row>
    <row r="142" spans="1:17" ht="15">
      <c r="B142" s="1092">
        <v>3</v>
      </c>
      <c r="C142" s="1093">
        <v>103</v>
      </c>
      <c r="D142" s="1093"/>
      <c r="E142" s="1094"/>
      <c r="F142" s="1095">
        <v>101</v>
      </c>
      <c r="G142" s="1093"/>
      <c r="H142" s="1096"/>
      <c r="I142" s="2647" t="s">
        <v>2631</v>
      </c>
      <c r="J142" s="316">
        <f>J139</f>
        <v>20</v>
      </c>
      <c r="K142" s="1099">
        <v>95</v>
      </c>
    </row>
    <row r="143" spans="1:17" ht="15">
      <c r="B143" s="1092">
        <v>2</v>
      </c>
      <c r="C143" s="1093">
        <v>100</v>
      </c>
      <c r="D143" s="1093"/>
      <c r="E143" s="1094"/>
      <c r="F143" s="1095">
        <v>100.5</v>
      </c>
      <c r="G143" s="1093"/>
      <c r="H143" s="1096"/>
      <c r="I143" s="2647" t="s">
        <v>2632</v>
      </c>
      <c r="J143" s="1093">
        <v>15</v>
      </c>
      <c r="K143" s="1098">
        <f>ROUND(100+(J143-J140)*K139*100,1)</f>
        <v>102</v>
      </c>
    </row>
    <row r="144" spans="1:17" ht="15">
      <c r="B144" s="1092">
        <v>1</v>
      </c>
      <c r="C144" s="1093">
        <v>98</v>
      </c>
      <c r="D144" s="2648" t="s">
        <v>2633</v>
      </c>
      <c r="E144" s="1094">
        <v>102</v>
      </c>
      <c r="F144" s="1100">
        <v>100</v>
      </c>
      <c r="G144" s="2648" t="s">
        <v>2633</v>
      </c>
      <c r="H144" s="1096">
        <v>105</v>
      </c>
      <c r="I144" s="2647" t="s">
        <v>2632</v>
      </c>
      <c r="J144" s="1093">
        <v>18</v>
      </c>
      <c r="K144" s="1098">
        <f>ROUND(100+(J144-J140)*K139*100,1)</f>
        <v>103.2</v>
      </c>
    </row>
    <row r="145" spans="2:11" ht="15.75" thickBot="1">
      <c r="B145" s="2649" t="s">
        <v>2634</v>
      </c>
      <c r="C145" s="1101">
        <f>ROUND(MAX(C139:C144)/MIN(C139:C144)-1,3)</f>
        <v>7.2999999999999995E-2</v>
      </c>
      <c r="D145" s="1102"/>
      <c r="E145" s="1102"/>
      <c r="F145" s="2650" t="s">
        <v>2635</v>
      </c>
      <c r="G145" s="2651"/>
      <c r="H145" s="2652"/>
      <c r="I145" s="2653" t="s">
        <v>2632</v>
      </c>
      <c r="J145" s="1103">
        <v>8</v>
      </c>
      <c r="K145" s="1104">
        <f>ROUND(100+(J145-J140)*K139*100,1)</f>
        <v>99.2</v>
      </c>
    </row>
    <row r="147" spans="2:11">
      <c r="B147" s="2634" t="s">
        <v>2636</v>
      </c>
    </row>
    <row r="148" spans="2:11">
      <c r="B148" s="2634"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1612</v>
      </c>
    </row>
    <row r="2" spans="1:1">
      <c r="A2" s="1948"/>
    </row>
    <row r="3" spans="1:1" ht="18">
      <c r="A3" s="1949" t="str">
        <f>项目基本情况!B5&amp;"："</f>
        <v>河北旭嘉房地产开发有限公司：</v>
      </c>
    </row>
    <row r="4" spans="1:1" ht="36">
      <c r="A4" s="1950" t="str">
        <f>"受贵公司委托，我公司对"&amp;项目基本情况!S1&amp;"进行了预评估。"</f>
        <v>受贵公司委托，我公司对河北省保定市涞水县涞水镇府前街2号桥北侧6A#房地产抵押价值进行了预评估。</v>
      </c>
    </row>
    <row r="5" spans="1:1" ht="18.75">
      <c r="A5" s="1951" t="s">
        <v>1613</v>
      </c>
    </row>
    <row r="6" spans="1:1" ht="18.75">
      <c r="A6" s="1952" t="s">
        <v>1614</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保定市涞水县涞水镇府前街2号桥北侧6A#房地产，为河北旭嘉房地产开发有限公司所有。根据《不动产权证书》[冀（2017）涞水县不动产权第0001069号]，估价对象（分摊）出让国有建设用地使用权面积为2218.67平方米，建筑面积为7765.35平方米。</v>
      </c>
    </row>
    <row r="8" spans="1:1" ht="57.75">
      <c r="A8" s="1953" t="s">
        <v>1615</v>
      </c>
    </row>
    <row r="9" spans="1:1" ht="18.75">
      <c r="A9" s="1952" t="s">
        <v>1616</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保定市涞水县涞水镇府前街2号桥北侧6A#房地产,为河北旭嘉房地产开发有限公司开发建设的居住项目，该项目尚在开发建设中。根据《不动产权证书》[冀（2017）涞水县不动产权第0001069号]，估价对象（分摊）出让国有建设用地使用权面积为2218.67平方米，规划建筑面积为7765.35平方米。</v>
      </c>
    </row>
    <row r="11" spans="1:1" ht="76.5">
      <c r="A11" s="1953" t="s">
        <v>1617</v>
      </c>
    </row>
    <row r="12" spans="1:1" ht="18.75">
      <c r="A12" s="1951" t="s">
        <v>1618</v>
      </c>
    </row>
    <row r="13" spans="1:1" ht="38.25" customHeight="1">
      <c r="A13" s="1954" t="str">
        <f>IF(项目基本情况!B8="抵押",IF(项目基本情况!B5=项目基本情况!B6,定义!C51,定义!B51),定义!D51)</f>
        <v>为估价委托人在向华鑫国际信托有限公司办理贷款手续过程中，确定房地产抵押贷款额度提供参考依据而评估房地产抵押价值。</v>
      </c>
    </row>
    <row r="14" spans="1:1" ht="18.75">
      <c r="A14" s="1955" t="s">
        <v>1619</v>
      </c>
    </row>
    <row r="15" spans="1:1" ht="18">
      <c r="A15" s="1956" t="str">
        <f>TEXT(项目基本情况!D3,"yyyy年m月d日;;")&amp;IF(项目基本情况!D3=项目基本情况!B3,"（评估专业人员实地查勘之日）","")</f>
        <v>2017年11月10日（评估专业人员实地查勘之日）</v>
      </c>
    </row>
    <row r="16" spans="1:1" ht="18.75">
      <c r="A16" s="1955" t="s">
        <v>1620</v>
      </c>
    </row>
    <row r="17" spans="1:1" ht="75">
      <c r="A17" s="1950" t="s">
        <v>1621</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10日，估价对象规划用途为住宅，土地取得方式为出让，出让国有建设用地使用权剩余土地使用年限为商业34.44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通热、燃气）、红线内场地平整条件下，剩余土地使用年限为商业34.44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1610</v>
      </c>
    </row>
    <row r="24" spans="1:1" ht="18">
      <c r="A24" s="1957" t="str">
        <f>"本次评估采用的主估价方法为"&amp;结果表!K4&amp;"和"&amp;结果表!L4&amp;"。"</f>
        <v>本次评估采用的主估价方法为收益法和比较法。</v>
      </c>
    </row>
    <row r="25" spans="1:1" ht="18">
      <c r="A25" s="1957"/>
    </row>
    <row r="26" spans="1:1" ht="18.75">
      <c r="A26" s="1958" t="s">
        <v>1611</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2"/>
  <sheetViews>
    <sheetView zoomScale="90" zoomScaleNormal="90" workbookViewId="0">
      <selection activeCell="G17" sqref="G17"/>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1"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2" customFormat="1" ht="28.5" customHeight="1" thickBot="1">
      <c r="A1" s="1621" t="s">
        <v>2524</v>
      </c>
      <c r="B1" s="2579" t="s">
        <v>2638</v>
      </c>
      <c r="C1" s="1637" t="s">
        <v>2526</v>
      </c>
      <c r="D1" s="1624" t="s">
        <v>3182</v>
      </c>
      <c r="E1" s="2654"/>
      <c r="F1" s="2581" t="s">
        <v>3188</v>
      </c>
      <c r="G1" s="1634" t="s">
        <v>2639</v>
      </c>
      <c r="H1" s="1633"/>
      <c r="I1" s="1633"/>
      <c r="J1" s="1633"/>
      <c r="K1" s="1635"/>
      <c r="L1" s="1636"/>
      <c r="M1" s="1637"/>
      <c r="N1" s="1637"/>
      <c r="O1" s="1637"/>
      <c r="P1" s="2655"/>
      <c r="Q1" s="2656"/>
      <c r="R1" s="2656"/>
      <c r="S1" s="2656"/>
      <c r="T1" s="2656"/>
      <c r="U1" s="2656"/>
      <c r="V1" s="2656"/>
      <c r="W1" s="2656"/>
      <c r="X1" s="2656"/>
      <c r="Y1" s="2656"/>
      <c r="Z1" s="2656"/>
      <c r="AA1" s="2656"/>
      <c r="AB1" s="2656"/>
      <c r="AC1" s="2657"/>
    </row>
    <row r="2" spans="1:29" s="399" customFormat="1" ht="28.5" customHeight="1" thickTop="1">
      <c r="A2" s="1620" t="s">
        <v>2326</v>
      </c>
      <c r="B2" s="1420">
        <f>IF(C2="——",ROUND(C49*D3/10000,0),ROUND(C49*D3/10000,0)-D2)</f>
        <v>2858</v>
      </c>
      <c r="C2" s="2583" t="s">
        <v>70</v>
      </c>
      <c r="D2" s="1367" t="e">
        <f ca="1">SUMIF(INDIRECT("'"&amp;F2&amp;"'"&amp;"!A:A"),"承租人权益价值",INDIRECT("'"&amp;F2&amp;"'"&amp;"!c:c"))</f>
        <v>#REF!</v>
      </c>
      <c r="E2" s="2584" t="s">
        <v>2327</v>
      </c>
      <c r="F2" s="2585"/>
      <c r="G2" s="1127"/>
      <c r="H2" s="1127"/>
      <c r="I2" s="1127"/>
      <c r="J2" s="1127"/>
      <c r="K2" s="1127"/>
      <c r="L2" s="1130"/>
      <c r="M2" s="1131"/>
      <c r="N2" s="1131"/>
      <c r="O2" s="1131"/>
      <c r="P2" s="2658"/>
      <c r="Q2" s="1131"/>
      <c r="R2" s="1131"/>
      <c r="S2" s="1131"/>
      <c r="T2" s="1131"/>
      <c r="U2" s="1131"/>
      <c r="V2" s="1131"/>
      <c r="W2" s="1131"/>
      <c r="X2" s="1131"/>
      <c r="Y2" s="1131"/>
      <c r="Z2" s="1131"/>
      <c r="AA2" s="1131"/>
      <c r="AB2" s="1131"/>
      <c r="AC2" s="2659"/>
    </row>
    <row r="3" spans="1:29" s="399" customFormat="1" ht="28.5" customHeight="1" thickBot="1">
      <c r="A3" s="248" t="s">
        <v>2328</v>
      </c>
      <c r="B3" s="610">
        <f>IF(C2="——",C49,ROUND(B2*10000/D3,0))</f>
        <v>18403</v>
      </c>
      <c r="C3" s="401" t="s">
        <v>2640</v>
      </c>
      <c r="D3" s="400">
        <f>IF(D1="",'数据-汇总表'!E3,SUMIF('数据-汇总表'!$C19:$C33,D1,'数据-汇总表'!$E19:$E33))</f>
        <v>1553.07</v>
      </c>
      <c r="E3" s="2660"/>
      <c r="F3" s="1128"/>
      <c r="G3" s="1127"/>
      <c r="H3" s="1127"/>
      <c r="I3" s="1127"/>
      <c r="J3" s="1127"/>
      <c r="K3" s="1129"/>
      <c r="L3" s="1130"/>
      <c r="M3" s="1131"/>
      <c r="N3" s="1131"/>
      <c r="O3" s="1131"/>
      <c r="P3" s="2658"/>
      <c r="Q3" s="1131"/>
      <c r="R3" s="1131"/>
      <c r="S3" s="1131"/>
      <c r="T3" s="1131"/>
      <c r="U3" s="1131"/>
      <c r="V3" s="1131"/>
      <c r="W3" s="1131"/>
      <c r="X3" s="1131"/>
      <c r="Y3" s="1131"/>
      <c r="Z3" s="1131"/>
      <c r="AA3" s="1131"/>
      <c r="AB3" s="1131"/>
      <c r="AC3" s="2660"/>
    </row>
    <row r="4" spans="1:29" ht="15">
      <c r="A4" s="402" t="s">
        <v>2641</v>
      </c>
      <c r="B4" s="403"/>
      <c r="C4" s="3270" t="s">
        <v>2642</v>
      </c>
      <c r="D4" s="3283"/>
      <c r="E4" s="3284" t="s">
        <v>2643</v>
      </c>
      <c r="F4" s="3285"/>
      <c r="G4" s="3270" t="s">
        <v>2644</v>
      </c>
      <c r="H4" s="3283"/>
      <c r="I4" s="3270" t="s">
        <v>2645</v>
      </c>
      <c r="J4" s="3283"/>
      <c r="K4" s="611" t="s">
        <v>2646</v>
      </c>
      <c r="L4" s="1132"/>
      <c r="M4" s="1133"/>
      <c r="N4" s="1133"/>
      <c r="O4" s="1133"/>
      <c r="P4" s="3286" t="s">
        <v>2647</v>
      </c>
      <c r="Q4" s="3287"/>
      <c r="R4" s="3292" t="s">
        <v>2643</v>
      </c>
      <c r="S4" s="3293"/>
      <c r="T4" s="3292" t="s">
        <v>2644</v>
      </c>
      <c r="U4" s="3293"/>
      <c r="V4" s="3279" t="s">
        <v>2645</v>
      </c>
      <c r="W4" s="3279"/>
      <c r="X4" s="1816"/>
      <c r="Y4" s="3292" t="s">
        <v>2647</v>
      </c>
      <c r="Z4" s="3293"/>
      <c r="AA4" s="3280" t="s">
        <v>2643</v>
      </c>
      <c r="AB4" s="3279" t="s">
        <v>2644</v>
      </c>
      <c r="AC4" s="3280" t="s">
        <v>2645</v>
      </c>
    </row>
    <row r="5" spans="1:29" ht="15">
      <c r="A5" s="405"/>
      <c r="B5" s="406"/>
      <c r="C5" s="3348" t="s">
        <v>2538</v>
      </c>
      <c r="D5" s="3301"/>
      <c r="E5" s="3300" t="s">
        <v>3148</v>
      </c>
      <c r="F5" s="3301"/>
      <c r="G5" s="3300" t="s">
        <v>3225</v>
      </c>
      <c r="H5" s="3301"/>
      <c r="I5" s="3300" t="s">
        <v>3187</v>
      </c>
      <c r="J5" s="3301"/>
      <c r="K5" s="611"/>
      <c r="L5" s="1132"/>
      <c r="M5" s="1133"/>
      <c r="N5" s="1133"/>
      <c r="O5" s="1133"/>
      <c r="P5" s="3288"/>
      <c r="Q5" s="3289"/>
      <c r="R5" s="3294"/>
      <c r="S5" s="3295"/>
      <c r="T5" s="3294"/>
      <c r="U5" s="3295"/>
      <c r="V5" s="3279"/>
      <c r="W5" s="3279"/>
      <c r="X5" s="1816"/>
      <c r="Y5" s="3294"/>
      <c r="Z5" s="3295"/>
      <c r="AA5" s="3281"/>
      <c r="AB5" s="3279"/>
      <c r="AC5" s="3281"/>
    </row>
    <row r="6" spans="1:29" ht="15.75" thickBot="1">
      <c r="A6" s="407"/>
      <c r="B6" s="408"/>
      <c r="C6" s="3347" t="s">
        <v>2542</v>
      </c>
      <c r="D6" s="3299"/>
      <c r="E6" s="3298" t="s">
        <v>3226</v>
      </c>
      <c r="F6" s="3299"/>
      <c r="G6" s="3298" t="s">
        <v>3226</v>
      </c>
      <c r="H6" s="3299"/>
      <c r="I6" s="3298" t="s">
        <v>3186</v>
      </c>
      <c r="J6" s="3299"/>
      <c r="K6" s="611" t="s">
        <v>2543</v>
      </c>
      <c r="L6" s="1132"/>
      <c r="M6" s="1133"/>
      <c r="N6" s="1133"/>
      <c r="O6" s="1133"/>
      <c r="P6" s="3290"/>
      <c r="Q6" s="3291"/>
      <c r="R6" s="3294"/>
      <c r="S6" s="3295"/>
      <c r="T6" s="3296"/>
      <c r="U6" s="3297"/>
      <c r="V6" s="3279"/>
      <c r="W6" s="3279"/>
      <c r="X6" s="1816"/>
      <c r="Y6" s="3296"/>
      <c r="Z6" s="3297"/>
      <c r="AA6" s="3282"/>
      <c r="AB6" s="3279"/>
      <c r="AC6" s="3282"/>
    </row>
    <row r="7" spans="1:29" s="117" customFormat="1" ht="15.75" thickBot="1">
      <c r="A7" s="409" t="s">
        <v>2544</v>
      </c>
      <c r="B7" s="410"/>
      <c r="C7" s="411">
        <f>'数据-取费表'!B2</f>
        <v>43049</v>
      </c>
      <c r="D7" s="412">
        <v>100</v>
      </c>
      <c r="E7" s="413">
        <f>C7</f>
        <v>43049</v>
      </c>
      <c r="F7" s="414">
        <f>SUMIF(58:58,YEAR(E7)&amp;"-"&amp;MONTH(E7),59:59)</f>
        <v>100</v>
      </c>
      <c r="G7" s="413">
        <f>C7</f>
        <v>43049</v>
      </c>
      <c r="H7" s="412">
        <f>SUMIF(58:58,YEAR(G7)&amp;"-"&amp;MONTH(G7),59:59)</f>
        <v>100</v>
      </c>
      <c r="I7" s="413">
        <f>C7</f>
        <v>43049</v>
      </c>
      <c r="J7" s="412">
        <f>SUMIF(58:58,YEAR(I7)&amp;"-"&amp;MONTH(I7),59:59)</f>
        <v>100</v>
      </c>
      <c r="K7" s="612"/>
      <c r="L7" s="1134"/>
      <c r="M7" s="1135"/>
      <c r="N7" s="1135"/>
      <c r="O7" s="1135"/>
      <c r="P7" s="3302" t="s">
        <v>2545</v>
      </c>
      <c r="Q7" s="3304"/>
      <c r="R7" s="769" t="s">
        <v>17</v>
      </c>
      <c r="S7" s="770">
        <f t="shared" ref="S7:S15" si="0">F7</f>
        <v>100</v>
      </c>
      <c r="T7" s="769" t="s">
        <v>17</v>
      </c>
      <c r="U7" s="770">
        <f t="shared" ref="U7:U15" si="1">H7</f>
        <v>100</v>
      </c>
      <c r="V7" s="769" t="s">
        <v>17</v>
      </c>
      <c r="W7" s="770">
        <f t="shared" ref="W7:W15" si="2">J7</f>
        <v>100</v>
      </c>
      <c r="X7" s="771"/>
      <c r="Y7" s="3302" t="s">
        <v>2545</v>
      </c>
      <c r="Z7" s="3303"/>
      <c r="AA7" s="772">
        <f>D7/F7</f>
        <v>1</v>
      </c>
      <c r="AB7" s="772">
        <f>D7/H7</f>
        <v>1</v>
      </c>
      <c r="AC7" s="772">
        <f>D7/J7</f>
        <v>1</v>
      </c>
    </row>
    <row r="8" spans="1:29" s="117" customFormat="1" ht="15.75" thickBot="1">
      <c r="A8" s="409" t="s">
        <v>2546</v>
      </c>
      <c r="B8" s="410"/>
      <c r="C8" s="415" t="s">
        <v>2648</v>
      </c>
      <c r="D8" s="412">
        <v>100</v>
      </c>
      <c r="E8" s="415" t="s">
        <v>3097</v>
      </c>
      <c r="F8" s="414">
        <f>SUMIF(61:61,E8,62:62)-SUMIF(61:61,C8,62:62)+100</f>
        <v>100</v>
      </c>
      <c r="G8" s="415" t="s">
        <v>3097</v>
      </c>
      <c r="H8" s="412">
        <f>SUMIF(61:61,G8,62:62)-SUMIF(61:61,C8,62:62)+100</f>
        <v>100</v>
      </c>
      <c r="I8" s="415" t="s">
        <v>3097</v>
      </c>
      <c r="J8" s="412">
        <f>SUMIF(61:61,I8,62:62)-SUMIF(61:61,C8,62:62)+100</f>
        <v>100</v>
      </c>
      <c r="K8" s="612"/>
      <c r="L8" s="1134"/>
      <c r="M8" s="1135"/>
      <c r="N8" s="1135"/>
      <c r="O8" s="1135"/>
      <c r="P8" s="3302" t="s">
        <v>2548</v>
      </c>
      <c r="Q8" s="3303"/>
      <c r="R8" s="769" t="s">
        <v>17</v>
      </c>
      <c r="S8" s="770">
        <f t="shared" si="0"/>
        <v>100</v>
      </c>
      <c r="T8" s="769" t="s">
        <v>17</v>
      </c>
      <c r="U8" s="770">
        <f t="shared" si="1"/>
        <v>100</v>
      </c>
      <c r="V8" s="769" t="s">
        <v>17</v>
      </c>
      <c r="W8" s="770">
        <f t="shared" si="2"/>
        <v>100</v>
      </c>
      <c r="X8" s="771"/>
      <c r="Y8" s="3302" t="s">
        <v>2548</v>
      </c>
      <c r="Z8" s="3303"/>
      <c r="AA8" s="772">
        <f t="shared" ref="AA8:AA46" si="3">D8/F8</f>
        <v>1</v>
      </c>
      <c r="AB8" s="772">
        <f t="shared" ref="AB8:AB46" si="4">D8/H8</f>
        <v>1</v>
      </c>
      <c r="AC8" s="772">
        <f t="shared" ref="AC8:AC46" si="5">D8/J8</f>
        <v>1</v>
      </c>
    </row>
    <row r="9" spans="1:29" s="117" customFormat="1">
      <c r="A9" s="416" t="s">
        <v>2549</v>
      </c>
      <c r="B9" s="71" t="s">
        <v>2550</v>
      </c>
      <c r="C9" s="2944" t="s">
        <v>3158</v>
      </c>
      <c r="D9" s="135">
        <v>100</v>
      </c>
      <c r="E9" s="418" t="s">
        <v>1378</v>
      </c>
      <c r="F9" s="419">
        <f>SUMIF(63:63,E9,64:64)-SUMIF(63:63,C9,64:64)+100</f>
        <v>100</v>
      </c>
      <c r="G9" s="418" t="s">
        <v>1378</v>
      </c>
      <c r="H9" s="135">
        <f>SUMIF(63:63,G9,64:64)-SUMIF(63:63,C9,64:64)+100</f>
        <v>100</v>
      </c>
      <c r="I9" s="418" t="s">
        <v>1378</v>
      </c>
      <c r="J9" s="135">
        <f>SUMIF(63:63,I9,64:64)-SUMIF(63:63,C9,64:64)+100</f>
        <v>100</v>
      </c>
      <c r="K9" s="612"/>
      <c r="L9" s="1134"/>
      <c r="M9" s="1135"/>
      <c r="N9" s="1135"/>
      <c r="O9" s="1135"/>
      <c r="P9" s="3272" t="s">
        <v>2551</v>
      </c>
      <c r="Q9" s="1798" t="str">
        <f t="shared" ref="Q9:Q15" si="6">B9</f>
        <v>用途</v>
      </c>
      <c r="R9" s="769" t="s">
        <v>17</v>
      </c>
      <c r="S9" s="770">
        <f t="shared" si="0"/>
        <v>100</v>
      </c>
      <c r="T9" s="769" t="s">
        <v>17</v>
      </c>
      <c r="U9" s="770">
        <f t="shared" si="1"/>
        <v>100</v>
      </c>
      <c r="V9" s="769" t="s">
        <v>17</v>
      </c>
      <c r="W9" s="770">
        <f t="shared" si="2"/>
        <v>100</v>
      </c>
      <c r="X9" s="771"/>
      <c r="Y9" s="3121" t="s">
        <v>2552</v>
      </c>
      <c r="Z9" s="55" t="str">
        <f t="shared" ref="Z9:Z15" si="7">Q9</f>
        <v>用途</v>
      </c>
      <c r="AA9" s="772">
        <f t="shared" si="3"/>
        <v>1</v>
      </c>
      <c r="AB9" s="772">
        <f t="shared" si="4"/>
        <v>1</v>
      </c>
      <c r="AC9" s="772">
        <f t="shared" si="5"/>
        <v>1</v>
      </c>
    </row>
    <row r="10" spans="1:29" s="428" customFormat="1" ht="27.75" thickBot="1">
      <c r="A10" s="422"/>
      <c r="B10" s="423" t="s">
        <v>2553</v>
      </c>
      <c r="C10" s="424" t="s">
        <v>3159</v>
      </c>
      <c r="D10" s="136">
        <v>100</v>
      </c>
      <c r="E10" s="425" t="s">
        <v>3159</v>
      </c>
      <c r="F10" s="426">
        <f>SUMIF(65:65,E10,66:66)-SUMIF(65:65,C10,66:66)+100</f>
        <v>100</v>
      </c>
      <c r="G10" s="424" t="s">
        <v>3159</v>
      </c>
      <c r="H10" s="136">
        <f>SUMIF(65:65,G10,66:66)-SUMIF(65:65,C10,66:66)+100</f>
        <v>100</v>
      </c>
      <c r="I10" s="424" t="s">
        <v>3159</v>
      </c>
      <c r="J10" s="136">
        <f>SUMIF(65:65,I10,66:66)-SUMIF(65:65,C10,66:66)+100</f>
        <v>100</v>
      </c>
      <c r="K10" s="613"/>
      <c r="L10" s="1137"/>
      <c r="M10" s="1138"/>
      <c r="N10" s="1138"/>
      <c r="O10" s="1138"/>
      <c r="P10" s="3272"/>
      <c r="Q10" s="1798" t="str">
        <f t="shared" si="6"/>
        <v>土地使用年限（年）</v>
      </c>
      <c r="R10" s="769" t="s">
        <v>17</v>
      </c>
      <c r="S10" s="770">
        <f t="shared" si="0"/>
        <v>100</v>
      </c>
      <c r="T10" s="769" t="s">
        <v>17</v>
      </c>
      <c r="U10" s="770">
        <f t="shared" si="1"/>
        <v>100</v>
      </c>
      <c r="V10" s="769" t="s">
        <v>17</v>
      </c>
      <c r="W10" s="770">
        <f t="shared" si="2"/>
        <v>100</v>
      </c>
      <c r="X10" s="771"/>
      <c r="Y10" s="3121"/>
      <c r="Z10" s="55" t="str">
        <f t="shared" si="7"/>
        <v>土地使用年限（年）</v>
      </c>
      <c r="AA10" s="772">
        <f t="shared" si="3"/>
        <v>1</v>
      </c>
      <c r="AB10" s="772">
        <f t="shared" si="4"/>
        <v>1</v>
      </c>
      <c r="AC10" s="772">
        <f t="shared" si="5"/>
        <v>1</v>
      </c>
    </row>
    <row r="11" spans="1:29" ht="15.75" hidden="1" thickBot="1">
      <c r="A11" s="429"/>
      <c r="B11" s="423" t="s">
        <v>2554</v>
      </c>
      <c r="C11" s="430">
        <v>2</v>
      </c>
      <c r="D11" s="136">
        <v>100</v>
      </c>
      <c r="E11" s="431">
        <v>2</v>
      </c>
      <c r="F11" s="426">
        <f>LOOKUP(E11,68:68,69:69)-LOOKUP(C11,68:68,69:69)+100</f>
        <v>100</v>
      </c>
      <c r="G11" s="430">
        <v>2</v>
      </c>
      <c r="H11" s="136">
        <f>LOOKUP(G11,68:68,69:69)-LOOKUP(C11,68:68,69:69)+100</f>
        <v>100</v>
      </c>
      <c r="I11" s="430">
        <v>2</v>
      </c>
      <c r="J11" s="136">
        <f>LOOKUP(I11,68:68,69:69)-LOOKUP(C11,68:68,69:69)+100</f>
        <v>100</v>
      </c>
      <c r="K11" s="613"/>
      <c r="L11" s="1140"/>
      <c r="M11" s="1133"/>
      <c r="N11" s="1133"/>
      <c r="O11" s="1133"/>
      <c r="P11" s="3272"/>
      <c r="Q11" s="1798" t="str">
        <f t="shared" si="6"/>
        <v>容积率</v>
      </c>
      <c r="R11" s="769" t="s">
        <v>17</v>
      </c>
      <c r="S11" s="770">
        <f t="shared" si="0"/>
        <v>100</v>
      </c>
      <c r="T11" s="769" t="s">
        <v>17</v>
      </c>
      <c r="U11" s="770">
        <f t="shared" si="1"/>
        <v>100</v>
      </c>
      <c r="V11" s="769" t="s">
        <v>17</v>
      </c>
      <c r="W11" s="770">
        <f t="shared" si="2"/>
        <v>100</v>
      </c>
      <c r="X11" s="771"/>
      <c r="Y11" s="3121"/>
      <c r="Z11" s="55" t="str">
        <f t="shared" si="7"/>
        <v>容积率</v>
      </c>
      <c r="AA11" s="772">
        <f t="shared" si="3"/>
        <v>1</v>
      </c>
      <c r="AB11" s="772">
        <f t="shared" si="4"/>
        <v>1</v>
      </c>
      <c r="AC11" s="772">
        <f t="shared" si="5"/>
        <v>1</v>
      </c>
    </row>
    <row r="12" spans="1:29" s="117" customFormat="1" ht="15" hidden="1">
      <c r="A12" s="432"/>
      <c r="B12" s="2597">
        <v>111</v>
      </c>
      <c r="C12" s="433"/>
      <c r="D12" s="434">
        <v>100</v>
      </c>
      <c r="E12" s="435"/>
      <c r="F12" s="426">
        <f>SUMIF(70:70,E12,71:71)-SUMIF(70:70,C12,71:71)+100</f>
        <v>100</v>
      </c>
      <c r="G12" s="435"/>
      <c r="H12" s="136">
        <f>SUMIF(70:70,G12,71:71)-SUMIF(70:70,C12,71:71)+100</f>
        <v>100</v>
      </c>
      <c r="I12" s="435"/>
      <c r="J12" s="136">
        <f>SUMIF(70:70,I12,71:71)-SUMIF(70:70,C12,71:71)+100</f>
        <v>100</v>
      </c>
      <c r="K12" s="614"/>
      <c r="L12" s="1134"/>
      <c r="M12" s="1135"/>
      <c r="N12" s="1135"/>
      <c r="O12" s="1135"/>
      <c r="P12" s="3272"/>
      <c r="Q12" s="1798">
        <f t="shared" si="6"/>
        <v>111</v>
      </c>
      <c r="R12" s="769" t="s">
        <v>17</v>
      </c>
      <c r="S12" s="770">
        <f t="shared" si="0"/>
        <v>100</v>
      </c>
      <c r="T12" s="769" t="s">
        <v>17</v>
      </c>
      <c r="U12" s="770">
        <f t="shared" si="1"/>
        <v>100</v>
      </c>
      <c r="V12" s="769" t="s">
        <v>17</v>
      </c>
      <c r="W12" s="770">
        <f t="shared" si="2"/>
        <v>100</v>
      </c>
      <c r="X12" s="771"/>
      <c r="Y12" s="3121"/>
      <c r="Z12" s="55">
        <f t="shared" si="7"/>
        <v>111</v>
      </c>
      <c r="AA12" s="772">
        <f>D12/F12</f>
        <v>1</v>
      </c>
      <c r="AB12" s="772">
        <f>D12/H12</f>
        <v>1</v>
      </c>
      <c r="AC12" s="772">
        <f>D12/J12</f>
        <v>1</v>
      </c>
    </row>
    <row r="13" spans="1:29" ht="15" hidden="1">
      <c r="A13" s="429"/>
      <c r="B13" s="2597">
        <v>111</v>
      </c>
      <c r="C13" s="435"/>
      <c r="D13" s="436">
        <v>100</v>
      </c>
      <c r="E13" s="435"/>
      <c r="F13" s="426">
        <f>SUMIF(72:72,E13,73:73)-SUMIF(72:72,C13,73:73)+100</f>
        <v>100</v>
      </c>
      <c r="G13" s="435"/>
      <c r="H13" s="436">
        <f>SUMIF(72:72,G13,73:73)-SUMIF(72:72,C13,73:73)+100</f>
        <v>100</v>
      </c>
      <c r="I13" s="435"/>
      <c r="J13" s="436">
        <f>SUMIF(72:72,I13,73:73)-SUMIF(72:72,C13,73:73)+100</f>
        <v>100</v>
      </c>
      <c r="K13" s="614"/>
      <c r="L13" s="1142"/>
      <c r="M13" s="1133"/>
      <c r="N13" s="1133"/>
      <c r="O13" s="1133"/>
      <c r="P13" s="3272"/>
      <c r="Q13" s="1798">
        <f t="shared" si="6"/>
        <v>111</v>
      </c>
      <c r="R13" s="769" t="s">
        <v>17</v>
      </c>
      <c r="S13" s="770">
        <f t="shared" si="0"/>
        <v>100</v>
      </c>
      <c r="T13" s="769" t="s">
        <v>17</v>
      </c>
      <c r="U13" s="770">
        <f t="shared" si="1"/>
        <v>100</v>
      </c>
      <c r="V13" s="769" t="s">
        <v>17</v>
      </c>
      <c r="W13" s="770">
        <f t="shared" si="2"/>
        <v>100</v>
      </c>
      <c r="X13" s="771"/>
      <c r="Y13" s="3121"/>
      <c r="Z13" s="55">
        <f t="shared" si="7"/>
        <v>111</v>
      </c>
      <c r="AA13" s="772">
        <f t="shared" si="3"/>
        <v>1</v>
      </c>
      <c r="AB13" s="772">
        <f t="shared" si="4"/>
        <v>1</v>
      </c>
      <c r="AC13" s="772">
        <f t="shared" si="5"/>
        <v>1</v>
      </c>
    </row>
    <row r="14" spans="1:29" ht="15.75" hidden="1" thickBot="1">
      <c r="A14" s="437"/>
      <c r="B14" s="2599">
        <v>111</v>
      </c>
      <c r="C14" s="438"/>
      <c r="D14" s="439">
        <v>100</v>
      </c>
      <c r="E14" s="435"/>
      <c r="F14" s="440">
        <f>SUMIF(74:74,E14,75:75)-SUMIF(74:74,C14,75:75)+100</f>
        <v>100</v>
      </c>
      <c r="G14" s="435"/>
      <c r="H14" s="439">
        <f>SUMIF(74:74,G14,75:75)-SUMIF(74:74,C14,75:75)+100</f>
        <v>100</v>
      </c>
      <c r="I14" s="435"/>
      <c r="J14" s="439">
        <f>SUMIF(74:74,I14,75:75)-SUMIF(74:74,C14,75:75)+100</f>
        <v>100</v>
      </c>
      <c r="K14" s="614"/>
      <c r="L14" s="1142"/>
      <c r="M14" s="1133"/>
      <c r="N14" s="1133"/>
      <c r="O14" s="1133"/>
      <c r="P14" s="3272"/>
      <c r="Q14" s="1798">
        <f t="shared" si="6"/>
        <v>111</v>
      </c>
      <c r="R14" s="769" t="s">
        <v>17</v>
      </c>
      <c r="S14" s="770">
        <f t="shared" si="0"/>
        <v>100</v>
      </c>
      <c r="T14" s="769" t="s">
        <v>17</v>
      </c>
      <c r="U14" s="770">
        <f t="shared" si="1"/>
        <v>100</v>
      </c>
      <c r="V14" s="769" t="s">
        <v>17</v>
      </c>
      <c r="W14" s="770">
        <f t="shared" si="2"/>
        <v>100</v>
      </c>
      <c r="X14" s="771"/>
      <c r="Y14" s="3121"/>
      <c r="Z14" s="55">
        <f t="shared" si="7"/>
        <v>111</v>
      </c>
      <c r="AA14" s="772">
        <f t="shared" si="3"/>
        <v>1</v>
      </c>
      <c r="AB14" s="772">
        <f t="shared" si="4"/>
        <v>1</v>
      </c>
      <c r="AC14" s="772">
        <f t="shared" si="5"/>
        <v>1</v>
      </c>
    </row>
    <row r="15" spans="1:29" ht="71.25">
      <c r="A15" s="441" t="s">
        <v>2555</v>
      </c>
      <c r="B15" s="69" t="s">
        <v>2649</v>
      </c>
      <c r="C15" s="2600"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c r="L15" s="1142"/>
      <c r="M15" s="1133"/>
      <c r="N15" s="1133"/>
      <c r="O15" s="1133"/>
      <c r="P15" s="3345" t="s">
        <v>2556</v>
      </c>
      <c r="Q15" s="1813" t="str">
        <f t="shared" si="6"/>
        <v>商业繁华度</v>
      </c>
      <c r="R15" s="773" t="s">
        <v>17</v>
      </c>
      <c r="S15" s="774">
        <f t="shared" si="0"/>
        <v>100</v>
      </c>
      <c r="T15" s="773" t="s">
        <v>17</v>
      </c>
      <c r="U15" s="774">
        <f t="shared" si="1"/>
        <v>100</v>
      </c>
      <c r="V15" s="773" t="s">
        <v>17</v>
      </c>
      <c r="W15" s="774">
        <f t="shared" si="2"/>
        <v>100</v>
      </c>
      <c r="X15" s="1816"/>
      <c r="Y15" s="3275" t="s">
        <v>2556</v>
      </c>
      <c r="Z15" s="1817" t="str">
        <f t="shared" si="7"/>
        <v>商业繁华度</v>
      </c>
      <c r="AA15" s="1814">
        <f t="shared" si="3"/>
        <v>1</v>
      </c>
      <c r="AB15" s="1814">
        <f t="shared" si="4"/>
        <v>1</v>
      </c>
      <c r="AC15" s="1814">
        <f t="shared" si="5"/>
        <v>1</v>
      </c>
    </row>
    <row r="16" spans="1:29" ht="15">
      <c r="A16" s="429"/>
      <c r="B16" s="447"/>
      <c r="C16" s="448" t="s">
        <v>3082</v>
      </c>
      <c r="D16" s="449"/>
      <c r="E16" s="448" t="s">
        <v>3082</v>
      </c>
      <c r="F16" s="450"/>
      <c r="G16" s="448" t="s">
        <v>3082</v>
      </c>
      <c r="H16" s="451"/>
      <c r="I16" s="448" t="s">
        <v>3082</v>
      </c>
      <c r="J16" s="449"/>
      <c r="K16" s="616"/>
      <c r="L16" s="1142"/>
      <c r="M16" s="1133"/>
      <c r="N16" s="1133"/>
      <c r="O16" s="1133"/>
      <c r="P16" s="3346"/>
      <c r="Q16" s="1813"/>
      <c r="R16" s="773"/>
      <c r="S16" s="774"/>
      <c r="T16" s="773"/>
      <c r="U16" s="774"/>
      <c r="V16" s="773"/>
      <c r="W16" s="774"/>
      <c r="X16" s="1816"/>
      <c r="Y16" s="3276"/>
      <c r="Z16" s="1817"/>
      <c r="AA16" s="1814">
        <v>1</v>
      </c>
      <c r="AB16" s="1814">
        <v>1</v>
      </c>
      <c r="AC16" s="1814">
        <v>1</v>
      </c>
    </row>
    <row r="17" spans="1:29" ht="85.5">
      <c r="A17" s="429"/>
      <c r="B17" s="452" t="s">
        <v>2095</v>
      </c>
      <c r="C17" s="2604"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c r="L17" s="1142"/>
      <c r="M17" s="1133"/>
      <c r="N17" s="1133"/>
      <c r="O17" s="1133"/>
      <c r="P17" s="3346"/>
      <c r="Q17" s="1813" t="str">
        <f>B17</f>
        <v>交通便捷度</v>
      </c>
      <c r="R17" s="773" t="s">
        <v>17</v>
      </c>
      <c r="S17" s="774">
        <f>F17</f>
        <v>100</v>
      </c>
      <c r="T17" s="773" t="s">
        <v>17</v>
      </c>
      <c r="U17" s="774">
        <f>H17</f>
        <v>100</v>
      </c>
      <c r="V17" s="773" t="s">
        <v>17</v>
      </c>
      <c r="W17" s="774">
        <f>J17</f>
        <v>100</v>
      </c>
      <c r="X17" s="1816"/>
      <c r="Y17" s="3276"/>
      <c r="Z17" s="1817" t="str">
        <f>Q17</f>
        <v>交通便捷度</v>
      </c>
      <c r="AA17" s="1814">
        <f t="shared" si="3"/>
        <v>1</v>
      </c>
      <c r="AB17" s="1814">
        <f t="shared" si="4"/>
        <v>1</v>
      </c>
      <c r="AC17" s="1814">
        <f t="shared" si="5"/>
        <v>1</v>
      </c>
    </row>
    <row r="18" spans="1:29" ht="15">
      <c r="A18" s="429"/>
      <c r="B18" s="457"/>
      <c r="C18" s="2605" t="s">
        <v>3080</v>
      </c>
      <c r="D18" s="451"/>
      <c r="E18" s="2607" t="s">
        <v>3080</v>
      </c>
      <c r="F18" s="454"/>
      <c r="G18" s="2606" t="s">
        <v>3080</v>
      </c>
      <c r="H18" s="449"/>
      <c r="I18" s="2607" t="s">
        <v>3080</v>
      </c>
      <c r="J18" s="449"/>
      <c r="K18" s="616"/>
      <c r="L18" s="1142"/>
      <c r="M18" s="1133"/>
      <c r="N18" s="1133"/>
      <c r="O18" s="1133"/>
      <c r="P18" s="3346"/>
      <c r="Q18" s="1813"/>
      <c r="R18" s="773"/>
      <c r="S18" s="774"/>
      <c r="T18" s="773"/>
      <c r="U18" s="774"/>
      <c r="V18" s="773"/>
      <c r="W18" s="774"/>
      <c r="X18" s="1816"/>
      <c r="Y18" s="3276"/>
      <c r="Z18" s="1817"/>
      <c r="AA18" s="1814">
        <v>1</v>
      </c>
      <c r="AB18" s="1814">
        <v>1</v>
      </c>
      <c r="AC18" s="1814">
        <v>1</v>
      </c>
    </row>
    <row r="19" spans="1:29" ht="42.75">
      <c r="A19" s="429"/>
      <c r="B19" s="452" t="s">
        <v>2650</v>
      </c>
      <c r="C19" s="2604"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v>3</v>
      </c>
      <c r="L19" s="1142"/>
      <c r="M19" s="1133"/>
      <c r="N19" s="1133"/>
      <c r="O19" s="1133"/>
      <c r="P19" s="3346"/>
      <c r="Q19" s="1813" t="str">
        <f>B19</f>
        <v>公共配套设施</v>
      </c>
      <c r="R19" s="773" t="s">
        <v>17</v>
      </c>
      <c r="S19" s="774">
        <f>F19</f>
        <v>100</v>
      </c>
      <c r="T19" s="773" t="s">
        <v>17</v>
      </c>
      <c r="U19" s="774">
        <f>H19</f>
        <v>100</v>
      </c>
      <c r="V19" s="773" t="s">
        <v>17</v>
      </c>
      <c r="W19" s="774">
        <f>J19</f>
        <v>100</v>
      </c>
      <c r="X19" s="1816"/>
      <c r="Y19" s="3276"/>
      <c r="Z19" s="1817" t="str">
        <f>Q19</f>
        <v>公共配套设施</v>
      </c>
      <c r="AA19" s="1814">
        <f t="shared" si="3"/>
        <v>1</v>
      </c>
      <c r="AB19" s="1814">
        <f t="shared" si="4"/>
        <v>1</v>
      </c>
      <c r="AC19" s="1814">
        <f t="shared" si="5"/>
        <v>1</v>
      </c>
    </row>
    <row r="20" spans="1:29" ht="15">
      <c r="A20" s="429"/>
      <c r="B20" s="457"/>
      <c r="C20" s="448" t="s">
        <v>3080</v>
      </c>
      <c r="D20" s="449"/>
      <c r="E20" s="2602" t="s">
        <v>3080</v>
      </c>
      <c r="F20" s="450"/>
      <c r="G20" s="2601" t="s">
        <v>3080</v>
      </c>
      <c r="H20" s="449"/>
      <c r="I20" s="2602" t="s">
        <v>3080</v>
      </c>
      <c r="J20" s="449"/>
      <c r="K20" s="616"/>
      <c r="L20" s="1142"/>
      <c r="M20" s="1133"/>
      <c r="N20" s="1133"/>
      <c r="O20" s="1133"/>
      <c r="P20" s="3346"/>
      <c r="Q20" s="1813"/>
      <c r="R20" s="773"/>
      <c r="S20" s="774"/>
      <c r="T20" s="773"/>
      <c r="U20" s="774"/>
      <c r="V20" s="773"/>
      <c r="W20" s="774"/>
      <c r="X20" s="1816"/>
      <c r="Y20" s="3276"/>
      <c r="Z20" s="1817"/>
      <c r="AA20" s="1814">
        <v>1</v>
      </c>
      <c r="AB20" s="1814">
        <v>1</v>
      </c>
      <c r="AC20" s="1814">
        <v>1</v>
      </c>
    </row>
    <row r="21" spans="1:29" ht="28.5">
      <c r="A21" s="429"/>
      <c r="B21" s="1386" t="s">
        <v>2651</v>
      </c>
      <c r="C21" s="2604"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c r="L21" s="1142"/>
      <c r="M21" s="1133"/>
      <c r="N21" s="1133"/>
      <c r="O21" s="1133"/>
      <c r="P21" s="3346"/>
      <c r="Q21" s="1813" t="str">
        <f>B21</f>
        <v>基础设施水平</v>
      </c>
      <c r="R21" s="773" t="s">
        <v>17</v>
      </c>
      <c r="S21" s="774">
        <f>F21</f>
        <v>100</v>
      </c>
      <c r="T21" s="773" t="s">
        <v>17</v>
      </c>
      <c r="U21" s="774">
        <f>H21</f>
        <v>100</v>
      </c>
      <c r="V21" s="773" t="s">
        <v>17</v>
      </c>
      <c r="W21" s="774">
        <f>J21</f>
        <v>100</v>
      </c>
      <c r="X21" s="1816"/>
      <c r="Y21" s="3276"/>
      <c r="Z21" s="1817" t="str">
        <f>Q21</f>
        <v>基础设施水平</v>
      </c>
      <c r="AA21" s="1814">
        <f t="shared" ref="AA21" si="8">D21/F21</f>
        <v>1</v>
      </c>
      <c r="AB21" s="1814">
        <f t="shared" ref="AB21" si="9">D21/H21</f>
        <v>1</v>
      </c>
      <c r="AC21" s="1814">
        <f t="shared" ref="AC21" si="10">D21/J21</f>
        <v>1</v>
      </c>
    </row>
    <row r="22" spans="1:29" ht="15">
      <c r="A22" s="429"/>
      <c r="B22" s="1386"/>
      <c r="C22" s="2605" t="s">
        <v>3088</v>
      </c>
      <c r="D22" s="449"/>
      <c r="E22" s="448" t="s">
        <v>3088</v>
      </c>
      <c r="F22" s="450"/>
      <c r="G22" s="448" t="s">
        <v>3088</v>
      </c>
      <c r="H22" s="449"/>
      <c r="I22" s="448" t="s">
        <v>3088</v>
      </c>
      <c r="J22" s="449"/>
      <c r="K22" s="1385"/>
      <c r="L22" s="1142"/>
      <c r="M22" s="1133"/>
      <c r="N22" s="1133"/>
      <c r="O22" s="1133"/>
      <c r="P22" s="3346"/>
      <c r="Q22" s="1813"/>
      <c r="R22" s="773"/>
      <c r="S22" s="774"/>
      <c r="T22" s="773"/>
      <c r="U22" s="774"/>
      <c r="V22" s="773"/>
      <c r="W22" s="774"/>
      <c r="X22" s="1816"/>
      <c r="Y22" s="3276"/>
      <c r="Z22" s="1817"/>
      <c r="AA22" s="1814">
        <v>1</v>
      </c>
      <c r="AB22" s="1814">
        <v>1</v>
      </c>
      <c r="AC22" s="1814">
        <v>1</v>
      </c>
    </row>
    <row r="23" spans="1:29" ht="57">
      <c r="A23" s="429"/>
      <c r="B23" s="452" t="s">
        <v>2100</v>
      </c>
      <c r="C23" s="2661"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c r="L23" s="1142"/>
      <c r="M23" s="1133"/>
      <c r="N23" s="1133"/>
      <c r="O23" s="1133"/>
      <c r="P23" s="3346"/>
      <c r="Q23" s="1813" t="str">
        <f>B23</f>
        <v>自然及人文环境</v>
      </c>
      <c r="R23" s="773" t="s">
        <v>17</v>
      </c>
      <c r="S23" s="774">
        <f>F23</f>
        <v>100</v>
      </c>
      <c r="T23" s="773" t="s">
        <v>17</v>
      </c>
      <c r="U23" s="774">
        <f>H23</f>
        <v>100</v>
      </c>
      <c r="V23" s="773" t="s">
        <v>17</v>
      </c>
      <c r="W23" s="774">
        <f>J23</f>
        <v>100</v>
      </c>
      <c r="X23" s="1816"/>
      <c r="Y23" s="3276"/>
      <c r="Z23" s="1817" t="str">
        <f>Q23</f>
        <v>自然及人文环境</v>
      </c>
      <c r="AA23" s="1814">
        <f t="shared" si="3"/>
        <v>1</v>
      </c>
      <c r="AB23" s="1814">
        <f t="shared" si="4"/>
        <v>1</v>
      </c>
      <c r="AC23" s="1814">
        <f t="shared" si="5"/>
        <v>1</v>
      </c>
    </row>
    <row r="24" spans="1:29" ht="15">
      <c r="A24" s="429"/>
      <c r="B24" s="457"/>
      <c r="C24" s="448" t="s">
        <v>3082</v>
      </c>
      <c r="D24" s="449"/>
      <c r="E24" s="2602" t="s">
        <v>3082</v>
      </c>
      <c r="F24" s="450"/>
      <c r="G24" s="2601" t="s">
        <v>3082</v>
      </c>
      <c r="H24" s="449"/>
      <c r="I24" s="2602" t="s">
        <v>3082</v>
      </c>
      <c r="J24" s="449"/>
      <c r="K24" s="616"/>
      <c r="L24" s="1142"/>
      <c r="M24" s="1133"/>
      <c r="N24" s="1133"/>
      <c r="O24" s="1133"/>
      <c r="P24" s="3346"/>
      <c r="Q24" s="1813"/>
      <c r="R24" s="773"/>
      <c r="S24" s="774"/>
      <c r="T24" s="773"/>
      <c r="U24" s="774"/>
      <c r="V24" s="773"/>
      <c r="W24" s="774"/>
      <c r="X24" s="1816"/>
      <c r="Y24" s="3276"/>
      <c r="Z24" s="1817"/>
      <c r="AA24" s="1814">
        <v>1</v>
      </c>
      <c r="AB24" s="1814">
        <v>1</v>
      </c>
      <c r="AC24" s="1814">
        <v>1</v>
      </c>
    </row>
    <row r="25" spans="1:29" ht="15">
      <c r="A25" s="429"/>
      <c r="B25" s="423" t="s">
        <v>2652</v>
      </c>
      <c r="C25" s="617" t="s">
        <v>3098</v>
      </c>
      <c r="D25" s="436">
        <v>100</v>
      </c>
      <c r="E25" s="617" t="s">
        <v>3098</v>
      </c>
      <c r="F25" s="462">
        <f>SUMIF(86:86,E25,87:87)-SUMIF(86:86,C25,87:87)+100</f>
        <v>100</v>
      </c>
      <c r="G25" s="617" t="s">
        <v>3098</v>
      </c>
      <c r="H25" s="436">
        <f>SUMIF(86:86,G25,87:87)-SUMIF(86:86,C25,87:87)+100</f>
        <v>100</v>
      </c>
      <c r="I25" s="617" t="s">
        <v>3098</v>
      </c>
      <c r="J25" s="436">
        <f>SUMIF(86:86,I25,87:87)-SUMIF(86:86,C25,87:87)+100</f>
        <v>100</v>
      </c>
      <c r="K25" s="613"/>
      <c r="L25" s="1142"/>
      <c r="M25" s="1133"/>
      <c r="N25" s="1133"/>
      <c r="O25" s="1133"/>
      <c r="P25" s="3346"/>
      <c r="Q25" s="1813" t="str">
        <f t="shared" ref="Q25:Q46" si="11">B25</f>
        <v>临街状况</v>
      </c>
      <c r="R25" s="773" t="s">
        <v>17</v>
      </c>
      <c r="S25" s="774">
        <f>F25</f>
        <v>100</v>
      </c>
      <c r="T25" s="773" t="s">
        <v>17</v>
      </c>
      <c r="U25" s="774">
        <f>H25</f>
        <v>100</v>
      </c>
      <c r="V25" s="773" t="s">
        <v>17</v>
      </c>
      <c r="W25" s="774">
        <f>J25</f>
        <v>100</v>
      </c>
      <c r="X25" s="1816"/>
      <c r="Y25" s="3276"/>
      <c r="Z25" s="1817" t="str">
        <f>Q25</f>
        <v>临街状况</v>
      </c>
      <c r="AA25" s="1814">
        <f t="shared" si="3"/>
        <v>1</v>
      </c>
      <c r="AB25" s="1814">
        <f t="shared" si="4"/>
        <v>1</v>
      </c>
      <c r="AC25" s="1814">
        <f t="shared" si="5"/>
        <v>1</v>
      </c>
    </row>
    <row r="26" spans="1:29" ht="15">
      <c r="A26" s="429"/>
      <c r="B26" s="2947" t="s">
        <v>3181</v>
      </c>
      <c r="C26" s="2948" t="s">
        <v>3083</v>
      </c>
      <c r="D26" s="436">
        <v>100</v>
      </c>
      <c r="E26" s="2948" t="s">
        <v>3083</v>
      </c>
      <c r="F26" s="462">
        <f>SUMIF(88:88,E26,89:89)-SUMIF(88:88,C26,89:89)+100</f>
        <v>100</v>
      </c>
      <c r="G26" s="2948" t="s">
        <v>3081</v>
      </c>
      <c r="H26" s="436">
        <f>SUMIF(88:88,G26,89:89)-SUMIF(88:88,C26,89:89)+100</f>
        <v>102</v>
      </c>
      <c r="I26" s="2948" t="s">
        <v>3081</v>
      </c>
      <c r="J26" s="436">
        <f>SUMIF(88:88,I26,89:89)-SUMIF(88:88,C26,89:89)+100</f>
        <v>102</v>
      </c>
      <c r="K26" s="614"/>
      <c r="L26" s="1142"/>
      <c r="M26" s="1133"/>
      <c r="N26" s="1133"/>
      <c r="O26" s="1133"/>
      <c r="P26" s="3346"/>
      <c r="Q26" s="1813" t="str">
        <f t="shared" si="11"/>
        <v>可视性</v>
      </c>
      <c r="R26" s="773" t="s">
        <v>17</v>
      </c>
      <c r="S26" s="774">
        <f>F26</f>
        <v>100</v>
      </c>
      <c r="T26" s="773" t="s">
        <v>17</v>
      </c>
      <c r="U26" s="774">
        <f>H26</f>
        <v>102</v>
      </c>
      <c r="V26" s="773" t="s">
        <v>17</v>
      </c>
      <c r="W26" s="774">
        <f>J26</f>
        <v>102</v>
      </c>
      <c r="X26" s="1816"/>
      <c r="Y26" s="3276"/>
      <c r="Z26" s="1817" t="str">
        <f>Q26</f>
        <v>可视性</v>
      </c>
      <c r="AA26" s="1814">
        <f t="shared" si="3"/>
        <v>1</v>
      </c>
      <c r="AB26" s="1814">
        <f t="shared" si="4"/>
        <v>0.98039215686274506</v>
      </c>
      <c r="AC26" s="1814">
        <f t="shared" si="5"/>
        <v>0.98039215686274506</v>
      </c>
    </row>
    <row r="27" spans="1:29" s="117" customFormat="1" ht="15">
      <c r="A27" s="432"/>
      <c r="B27" s="452" t="s">
        <v>2653</v>
      </c>
      <c r="C27" s="2662" t="s">
        <v>3084</v>
      </c>
      <c r="D27" s="463">
        <v>100</v>
      </c>
      <c r="E27" s="2662" t="s">
        <v>3084</v>
      </c>
      <c r="F27" s="465">
        <f>SUMIF(90:90,E27,91:91)-SUMIF(90:90,C27,91:91)+100</f>
        <v>100</v>
      </c>
      <c r="G27" s="2662" t="s">
        <v>3082</v>
      </c>
      <c r="H27" s="463">
        <f>SUMIF(90:90,G27,91:91)-SUMIF(90:90,C27,91:91)+100</f>
        <v>102</v>
      </c>
      <c r="I27" s="2662" t="s">
        <v>3082</v>
      </c>
      <c r="J27" s="463">
        <f>SUMIF(90:90,I27,91:91)-SUMIF(90:90,C27,91:91)+100</f>
        <v>102</v>
      </c>
      <c r="K27" s="613">
        <v>2</v>
      </c>
      <c r="L27" s="1134"/>
      <c r="M27" s="1135"/>
      <c r="N27" s="1135"/>
      <c r="O27" s="1135"/>
      <c r="P27" s="3346"/>
      <c r="Q27" s="1798" t="str">
        <f t="shared" si="11"/>
        <v>人流量</v>
      </c>
      <c r="R27" s="769" t="s">
        <v>17</v>
      </c>
      <c r="S27" s="770">
        <f>F27</f>
        <v>100</v>
      </c>
      <c r="T27" s="769" t="s">
        <v>17</v>
      </c>
      <c r="U27" s="770">
        <f>H27</f>
        <v>102</v>
      </c>
      <c r="V27" s="769" t="s">
        <v>17</v>
      </c>
      <c r="W27" s="770">
        <f>J27</f>
        <v>102</v>
      </c>
      <c r="X27" s="771"/>
      <c r="Y27" s="3276"/>
      <c r="Z27" s="55" t="str">
        <f>Q27</f>
        <v>人流量</v>
      </c>
      <c r="AA27" s="1814">
        <f>D27/F27</f>
        <v>1</v>
      </c>
      <c r="AB27" s="1814">
        <f>D27/H27</f>
        <v>0.98039215686274506</v>
      </c>
      <c r="AC27" s="1814">
        <f>D27/J27</f>
        <v>0.98039215686274506</v>
      </c>
    </row>
    <row r="28" spans="1:29" ht="15.75" thickBot="1">
      <c r="A28" s="429"/>
      <c r="B28" s="423" t="s">
        <v>2654</v>
      </c>
      <c r="C28" s="617" t="s">
        <v>3182</v>
      </c>
      <c r="D28" s="436">
        <v>100</v>
      </c>
      <c r="E28" s="617" t="s">
        <v>3185</v>
      </c>
      <c r="F28" s="462">
        <f>SUMIF(92:92,E28,93:93)-SUMIF(92:92,C28,93:93)+100</f>
        <v>85</v>
      </c>
      <c r="G28" s="617" t="s">
        <v>3185</v>
      </c>
      <c r="H28" s="436">
        <f>SUMIF(92:92,G28,93:93)-SUMIF(92:92,C28,93:93)+100</f>
        <v>85</v>
      </c>
      <c r="I28" s="617" t="s">
        <v>3185</v>
      </c>
      <c r="J28" s="436">
        <f>SUMIF(92:92,I28,93:93)-SUMIF(92:92,C28,93:93)+100</f>
        <v>85</v>
      </c>
      <c r="K28" s="614"/>
      <c r="L28" s="1142"/>
      <c r="M28" s="1133"/>
      <c r="N28" s="1133"/>
      <c r="O28" s="1133"/>
      <c r="P28" s="3346"/>
      <c r="Q28" s="1813" t="str">
        <f t="shared" si="11"/>
        <v>楼层</v>
      </c>
      <c r="R28" s="773" t="s">
        <v>17</v>
      </c>
      <c r="S28" s="774">
        <f t="shared" ref="S28:S46" si="12">F28</f>
        <v>85</v>
      </c>
      <c r="T28" s="773" t="s">
        <v>17</v>
      </c>
      <c r="U28" s="774">
        <f t="shared" ref="U28:U46" si="13">H28</f>
        <v>85</v>
      </c>
      <c r="V28" s="773" t="s">
        <v>17</v>
      </c>
      <c r="W28" s="774">
        <f t="shared" ref="W28:W46" si="14">J28</f>
        <v>85</v>
      </c>
      <c r="X28" s="1816"/>
      <c r="Y28" s="3276"/>
      <c r="Z28" s="1817" t="str">
        <f t="shared" ref="Z28:Z46" si="15">Q28</f>
        <v>楼层</v>
      </c>
      <c r="AA28" s="1814">
        <f t="shared" si="3"/>
        <v>1.1764705882352942</v>
      </c>
      <c r="AB28" s="1814">
        <f t="shared" si="4"/>
        <v>1.1764705882352942</v>
      </c>
      <c r="AC28" s="1814">
        <f t="shared" si="5"/>
        <v>1.1764705882352942</v>
      </c>
    </row>
    <row r="29" spans="1:29" ht="15" hidden="1">
      <c r="A29" s="429"/>
      <c r="B29" s="1388">
        <v>111</v>
      </c>
      <c r="C29" s="435"/>
      <c r="D29" s="436">
        <v>100</v>
      </c>
      <c r="E29" s="435"/>
      <c r="F29" s="462">
        <f>SUMIF(94:94,E29,95:95)-SUMIF(94:94,C29,95:95)+100</f>
        <v>100</v>
      </c>
      <c r="G29" s="435"/>
      <c r="H29" s="436">
        <f>SUMIF(94:94,G29,95:95)-SUMIF(94:94,C29,95:95)+100</f>
        <v>100</v>
      </c>
      <c r="I29" s="435"/>
      <c r="J29" s="436">
        <f>SUMIF(94:94,I29,95:95)-SUMIF(94:94,C29,95:95)+100</f>
        <v>100</v>
      </c>
      <c r="K29" s="614"/>
      <c r="L29" s="1142"/>
      <c r="M29" s="1133"/>
      <c r="N29" s="1133"/>
      <c r="O29" s="1133"/>
      <c r="P29" s="3346"/>
      <c r="Q29" s="1813">
        <f t="shared" si="11"/>
        <v>111</v>
      </c>
      <c r="R29" s="773" t="s">
        <v>17</v>
      </c>
      <c r="S29" s="774">
        <f t="shared" si="12"/>
        <v>100</v>
      </c>
      <c r="T29" s="773" t="s">
        <v>17</v>
      </c>
      <c r="U29" s="774">
        <f t="shared" si="13"/>
        <v>100</v>
      </c>
      <c r="V29" s="773" t="s">
        <v>17</v>
      </c>
      <c r="W29" s="774">
        <f t="shared" si="14"/>
        <v>100</v>
      </c>
      <c r="X29" s="1816"/>
      <c r="Y29" s="3276"/>
      <c r="Z29" s="1817">
        <f t="shared" si="15"/>
        <v>111</v>
      </c>
      <c r="AA29" s="1814">
        <f t="shared" si="3"/>
        <v>1</v>
      </c>
      <c r="AB29" s="1814">
        <f t="shared" si="4"/>
        <v>1</v>
      </c>
      <c r="AC29" s="1814">
        <f t="shared" si="5"/>
        <v>1</v>
      </c>
    </row>
    <row r="30" spans="1:29" ht="15" hidden="1">
      <c r="A30" s="429"/>
      <c r="B30" s="1388">
        <v>111</v>
      </c>
      <c r="C30" s="435"/>
      <c r="D30" s="436">
        <v>100</v>
      </c>
      <c r="E30" s="435"/>
      <c r="F30" s="462">
        <f>SUMIF(96:96,E30,97:97)-SUMIF(96:96,C30,97:97)+100</f>
        <v>100</v>
      </c>
      <c r="G30" s="435"/>
      <c r="H30" s="436">
        <f>SUMIF(96:96,G30,97:97)-SUMIF(96:96,C30,97:97)+100</f>
        <v>100</v>
      </c>
      <c r="I30" s="435"/>
      <c r="J30" s="436">
        <f>SUMIF(96:96,I30,97:97)-SUMIF(96:96,C30,97:97)+100</f>
        <v>100</v>
      </c>
      <c r="K30" s="614"/>
      <c r="L30" s="1142"/>
      <c r="M30" s="1133"/>
      <c r="N30" s="1133"/>
      <c r="O30" s="1133"/>
      <c r="P30" s="3346"/>
      <c r="Q30" s="1813">
        <f t="shared" si="11"/>
        <v>111</v>
      </c>
      <c r="R30" s="773" t="s">
        <v>17</v>
      </c>
      <c r="S30" s="774">
        <f t="shared" si="12"/>
        <v>100</v>
      </c>
      <c r="T30" s="773" t="s">
        <v>17</v>
      </c>
      <c r="U30" s="774">
        <f t="shared" si="13"/>
        <v>100</v>
      </c>
      <c r="V30" s="773" t="s">
        <v>17</v>
      </c>
      <c r="W30" s="774">
        <f t="shared" si="14"/>
        <v>100</v>
      </c>
      <c r="X30" s="1816"/>
      <c r="Y30" s="3276"/>
      <c r="Z30" s="1817">
        <f t="shared" si="15"/>
        <v>111</v>
      </c>
      <c r="AA30" s="1814">
        <f t="shared" si="3"/>
        <v>1</v>
      </c>
      <c r="AB30" s="1814">
        <f t="shared" si="4"/>
        <v>1</v>
      </c>
      <c r="AC30" s="1814">
        <f t="shared" si="5"/>
        <v>1</v>
      </c>
    </row>
    <row r="31" spans="1:29" ht="15.75" hidden="1" thickBot="1">
      <c r="A31" s="437"/>
      <c r="B31" s="1388">
        <v>111</v>
      </c>
      <c r="C31" s="438"/>
      <c r="D31" s="439">
        <v>100</v>
      </c>
      <c r="E31" s="435"/>
      <c r="F31" s="440">
        <f>SUMIF(98:98,E31,99:99)-SUMIF(98:98,C31,99:99)+100</f>
        <v>100</v>
      </c>
      <c r="G31" s="435"/>
      <c r="H31" s="439">
        <f>SUMIF(98:98,G31,99:99)-SUMIF(98:98,C31,99:99)+100</f>
        <v>100</v>
      </c>
      <c r="I31" s="435"/>
      <c r="J31" s="439">
        <f>SUMIF(98:98,I31,99:99)-SUMIF(98:98,C31,99:99)+100</f>
        <v>100</v>
      </c>
      <c r="K31" s="614"/>
      <c r="L31" s="1142"/>
      <c r="M31" s="1133"/>
      <c r="N31" s="1133"/>
      <c r="O31" s="1133"/>
      <c r="P31" s="3346"/>
      <c r="Q31" s="1813">
        <f t="shared" si="11"/>
        <v>111</v>
      </c>
      <c r="R31" s="773" t="s">
        <v>17</v>
      </c>
      <c r="S31" s="774">
        <f t="shared" si="12"/>
        <v>100</v>
      </c>
      <c r="T31" s="773" t="s">
        <v>17</v>
      </c>
      <c r="U31" s="774">
        <f t="shared" si="13"/>
        <v>100</v>
      </c>
      <c r="V31" s="773" t="s">
        <v>17</v>
      </c>
      <c r="W31" s="774">
        <f t="shared" si="14"/>
        <v>100</v>
      </c>
      <c r="X31" s="1816"/>
      <c r="Y31" s="3276"/>
      <c r="Z31" s="1817">
        <f t="shared" si="15"/>
        <v>111</v>
      </c>
      <c r="AA31" s="1814">
        <f t="shared" si="3"/>
        <v>1</v>
      </c>
      <c r="AB31" s="1814">
        <f t="shared" si="4"/>
        <v>1</v>
      </c>
      <c r="AC31" s="1814">
        <f t="shared" si="5"/>
        <v>1</v>
      </c>
    </row>
    <row r="32" spans="1:29" ht="15">
      <c r="A32" s="441" t="s">
        <v>2559</v>
      </c>
      <c r="B32" s="71" t="s">
        <v>2655</v>
      </c>
      <c r="C32" s="2614" t="s">
        <v>3183</v>
      </c>
      <c r="D32" s="468">
        <v>100</v>
      </c>
      <c r="E32" s="2614" t="s">
        <v>3183</v>
      </c>
      <c r="F32" s="462">
        <f>SUMIF(100:100,E32,101:101)-SUMIF(100:100,C32,101:101)+100</f>
        <v>100</v>
      </c>
      <c r="G32" s="2614" t="s">
        <v>3183</v>
      </c>
      <c r="H32" s="436">
        <f>SUMIF(100:100,G32,101:101)-SUMIF(100:100,C32,101:101)+100</f>
        <v>100</v>
      </c>
      <c r="I32" s="2614" t="s">
        <v>3167</v>
      </c>
      <c r="J32" s="468">
        <f>SUMIF(100:100,I32,101:101)-SUMIF(100:100,C32,101:101)+100</f>
        <v>98</v>
      </c>
      <c r="K32" s="613">
        <v>2</v>
      </c>
      <c r="L32" s="1142"/>
      <c r="M32" s="1133"/>
      <c r="N32" s="1133"/>
      <c r="O32" s="1133"/>
      <c r="P32" s="3341" t="s">
        <v>2561</v>
      </c>
      <c r="Q32" s="1813" t="str">
        <f t="shared" si="11"/>
        <v>商业类型</v>
      </c>
      <c r="R32" s="773" t="s">
        <v>17</v>
      </c>
      <c r="S32" s="774">
        <f t="shared" si="12"/>
        <v>100</v>
      </c>
      <c r="T32" s="773" t="s">
        <v>17</v>
      </c>
      <c r="U32" s="774">
        <f t="shared" si="13"/>
        <v>100</v>
      </c>
      <c r="V32" s="773" t="s">
        <v>17</v>
      </c>
      <c r="W32" s="774">
        <f t="shared" si="14"/>
        <v>98</v>
      </c>
      <c r="X32" s="1816"/>
      <c r="Y32" s="3278" t="s">
        <v>2561</v>
      </c>
      <c r="Z32" s="1817" t="str">
        <f t="shared" si="15"/>
        <v>商业类型</v>
      </c>
      <c r="AA32" s="1814">
        <f t="shared" si="3"/>
        <v>1</v>
      </c>
      <c r="AB32" s="1814">
        <f t="shared" si="4"/>
        <v>1</v>
      </c>
      <c r="AC32" s="1814">
        <f t="shared" si="5"/>
        <v>1.0204081632653061</v>
      </c>
    </row>
    <row r="33" spans="1:29" s="472" customFormat="1" ht="15" hidden="1">
      <c r="A33" s="469"/>
      <c r="B33" s="423" t="s">
        <v>2562</v>
      </c>
      <c r="C33" s="470"/>
      <c r="D33" s="136">
        <v>100</v>
      </c>
      <c r="E33" s="431"/>
      <c r="F33" s="426">
        <f>LOOKUP(E33,103:103,104:104)-LOOKUP(C33,103:103,104:104)+100</f>
        <v>100</v>
      </c>
      <c r="G33" s="430"/>
      <c r="H33" s="136">
        <f>LOOKUP(G33,103:103,104:104)-LOOKUP(C33,103:103,104:104)+100</f>
        <v>100</v>
      </c>
      <c r="I33" s="430"/>
      <c r="J33" s="136">
        <f>LOOKUP(I33,103:103,104:104)-LOOKUP(C33,103:103,104:104)+100</f>
        <v>100</v>
      </c>
      <c r="K33" s="614"/>
      <c r="L33" s="1140"/>
      <c r="M33" s="1143"/>
      <c r="N33" s="1143"/>
      <c r="O33" s="1143"/>
      <c r="P33" s="3342"/>
      <c r="Q33" s="775" t="str">
        <f t="shared" si="11"/>
        <v>项目建筑规模</v>
      </c>
      <c r="R33" s="776" t="s">
        <v>17</v>
      </c>
      <c r="S33" s="777">
        <f t="shared" si="12"/>
        <v>100</v>
      </c>
      <c r="T33" s="776" t="s">
        <v>17</v>
      </c>
      <c r="U33" s="777">
        <f t="shared" si="13"/>
        <v>100</v>
      </c>
      <c r="V33" s="776" t="s">
        <v>17</v>
      </c>
      <c r="W33" s="777">
        <f t="shared" si="14"/>
        <v>100</v>
      </c>
      <c r="X33" s="778"/>
      <c r="Y33" s="3278"/>
      <c r="Z33" s="779" t="str">
        <f t="shared" si="15"/>
        <v>项目建筑规模</v>
      </c>
      <c r="AA33" s="1814">
        <f t="shared" si="3"/>
        <v>1</v>
      </c>
      <c r="AB33" s="1814">
        <f t="shared" si="4"/>
        <v>1</v>
      </c>
      <c r="AC33" s="1814">
        <f t="shared" si="5"/>
        <v>1</v>
      </c>
    </row>
    <row r="34" spans="1:29" ht="15">
      <c r="A34" s="473"/>
      <c r="B34" s="423" t="s">
        <v>2563</v>
      </c>
      <c r="C34" s="2616" t="s">
        <v>3111</v>
      </c>
      <c r="D34" s="436">
        <v>100</v>
      </c>
      <c r="E34" s="2616" t="s">
        <v>3111</v>
      </c>
      <c r="F34" s="462">
        <f>SUMIF(105:105,E34,106:106)-SUMIF(105:105,C34,106:106)+100</f>
        <v>100</v>
      </c>
      <c r="G34" s="2616" t="s">
        <v>3111</v>
      </c>
      <c r="H34" s="436">
        <f>SUMIF(105:105,G34,106:106)-SUMIF(105:105,C34,106:106)+100</f>
        <v>100</v>
      </c>
      <c r="I34" s="2616" t="s">
        <v>3111</v>
      </c>
      <c r="J34" s="436">
        <f>SUMIF(105:105,I34,106:106)-SUMIF(105:105,C34,106:106)+100</f>
        <v>100</v>
      </c>
      <c r="K34" s="613"/>
      <c r="L34" s="1142"/>
      <c r="M34" s="1133"/>
      <c r="N34" s="1133"/>
      <c r="O34" s="1133"/>
      <c r="P34" s="3342"/>
      <c r="Q34" s="1813" t="str">
        <f t="shared" si="11"/>
        <v>建筑结构</v>
      </c>
      <c r="R34" s="773" t="s">
        <v>17</v>
      </c>
      <c r="S34" s="774">
        <f t="shared" si="12"/>
        <v>100</v>
      </c>
      <c r="T34" s="773" t="s">
        <v>17</v>
      </c>
      <c r="U34" s="774">
        <f t="shared" si="13"/>
        <v>100</v>
      </c>
      <c r="V34" s="773" t="s">
        <v>17</v>
      </c>
      <c r="W34" s="774">
        <f t="shared" si="14"/>
        <v>100</v>
      </c>
      <c r="X34" s="1816"/>
      <c r="Y34" s="3278"/>
      <c r="Z34" s="1817" t="str">
        <f t="shared" si="15"/>
        <v>建筑结构</v>
      </c>
      <c r="AA34" s="1814">
        <f t="shared" si="3"/>
        <v>1</v>
      </c>
      <c r="AB34" s="1814">
        <f t="shared" si="4"/>
        <v>1</v>
      </c>
      <c r="AC34" s="1814">
        <f t="shared" si="5"/>
        <v>1</v>
      </c>
    </row>
    <row r="35" spans="1:29" ht="15">
      <c r="A35" s="473"/>
      <c r="B35" s="423" t="s">
        <v>2656</v>
      </c>
      <c r="C35" s="2610" t="s">
        <v>3126</v>
      </c>
      <c r="D35" s="436">
        <v>100</v>
      </c>
      <c r="E35" s="2610" t="s">
        <v>3126</v>
      </c>
      <c r="F35" s="462">
        <f>SUMIF(107:107,E35,108:108)-SUMIF(107:107,C35,108:108)+100</f>
        <v>100</v>
      </c>
      <c r="G35" s="2610" t="s">
        <v>3126</v>
      </c>
      <c r="H35" s="436">
        <f>SUMIF(107:107,G35,108:108)-SUMIF(107:107,C35,108:108)+100</f>
        <v>100</v>
      </c>
      <c r="I35" s="2610" t="s">
        <v>3126</v>
      </c>
      <c r="J35" s="436">
        <f>SUMIF(107:107,I35,108:108)-SUMIF(107:107,C35,108:108)+100</f>
        <v>100</v>
      </c>
      <c r="K35" s="613">
        <v>3</v>
      </c>
      <c r="L35" s="1142"/>
      <c r="M35" s="1133"/>
      <c r="N35" s="1133"/>
      <c r="O35" s="1133"/>
      <c r="P35" s="3342"/>
      <c r="Q35" s="1813" t="str">
        <f t="shared" si="11"/>
        <v>公共部分装修</v>
      </c>
      <c r="R35" s="773" t="s">
        <v>17</v>
      </c>
      <c r="S35" s="774">
        <f t="shared" si="12"/>
        <v>100</v>
      </c>
      <c r="T35" s="773" t="s">
        <v>17</v>
      </c>
      <c r="U35" s="774">
        <f t="shared" si="13"/>
        <v>100</v>
      </c>
      <c r="V35" s="773" t="s">
        <v>17</v>
      </c>
      <c r="W35" s="774">
        <f t="shared" si="14"/>
        <v>100</v>
      </c>
      <c r="X35" s="1816"/>
      <c r="Y35" s="3278"/>
      <c r="Z35" s="1817" t="str">
        <f t="shared" si="15"/>
        <v>公共部分装修</v>
      </c>
      <c r="AA35" s="1814">
        <f t="shared" si="3"/>
        <v>1</v>
      </c>
      <c r="AB35" s="1814">
        <f t="shared" si="4"/>
        <v>1</v>
      </c>
      <c r="AC35" s="1814">
        <f t="shared" si="5"/>
        <v>1</v>
      </c>
    </row>
    <row r="36" spans="1:29" ht="15">
      <c r="A36" s="473"/>
      <c r="B36" s="423" t="s">
        <v>2657</v>
      </c>
      <c r="C36" s="475">
        <f>'数据-取费表'!N7</f>
        <v>0.95</v>
      </c>
      <c r="D36" s="436">
        <v>100</v>
      </c>
      <c r="E36" s="475">
        <v>0.95</v>
      </c>
      <c r="F36" s="462">
        <f>LOOKUP(E36,110:110,111:111)-LOOKUP(C36,110:110,111:111)+100</f>
        <v>100</v>
      </c>
      <c r="G36" s="475">
        <v>0.95</v>
      </c>
      <c r="H36" s="462">
        <f>LOOKUP(G36,110:110,111:111)-LOOKUP(C36,110:110,111:111)+100</f>
        <v>100</v>
      </c>
      <c r="I36" s="475">
        <v>0.9</v>
      </c>
      <c r="J36" s="436">
        <f>LOOKUP(I36,110:110,111:111)-LOOKUP(C36,110:110,111:111)+100</f>
        <v>100</v>
      </c>
      <c r="K36" s="613">
        <v>1</v>
      </c>
      <c r="L36" s="1142"/>
      <c r="M36" s="1133"/>
      <c r="N36" s="1133"/>
      <c r="O36" s="1133"/>
      <c r="P36" s="3342"/>
      <c r="Q36" s="1813" t="str">
        <f t="shared" si="11"/>
        <v>成新度</v>
      </c>
      <c r="R36" s="773" t="s">
        <v>17</v>
      </c>
      <c r="S36" s="774">
        <f t="shared" si="12"/>
        <v>100</v>
      </c>
      <c r="T36" s="773" t="s">
        <v>17</v>
      </c>
      <c r="U36" s="774">
        <f t="shared" si="13"/>
        <v>100</v>
      </c>
      <c r="V36" s="773" t="s">
        <v>17</v>
      </c>
      <c r="W36" s="774">
        <f t="shared" si="14"/>
        <v>100</v>
      </c>
      <c r="X36" s="1816"/>
      <c r="Y36" s="3278"/>
      <c r="Z36" s="1817" t="str">
        <f t="shared" si="15"/>
        <v>成新度</v>
      </c>
      <c r="AA36" s="1814">
        <f t="shared" si="3"/>
        <v>1</v>
      </c>
      <c r="AB36" s="1814">
        <f t="shared" si="4"/>
        <v>1</v>
      </c>
      <c r="AC36" s="1814">
        <f t="shared" si="5"/>
        <v>1</v>
      </c>
    </row>
    <row r="37" spans="1:29" s="117" customFormat="1" ht="15">
      <c r="A37" s="474"/>
      <c r="B37" s="423" t="s">
        <v>2658</v>
      </c>
      <c r="C37" s="2610" t="s">
        <v>3088</v>
      </c>
      <c r="D37" s="136">
        <v>100</v>
      </c>
      <c r="E37" s="2610" t="s">
        <v>3088</v>
      </c>
      <c r="F37" s="462">
        <f>SUMIF(112:112,E37,113:113)-SUMIF(112:112,C37,113:113)+100</f>
        <v>100</v>
      </c>
      <c r="G37" s="2610" t="s">
        <v>3088</v>
      </c>
      <c r="H37" s="436">
        <f>SUMIF(112:112,G37,113:113)-SUMIF(112:112,C37,113:113)+100</f>
        <v>100</v>
      </c>
      <c r="I37" s="2610" t="s">
        <v>3088</v>
      </c>
      <c r="J37" s="436">
        <f>SUMIF(112:112,I37,113:113)-SUMIF(112:112,C37,113:113)+100</f>
        <v>100</v>
      </c>
      <c r="K37" s="613"/>
      <c r="L37" s="1134"/>
      <c r="M37" s="1135"/>
      <c r="N37" s="1135"/>
      <c r="O37" s="1135"/>
      <c r="P37" s="3342"/>
      <c r="Q37" s="1798" t="str">
        <f t="shared" si="11"/>
        <v>市政基础设施</v>
      </c>
      <c r="R37" s="769" t="s">
        <v>17</v>
      </c>
      <c r="S37" s="770">
        <f t="shared" si="12"/>
        <v>100</v>
      </c>
      <c r="T37" s="769" t="s">
        <v>17</v>
      </c>
      <c r="U37" s="770">
        <f t="shared" si="13"/>
        <v>100</v>
      </c>
      <c r="V37" s="769" t="s">
        <v>17</v>
      </c>
      <c r="W37" s="770">
        <f t="shared" si="14"/>
        <v>100</v>
      </c>
      <c r="X37" s="771"/>
      <c r="Y37" s="3278"/>
      <c r="Z37" s="55" t="str">
        <f t="shared" si="15"/>
        <v>市政基础设施</v>
      </c>
      <c r="AA37" s="772">
        <f t="shared" si="3"/>
        <v>1</v>
      </c>
      <c r="AB37" s="772">
        <f t="shared" si="4"/>
        <v>1</v>
      </c>
      <c r="AC37" s="772">
        <f t="shared" si="5"/>
        <v>1</v>
      </c>
    </row>
    <row r="38" spans="1:29" ht="15" hidden="1">
      <c r="A38" s="473"/>
      <c r="B38" s="423" t="s">
        <v>2659</v>
      </c>
      <c r="C38" s="2610"/>
      <c r="D38" s="436">
        <v>100</v>
      </c>
      <c r="E38" s="2610"/>
      <c r="F38" s="462">
        <f>SUMIF(114:114,E38,115:115)-SUMIF(114:114,C38,115:115)+100</f>
        <v>100</v>
      </c>
      <c r="G38" s="2610"/>
      <c r="H38" s="436">
        <f>SUMIF(114:114,G38,115:115)-SUMIF(114:114,C38,115:115)+100</f>
        <v>100</v>
      </c>
      <c r="I38" s="2610"/>
      <c r="J38" s="436">
        <f>SUMIF(114:114,I38,115:115)-SUMIF(114:114,C38,115:115)+100</f>
        <v>100</v>
      </c>
      <c r="K38" s="613"/>
      <c r="L38" s="1142"/>
      <c r="M38" s="1133"/>
      <c r="N38" s="1133"/>
      <c r="O38" s="1133"/>
      <c r="P38" s="3342" t="s">
        <v>2561</v>
      </c>
      <c r="Q38" s="1813" t="str">
        <f t="shared" si="11"/>
        <v>业态</v>
      </c>
      <c r="R38" s="773" t="s">
        <v>17</v>
      </c>
      <c r="S38" s="774">
        <f t="shared" si="12"/>
        <v>100</v>
      </c>
      <c r="T38" s="773" t="s">
        <v>17</v>
      </c>
      <c r="U38" s="774">
        <f t="shared" si="13"/>
        <v>100</v>
      </c>
      <c r="V38" s="773" t="s">
        <v>17</v>
      </c>
      <c r="W38" s="774">
        <f t="shared" si="14"/>
        <v>100</v>
      </c>
      <c r="X38" s="1816"/>
      <c r="Y38" s="3278" t="s">
        <v>2561</v>
      </c>
      <c r="Z38" s="1817" t="str">
        <f t="shared" si="15"/>
        <v>业态</v>
      </c>
      <c r="AA38" s="1814">
        <f t="shared" si="3"/>
        <v>1</v>
      </c>
      <c r="AB38" s="1814">
        <f t="shared" si="4"/>
        <v>1</v>
      </c>
      <c r="AC38" s="1814">
        <f t="shared" si="5"/>
        <v>1</v>
      </c>
    </row>
    <row r="39" spans="1:29" ht="15">
      <c r="A39" s="473"/>
      <c r="B39" s="423" t="s">
        <v>2660</v>
      </c>
      <c r="C39" s="2610" t="s">
        <v>3177</v>
      </c>
      <c r="D39" s="436">
        <v>100</v>
      </c>
      <c r="E39" s="2610" t="s">
        <v>3175</v>
      </c>
      <c r="F39" s="462">
        <f>SUMIF(116:116,E39,117:117)-SUMIF(116:116,C39,117:117)+100</f>
        <v>105</v>
      </c>
      <c r="G39" s="2610" t="s">
        <v>3177</v>
      </c>
      <c r="H39" s="436">
        <f>SUMIF(116:116,G39,117:117)-SUMIF(116:116,C39,117:117)+100</f>
        <v>100</v>
      </c>
      <c r="I39" s="2610" t="s">
        <v>3177</v>
      </c>
      <c r="J39" s="436">
        <f>SUMIF(116:116,I39,117:117)-SUMIF(116:116,C39,117:117)+100</f>
        <v>100</v>
      </c>
      <c r="K39" s="613">
        <v>5</v>
      </c>
      <c r="L39" s="1142"/>
      <c r="M39" s="1133"/>
      <c r="N39" s="1133"/>
      <c r="O39" s="1133"/>
      <c r="P39" s="3342"/>
      <c r="Q39" s="1813" t="str">
        <f t="shared" si="11"/>
        <v>层高</v>
      </c>
      <c r="R39" s="773" t="s">
        <v>17</v>
      </c>
      <c r="S39" s="774">
        <f t="shared" si="12"/>
        <v>105</v>
      </c>
      <c r="T39" s="773" t="s">
        <v>17</v>
      </c>
      <c r="U39" s="774">
        <f t="shared" si="13"/>
        <v>100</v>
      </c>
      <c r="V39" s="773" t="s">
        <v>17</v>
      </c>
      <c r="W39" s="774">
        <f t="shared" si="14"/>
        <v>100</v>
      </c>
      <c r="X39" s="1816"/>
      <c r="Y39" s="3278"/>
      <c r="Z39" s="1817" t="str">
        <f t="shared" si="15"/>
        <v>层高</v>
      </c>
      <c r="AA39" s="1814">
        <f t="shared" si="3"/>
        <v>0.95238095238095233</v>
      </c>
      <c r="AB39" s="1814">
        <f t="shared" si="4"/>
        <v>1</v>
      </c>
      <c r="AC39" s="1814">
        <f t="shared" si="5"/>
        <v>1</v>
      </c>
    </row>
    <row r="40" spans="1:29" ht="15">
      <c r="A40" s="473"/>
      <c r="B40" s="3050" t="s">
        <v>2661</v>
      </c>
      <c r="C40" s="3051">
        <f>Sheet1!E20</f>
        <v>1553.07</v>
      </c>
      <c r="D40" s="436">
        <v>100</v>
      </c>
      <c r="E40" s="618">
        <v>245</v>
      </c>
      <c r="F40" s="462">
        <f>SUMIF(118:118,E40,119:119)-SUMIF(118:118,C40,119:119)+100</f>
        <v>104</v>
      </c>
      <c r="G40" s="618">
        <v>100</v>
      </c>
      <c r="H40" s="436">
        <f>SUMIF(118:118,G40,119:119)-SUMIF(118:118,C40,119:119)+100</f>
        <v>104</v>
      </c>
      <c r="I40" s="618">
        <v>144</v>
      </c>
      <c r="J40" s="436">
        <f>SUMIF(118:118,I40,119:119)-SUMIF(118:118,C40,119:119)+100</f>
        <v>104</v>
      </c>
      <c r="K40" s="614"/>
      <c r="L40" s="1142"/>
      <c r="M40" s="1133"/>
      <c r="N40" s="1133"/>
      <c r="O40" s="1133"/>
      <c r="P40" s="3342"/>
      <c r="Q40" s="1813" t="str">
        <f t="shared" si="11"/>
        <v>单套建筑面积</v>
      </c>
      <c r="R40" s="773" t="s">
        <v>17</v>
      </c>
      <c r="S40" s="774">
        <f t="shared" si="12"/>
        <v>104</v>
      </c>
      <c r="T40" s="773" t="s">
        <v>17</v>
      </c>
      <c r="U40" s="774">
        <f t="shared" si="13"/>
        <v>104</v>
      </c>
      <c r="V40" s="773" t="s">
        <v>17</v>
      </c>
      <c r="W40" s="774">
        <f t="shared" si="14"/>
        <v>104</v>
      </c>
      <c r="X40" s="1816"/>
      <c r="Y40" s="3278"/>
      <c r="Z40" s="1817" t="str">
        <f t="shared" si="15"/>
        <v>单套建筑面积</v>
      </c>
      <c r="AA40" s="1814">
        <f t="shared" si="3"/>
        <v>0.96153846153846156</v>
      </c>
      <c r="AB40" s="1814">
        <f t="shared" si="4"/>
        <v>0.96153846153846156</v>
      </c>
      <c r="AC40" s="1814">
        <f t="shared" si="5"/>
        <v>0.96153846153846156</v>
      </c>
    </row>
    <row r="41" spans="1:29" s="472" customFormat="1" ht="15">
      <c r="A41" s="469"/>
      <c r="B41" s="1815" t="s">
        <v>2662</v>
      </c>
      <c r="C41" s="617" t="s">
        <v>3080</v>
      </c>
      <c r="D41" s="436">
        <v>100</v>
      </c>
      <c r="E41" s="617" t="s">
        <v>3080</v>
      </c>
      <c r="F41" s="462">
        <f>SUMIF(120:120,E41,121:121)-SUMIF(120:120,C41,121:121)+100</f>
        <v>100</v>
      </c>
      <c r="G41" s="617" t="s">
        <v>3080</v>
      </c>
      <c r="H41" s="436">
        <f>SUMIF(120:120,G41,121:121)-SUMIF(120:120,C41,121:121)+100</f>
        <v>100</v>
      </c>
      <c r="I41" s="617" t="s">
        <v>3080</v>
      </c>
      <c r="J41" s="436">
        <f>SUMIF(120:120,I41,121:121)-SUMIF(120:120,C41,121:121)+100</f>
        <v>100</v>
      </c>
      <c r="K41" s="613"/>
      <c r="L41" s="1140"/>
      <c r="M41" s="1143"/>
      <c r="N41" s="1143"/>
      <c r="O41" s="1143"/>
      <c r="P41" s="3342"/>
      <c r="Q41" s="775" t="str">
        <f t="shared" si="11"/>
        <v>进深比</v>
      </c>
      <c r="R41" s="776" t="s">
        <v>17</v>
      </c>
      <c r="S41" s="777">
        <f t="shared" si="12"/>
        <v>100</v>
      </c>
      <c r="T41" s="776" t="s">
        <v>17</v>
      </c>
      <c r="U41" s="777">
        <f t="shared" si="13"/>
        <v>100</v>
      </c>
      <c r="V41" s="776" t="s">
        <v>17</v>
      </c>
      <c r="W41" s="777">
        <f t="shared" si="14"/>
        <v>100</v>
      </c>
      <c r="X41" s="778"/>
      <c r="Y41" s="3278"/>
      <c r="Z41" s="779" t="str">
        <f t="shared" si="15"/>
        <v>进深比</v>
      </c>
      <c r="AA41" s="1814">
        <f t="shared" si="3"/>
        <v>1</v>
      </c>
      <c r="AB41" s="1814">
        <f t="shared" si="4"/>
        <v>1</v>
      </c>
      <c r="AC41" s="1814">
        <f t="shared" si="5"/>
        <v>1</v>
      </c>
    </row>
    <row r="42" spans="1:29" ht="15">
      <c r="A42" s="473"/>
      <c r="B42" s="423" t="s">
        <v>2663</v>
      </c>
      <c r="C42" s="3052" t="s">
        <v>3128</v>
      </c>
      <c r="D42" s="436">
        <v>100</v>
      </c>
      <c r="E42" s="2610" t="s">
        <v>3128</v>
      </c>
      <c r="F42" s="462">
        <f>SUMIF(122:122,E42,123:123)-SUMIF(122:122,C42,123:123)+100</f>
        <v>100</v>
      </c>
      <c r="G42" s="2610" t="s">
        <v>3126</v>
      </c>
      <c r="H42" s="436">
        <f>SUMIF(122:122,G42,123:123)-SUMIF(122:122,C42,123:123)+100</f>
        <v>102</v>
      </c>
      <c r="I42" s="2610" t="s">
        <v>3126</v>
      </c>
      <c r="J42" s="436">
        <f>SUMIF(122:122,I42,123:123)-SUMIF(122:122,C42,123:123)+100</f>
        <v>102</v>
      </c>
      <c r="K42" s="613">
        <v>2</v>
      </c>
      <c r="L42" s="1142"/>
      <c r="M42" s="1133"/>
      <c r="N42" s="1133"/>
      <c r="O42" s="1133"/>
      <c r="P42" s="3342"/>
      <c r="Q42" s="1813" t="str">
        <f t="shared" si="11"/>
        <v>内部装修</v>
      </c>
      <c r="R42" s="773" t="s">
        <v>17</v>
      </c>
      <c r="S42" s="774">
        <f t="shared" si="12"/>
        <v>100</v>
      </c>
      <c r="T42" s="773" t="s">
        <v>17</v>
      </c>
      <c r="U42" s="774">
        <f t="shared" si="13"/>
        <v>102</v>
      </c>
      <c r="V42" s="773" t="s">
        <v>17</v>
      </c>
      <c r="W42" s="774">
        <f t="shared" si="14"/>
        <v>102</v>
      </c>
      <c r="X42" s="1816"/>
      <c r="Y42" s="3278"/>
      <c r="Z42" s="1817" t="str">
        <f t="shared" si="15"/>
        <v>内部装修</v>
      </c>
      <c r="AA42" s="1814">
        <f t="shared" si="3"/>
        <v>1</v>
      </c>
      <c r="AB42" s="1814">
        <f t="shared" si="4"/>
        <v>0.98039215686274506</v>
      </c>
      <c r="AC42" s="1814">
        <f t="shared" si="5"/>
        <v>0.98039215686274506</v>
      </c>
    </row>
    <row r="43" spans="1:29" ht="15.75" thickBot="1">
      <c r="A43" s="473"/>
      <c r="B43" s="423" t="s">
        <v>2572</v>
      </c>
      <c r="C43" s="2610" t="s">
        <v>3080</v>
      </c>
      <c r="D43" s="436">
        <v>100</v>
      </c>
      <c r="E43" s="2610" t="s">
        <v>3080</v>
      </c>
      <c r="F43" s="462">
        <f>SUMIF(124:124,E43,125:125)-SUMIF(124:124,C43,125:125)+100</f>
        <v>100</v>
      </c>
      <c r="G43" s="2610" t="s">
        <v>3080</v>
      </c>
      <c r="H43" s="436">
        <f>SUMIF(124:124,G43,125:125)-SUMIF(124:124,C43,125:125)+100</f>
        <v>100</v>
      </c>
      <c r="I43" s="2610" t="s">
        <v>3080</v>
      </c>
      <c r="J43" s="436">
        <f>SUMIF(124:124,I43,125:125)-SUMIF(124:124,C43,125:125)+100</f>
        <v>100</v>
      </c>
      <c r="K43" s="613"/>
      <c r="L43" s="1142"/>
      <c r="M43" s="1133"/>
      <c r="N43" s="1133"/>
      <c r="O43" s="1133"/>
      <c r="P43" s="3342"/>
      <c r="Q43" s="1813" t="str">
        <f t="shared" si="11"/>
        <v>内部装修维护情况</v>
      </c>
      <c r="R43" s="773" t="s">
        <v>17</v>
      </c>
      <c r="S43" s="774">
        <f t="shared" si="12"/>
        <v>100</v>
      </c>
      <c r="T43" s="773" t="s">
        <v>17</v>
      </c>
      <c r="U43" s="774">
        <f t="shared" si="13"/>
        <v>100</v>
      </c>
      <c r="V43" s="773" t="s">
        <v>17</v>
      </c>
      <c r="W43" s="774">
        <f t="shared" si="14"/>
        <v>100</v>
      </c>
      <c r="X43" s="1816"/>
      <c r="Y43" s="3278"/>
      <c r="Z43" s="1817" t="str">
        <f t="shared" si="15"/>
        <v>内部装修维护情况</v>
      </c>
      <c r="AA43" s="1814">
        <f t="shared" si="3"/>
        <v>1</v>
      </c>
      <c r="AB43" s="1814">
        <f t="shared" si="4"/>
        <v>1</v>
      </c>
      <c r="AC43" s="1814">
        <f t="shared" si="5"/>
        <v>1</v>
      </c>
    </row>
    <row r="44" spans="1:29" s="117" customFormat="1" ht="15" hidden="1">
      <c r="A44" s="474"/>
      <c r="B44" s="1388">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4"/>
      <c r="M44" s="1135"/>
      <c r="N44" s="1135"/>
      <c r="O44" s="1135"/>
      <c r="P44" s="3342"/>
      <c r="Q44" s="1798">
        <f t="shared" si="11"/>
        <v>111</v>
      </c>
      <c r="R44" s="769" t="s">
        <v>17</v>
      </c>
      <c r="S44" s="770">
        <f t="shared" si="12"/>
        <v>100</v>
      </c>
      <c r="T44" s="769" t="s">
        <v>17</v>
      </c>
      <c r="U44" s="770">
        <f t="shared" si="13"/>
        <v>100</v>
      </c>
      <c r="V44" s="769" t="s">
        <v>17</v>
      </c>
      <c r="W44" s="770">
        <f t="shared" si="14"/>
        <v>100</v>
      </c>
      <c r="X44" s="771"/>
      <c r="Y44" s="3278"/>
      <c r="Z44" s="55">
        <f t="shared" si="15"/>
        <v>111</v>
      </c>
      <c r="AA44" s="772">
        <f t="shared" si="3"/>
        <v>1</v>
      </c>
      <c r="AB44" s="772">
        <f t="shared" si="4"/>
        <v>1</v>
      </c>
      <c r="AC44" s="772">
        <f t="shared" si="5"/>
        <v>1</v>
      </c>
    </row>
    <row r="45" spans="1:29" ht="15" hidden="1">
      <c r="A45" s="473"/>
      <c r="B45" s="1388">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2"/>
      <c r="M45" s="1133"/>
      <c r="N45" s="1133"/>
      <c r="O45" s="1133"/>
      <c r="P45" s="3342"/>
      <c r="Q45" s="1813">
        <f t="shared" si="11"/>
        <v>111</v>
      </c>
      <c r="R45" s="773" t="s">
        <v>17</v>
      </c>
      <c r="S45" s="774">
        <f t="shared" si="12"/>
        <v>100</v>
      </c>
      <c r="T45" s="773" t="s">
        <v>17</v>
      </c>
      <c r="U45" s="774">
        <f t="shared" si="13"/>
        <v>100</v>
      </c>
      <c r="V45" s="773" t="s">
        <v>17</v>
      </c>
      <c r="W45" s="774">
        <f t="shared" si="14"/>
        <v>100</v>
      </c>
      <c r="X45" s="1816"/>
      <c r="Y45" s="3278"/>
      <c r="Z45" s="1817">
        <f t="shared" si="15"/>
        <v>111</v>
      </c>
      <c r="AA45" s="1814">
        <f t="shared" si="3"/>
        <v>1</v>
      </c>
      <c r="AB45" s="1814">
        <f t="shared" si="4"/>
        <v>1</v>
      </c>
      <c r="AC45" s="1814">
        <f t="shared" si="5"/>
        <v>1</v>
      </c>
    </row>
    <row r="46" spans="1:29" ht="15.75" hidden="1" thickBot="1">
      <c r="A46" s="479"/>
      <c r="B46" s="2599">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2"/>
      <c r="M46" s="1133"/>
      <c r="N46" s="1133"/>
      <c r="O46" s="1133"/>
      <c r="P46" s="3343"/>
      <c r="Q46" s="1813">
        <f t="shared" si="11"/>
        <v>111</v>
      </c>
      <c r="R46" s="773" t="s">
        <v>17</v>
      </c>
      <c r="S46" s="774">
        <f t="shared" si="12"/>
        <v>100</v>
      </c>
      <c r="T46" s="773" t="s">
        <v>17</v>
      </c>
      <c r="U46" s="774">
        <f t="shared" si="13"/>
        <v>100</v>
      </c>
      <c r="V46" s="773" t="s">
        <v>17</v>
      </c>
      <c r="W46" s="774">
        <f t="shared" si="14"/>
        <v>100</v>
      </c>
      <c r="X46" s="1816"/>
      <c r="Y46" s="3344"/>
      <c r="Z46" s="1817">
        <f t="shared" si="15"/>
        <v>111</v>
      </c>
      <c r="AA46" s="1814">
        <f t="shared" si="3"/>
        <v>1</v>
      </c>
      <c r="AB46" s="1814">
        <f t="shared" si="4"/>
        <v>1</v>
      </c>
      <c r="AC46" s="1814">
        <f t="shared" si="5"/>
        <v>1</v>
      </c>
    </row>
    <row r="47" spans="1:29" ht="15">
      <c r="A47" s="480" t="s">
        <v>2573</v>
      </c>
      <c r="B47" s="481"/>
      <c r="C47" s="1409" t="s">
        <v>1</v>
      </c>
      <c r="D47" s="1410"/>
      <c r="E47" s="1411">
        <f>ROUND(18000*0.95,0)</f>
        <v>17100</v>
      </c>
      <c r="F47" s="1412"/>
      <c r="G47" s="1413">
        <f>ROUND(17500*0.98,0)</f>
        <v>17150</v>
      </c>
      <c r="H47" s="1414"/>
      <c r="I47" s="1411">
        <v>17013</v>
      </c>
      <c r="J47" s="1414"/>
      <c r="K47" s="782"/>
      <c r="L47" s="1145"/>
      <c r="M47" s="1146"/>
      <c r="N47" s="1133"/>
      <c r="O47" s="1146"/>
      <c r="P47" s="3273" t="str">
        <f>A47</f>
        <v>成交单价（元/平方米）</v>
      </c>
      <c r="Q47" s="3273"/>
      <c r="R47" s="3279">
        <f>E47</f>
        <v>17100</v>
      </c>
      <c r="S47" s="3279"/>
      <c r="T47" s="3279">
        <f>G47</f>
        <v>17150</v>
      </c>
      <c r="U47" s="3279"/>
      <c r="V47" s="3279">
        <f>I47</f>
        <v>17013</v>
      </c>
      <c r="W47" s="3279"/>
      <c r="X47" s="758"/>
      <c r="Y47" s="780"/>
      <c r="Z47" s="758"/>
      <c r="AA47" s="758"/>
      <c r="AB47" s="758"/>
      <c r="AC47" s="758"/>
    </row>
    <row r="48" spans="1:29" ht="15.75" thickBot="1">
      <c r="A48" s="487" t="s">
        <v>2664</v>
      </c>
      <c r="B48" s="488"/>
      <c r="C48" s="1415">
        <f>R49</f>
        <v>18403</v>
      </c>
      <c r="D48" s="1416"/>
      <c r="E48" s="1417">
        <f>R48</f>
        <v>18423</v>
      </c>
      <c r="F48" s="1417"/>
      <c r="G48" s="1415">
        <f>T48</f>
        <v>18281</v>
      </c>
      <c r="H48" s="1416"/>
      <c r="I48" s="1417">
        <f>V48</f>
        <v>18506</v>
      </c>
      <c r="J48" s="1416"/>
      <c r="K48" s="783"/>
      <c r="L48" s="1145"/>
      <c r="M48" s="1146"/>
      <c r="N48" s="1133"/>
      <c r="O48" s="1146"/>
      <c r="P48" s="3273" t="str">
        <f>A48</f>
        <v>比较价值（元/平方米）</v>
      </c>
      <c r="Q48" s="3273"/>
      <c r="R48" s="3340">
        <f>IF(F1="售价",ROUND(PRODUCT(R47,AA7:AA46),0),ROUND(PRODUCT(R47,AA7:AA46),1))</f>
        <v>18423</v>
      </c>
      <c r="S48" s="3340"/>
      <c r="T48" s="3340">
        <f>IF(F1="售价",ROUND(PRODUCT(T47,AB7:AB46),0),ROUND(PRODUCT(T47,AB7:AB46),1))</f>
        <v>18281</v>
      </c>
      <c r="U48" s="3340"/>
      <c r="V48" s="3340">
        <f>IF(F1="售价",ROUND(PRODUCT(V47,AC7:AC46),0),ROUND(PRODUCT(V47,AC7:AC46),1))</f>
        <v>18506</v>
      </c>
      <c r="W48" s="3340"/>
      <c r="X48" s="758"/>
      <c r="Y48" s="758"/>
      <c r="Z48" s="758"/>
      <c r="AA48" s="758"/>
      <c r="AB48" s="758"/>
      <c r="AC48" s="758"/>
    </row>
    <row r="49" spans="1:29" ht="15.75" thickBot="1">
      <c r="A49" s="493" t="s">
        <v>2665</v>
      </c>
      <c r="B49" s="494"/>
      <c r="C49" s="1419">
        <f>R49</f>
        <v>18403</v>
      </c>
      <c r="D49" s="1419"/>
      <c r="E49" s="1419"/>
      <c r="F49" s="1419"/>
      <c r="G49" s="1419"/>
      <c r="H49" s="1419"/>
      <c r="I49" s="1419"/>
      <c r="J49" s="1419"/>
      <c r="K49" s="784"/>
      <c r="L49" s="1145"/>
      <c r="M49" s="1146"/>
      <c r="N49" s="1133"/>
      <c r="O49" s="1146"/>
      <c r="P49" s="3267" t="str">
        <f>A49</f>
        <v>估价对象XX用房的比较价值（楼面单价，元/平方米）</v>
      </c>
      <c r="Q49" s="3268"/>
      <c r="R49" s="3339">
        <f>IF(F1="售价",ROUND(AVERAGE(R48:V48),0),ROUND(AVERAGE(R48:V48),1))</f>
        <v>18403</v>
      </c>
      <c r="S49" s="3339"/>
      <c r="T49" s="3339"/>
      <c r="U49" s="3339"/>
      <c r="V49" s="3339"/>
      <c r="W49" s="3339"/>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5"/>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5"/>
      <c r="Q51" s="758"/>
      <c r="R51" s="758"/>
      <c r="S51" s="758"/>
      <c r="T51" s="758"/>
      <c r="U51" s="758"/>
      <c r="V51" s="758"/>
      <c r="W51" s="758"/>
      <c r="X51" s="758"/>
      <c r="Y51" s="758"/>
      <c r="Z51" s="758"/>
      <c r="AA51" s="758"/>
      <c r="AB51" s="758"/>
      <c r="AC51" s="758"/>
    </row>
    <row r="52" spans="1:29" ht="13.5" customHeight="1">
      <c r="A52" s="1146"/>
      <c r="B52" s="1146"/>
      <c r="C52" s="498" t="s">
        <v>2666</v>
      </c>
      <c r="D52" s="499"/>
      <c r="E52" s="500">
        <f>IF(E47&lt;E48,E48/E47-1,E47/E48-1)</f>
        <v>7.7368421052631531E-2</v>
      </c>
      <c r="F52" s="501" t="str">
        <f>IF(OR(E52&gt;=0.3,E52&lt;=-0.3),"超过30%","")</f>
        <v/>
      </c>
      <c r="G52" s="500">
        <f>IF(G47&lt;G48,G48/G47-1,G47/G48-1)</f>
        <v>6.5947521865889147E-2</v>
      </c>
      <c r="H52" s="501" t="str">
        <f>IF(OR(G52&gt;=0.3,G52&lt;=-0.3),"超过30%","")</f>
        <v/>
      </c>
      <c r="I52" s="500">
        <f>IF(I47&lt;I48,I48/I47-1,I47/I48-1)</f>
        <v>8.7756421559983533E-2</v>
      </c>
      <c r="J52" s="501" t="str">
        <f>IF(OR(I52&gt;=0.3,I52&lt;=-0.3),"超过30%","")</f>
        <v/>
      </c>
      <c r="K52" s="1107"/>
      <c r="L52" s="1108"/>
      <c r="M52" s="1146"/>
      <c r="N52" s="1146"/>
      <c r="O52" s="1146"/>
      <c r="P52" s="675"/>
      <c r="Q52" s="758"/>
      <c r="R52" s="758"/>
      <c r="S52" s="758"/>
      <c r="T52" s="758"/>
      <c r="U52" s="758"/>
      <c r="V52" s="758"/>
      <c r="W52" s="758"/>
      <c r="X52" s="758"/>
      <c r="Y52" s="758"/>
      <c r="Z52" s="758"/>
      <c r="AA52" s="758"/>
      <c r="AB52" s="758"/>
      <c r="AC52" s="758"/>
    </row>
    <row r="53" spans="1:29" ht="13.5" customHeight="1">
      <c r="A53" s="1146"/>
      <c r="B53" s="1146"/>
      <c r="C53" s="498" t="s">
        <v>2667</v>
      </c>
      <c r="D53" s="502"/>
      <c r="E53" s="500">
        <f>IF(E48&lt;G48,G48/E48-1,E48/G48-1)</f>
        <v>7.767627591488413E-3</v>
      </c>
      <c r="F53" s="501" t="str">
        <f>IF(OR(E53&gt;=0.2,E53&lt;=-0.2),"超过20%","")</f>
        <v/>
      </c>
      <c r="G53" s="500">
        <f>IF(G48&lt;I48,I48/G48-1,G48/I48-1)</f>
        <v>1.2307860620316191E-2</v>
      </c>
      <c r="H53" s="501" t="str">
        <f>IF(OR(G53&gt;=0.2,G53&lt;=-0.2),"超过20%","")</f>
        <v/>
      </c>
      <c r="I53" s="500">
        <f>IF(I48&lt;E48,E48/I48-1,I48/E48-1)</f>
        <v>4.5052380176953122E-3</v>
      </c>
      <c r="J53" s="501" t="str">
        <f>IF(OR(I53&gt;=0.2,I53&lt;=-0.2),"超过20%","")</f>
        <v/>
      </c>
      <c r="K53" s="1107"/>
      <c r="L53" s="1108"/>
      <c r="M53" s="1146"/>
      <c r="N53" s="1146"/>
      <c r="O53" s="1146"/>
      <c r="P53" s="675"/>
      <c r="Q53" s="758"/>
      <c r="R53" s="758"/>
      <c r="S53" s="758"/>
      <c r="T53" s="758"/>
      <c r="U53" s="758"/>
      <c r="V53" s="758"/>
      <c r="W53" s="758"/>
      <c r="X53" s="758"/>
      <c r="Y53" s="758"/>
      <c r="Z53" s="758"/>
      <c r="AA53" s="758"/>
      <c r="AB53" s="758"/>
      <c r="AC53" s="758"/>
    </row>
    <row r="54" spans="1:29" s="503" customFormat="1" ht="13.5" customHeight="1">
      <c r="A54" s="1147"/>
      <c r="B54" s="1147"/>
      <c r="C54" s="498" t="s">
        <v>2668</v>
      </c>
      <c r="D54" s="502"/>
      <c r="E54" s="500">
        <f>IF(E47&lt;G47,G47/E47-1,E47/G47-1)</f>
        <v>2.9239766081872176E-3</v>
      </c>
      <c r="F54" s="501" t="str">
        <f>IF(OR(E54&gt;=0.3,E54&lt;=-0.3),"超过30%","")</f>
        <v/>
      </c>
      <c r="G54" s="500">
        <f>IF(G47&lt;I47,I47/G47-1,G47/I47-1)</f>
        <v>8.0526656086521431E-3</v>
      </c>
      <c r="H54" s="501" t="str">
        <f>IF(OR(G54&gt;=0.3,G54&lt;=-0.3),"超过30%","")</f>
        <v/>
      </c>
      <c r="I54" s="500">
        <f>IF(I47&lt;E47,E47/I47-1,I47/E47-1)</f>
        <v>5.1137365543996172E-3</v>
      </c>
      <c r="J54" s="501" t="str">
        <f>IF(OR(I54&gt;=0.3,I54&lt;=-0.3),"超过30%","")</f>
        <v/>
      </c>
      <c r="K54" s="1150"/>
      <c r="L54" s="1151"/>
      <c r="M54" s="1147"/>
      <c r="N54" s="1147"/>
      <c r="O54" s="1147"/>
      <c r="P54" s="2663"/>
      <c r="Q54" s="759"/>
      <c r="R54" s="759"/>
      <c r="S54" s="759"/>
      <c r="T54" s="759"/>
      <c r="U54" s="759"/>
      <c r="V54" s="759"/>
      <c r="W54" s="759"/>
      <c r="X54" s="759"/>
      <c r="Y54" s="759"/>
      <c r="Z54" s="759"/>
      <c r="AA54" s="759"/>
      <c r="AB54" s="759"/>
      <c r="AC54" s="759"/>
    </row>
    <row r="55" spans="1:29" s="503" customFormat="1">
      <c r="A55" s="1147"/>
      <c r="B55" s="1148"/>
      <c r="C55" s="1152"/>
      <c r="D55" s="1147"/>
      <c r="E55" s="1147"/>
      <c r="F55" s="1147"/>
      <c r="G55" s="1147"/>
      <c r="H55" s="1147"/>
      <c r="I55" s="1147"/>
      <c r="J55" s="1147"/>
      <c r="K55" s="1150"/>
      <c r="L55" s="1151"/>
      <c r="M55" s="1147"/>
      <c r="N55" s="1147"/>
      <c r="O55" s="1147"/>
      <c r="P55" s="2663"/>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5"/>
      <c r="Q56" s="758"/>
      <c r="R56" s="758"/>
      <c r="S56" s="758"/>
      <c r="T56" s="758"/>
      <c r="U56" s="758"/>
      <c r="V56" s="758"/>
      <c r="W56" s="758"/>
      <c r="X56" s="758"/>
      <c r="Y56" s="758"/>
      <c r="Z56" s="758"/>
      <c r="AA56" s="758"/>
      <c r="AB56" s="758"/>
      <c r="AC56" s="758"/>
    </row>
    <row r="57" spans="1:29" ht="21.75" thickBot="1">
      <c r="A57" s="762" t="s">
        <v>2669</v>
      </c>
      <c r="B57" s="758"/>
      <c r="C57" s="763"/>
      <c r="D57" s="763"/>
      <c r="E57" s="763"/>
      <c r="F57" s="764"/>
      <c r="G57" s="764"/>
      <c r="H57" s="763"/>
      <c r="I57" s="763"/>
      <c r="J57" s="763"/>
      <c r="K57" s="765"/>
      <c r="L57" s="1163"/>
      <c r="M57" s="1161"/>
      <c r="N57" s="1161"/>
      <c r="O57" s="1161"/>
      <c r="P57" s="2664"/>
      <c r="Q57" s="2665"/>
      <c r="R57" s="758"/>
      <c r="S57" s="758"/>
      <c r="T57" s="758"/>
      <c r="U57" s="758"/>
      <c r="V57" s="758"/>
      <c r="W57" s="758"/>
      <c r="X57" s="758"/>
      <c r="Y57" s="758"/>
      <c r="Z57" s="758"/>
      <c r="AA57" s="758"/>
      <c r="AB57" s="758"/>
      <c r="AC57" s="758"/>
    </row>
    <row r="58" spans="1:29" s="509" customFormat="1" ht="15">
      <c r="A58" s="506" t="s">
        <v>2544</v>
      </c>
      <c r="B58" s="507"/>
      <c r="C58" s="1577" t="str">
        <f>YEAR(C7)&amp;"-"&amp;MONTH(C7)</f>
        <v>2017-11</v>
      </c>
      <c r="D58" s="1578">
        <f>EDATE(C58,-1)</f>
        <v>43009</v>
      </c>
      <c r="E58" s="1578">
        <f t="shared" ref="E58:N58" si="16">EDATE(D58,-1)</f>
        <v>42979</v>
      </c>
      <c r="F58" s="1578">
        <f t="shared" si="16"/>
        <v>42948</v>
      </c>
      <c r="G58" s="1578">
        <f t="shared" si="16"/>
        <v>42917</v>
      </c>
      <c r="H58" s="1578">
        <f t="shared" si="16"/>
        <v>42887</v>
      </c>
      <c r="I58" s="1578">
        <f t="shared" si="16"/>
        <v>42856</v>
      </c>
      <c r="J58" s="1578">
        <f t="shared" si="16"/>
        <v>42826</v>
      </c>
      <c r="K58" s="1578">
        <f t="shared" si="16"/>
        <v>42795</v>
      </c>
      <c r="L58" s="1578">
        <f t="shared" si="16"/>
        <v>42767</v>
      </c>
      <c r="M58" s="1578">
        <f t="shared" si="16"/>
        <v>42736</v>
      </c>
      <c r="N58" s="1578">
        <f t="shared" si="16"/>
        <v>42705</v>
      </c>
      <c r="O58" s="1578">
        <f>EDATE(N58,-1)</f>
        <v>42675</v>
      </c>
      <c r="P58" s="1573"/>
    </row>
    <row r="59" spans="1:29" s="117" customFormat="1" ht="15">
      <c r="A59" s="510"/>
      <c r="B59" s="511"/>
      <c r="C59" s="1576">
        <v>100</v>
      </c>
      <c r="D59" s="513"/>
      <c r="E59" s="513"/>
      <c r="F59" s="513"/>
      <c r="G59" s="513"/>
      <c r="H59" s="513"/>
      <c r="I59" s="513"/>
      <c r="J59" s="513"/>
      <c r="K59" s="513"/>
      <c r="L59" s="513"/>
      <c r="M59" s="514"/>
      <c r="N59" s="513"/>
      <c r="O59" s="514"/>
      <c r="P59" s="2625"/>
    </row>
    <row r="60" spans="1:29" s="117" customFormat="1" ht="15.75" thickBot="1">
      <c r="A60" s="516" t="s">
        <v>2581</v>
      </c>
      <c r="B60" s="517"/>
      <c r="C60" s="518"/>
      <c r="D60" s="519"/>
      <c r="E60" s="519"/>
      <c r="F60" s="519"/>
      <c r="G60" s="519"/>
      <c r="H60" s="519"/>
      <c r="I60" s="519"/>
      <c r="J60" s="519"/>
      <c r="K60" s="519"/>
      <c r="L60" s="519"/>
      <c r="M60" s="520"/>
      <c r="N60" s="519"/>
      <c r="O60" s="520"/>
      <c r="P60" s="2625"/>
      <c r="Q60" s="505"/>
    </row>
    <row r="61" spans="1:29" s="117" customFormat="1" ht="15">
      <c r="A61" s="522" t="s">
        <v>2546</v>
      </c>
      <c r="B61" s="511"/>
      <c r="C61" s="523" t="s">
        <v>2648</v>
      </c>
      <c r="D61" s="524"/>
      <c r="E61" s="524"/>
      <c r="F61" s="524"/>
      <c r="G61" s="524"/>
      <c r="H61" s="524"/>
      <c r="I61" s="524"/>
      <c r="J61" s="524"/>
      <c r="K61" s="524"/>
      <c r="L61" s="525"/>
      <c r="M61" s="526"/>
      <c r="N61" s="1153"/>
      <c r="O61" s="1153"/>
      <c r="P61" s="2626"/>
      <c r="Q61" s="505"/>
    </row>
    <row r="62" spans="1:29" s="117" customFormat="1" ht="15.75" thickBot="1">
      <c r="A62" s="522"/>
      <c r="B62" s="511"/>
      <c r="C62" s="512">
        <v>100</v>
      </c>
      <c r="D62" s="513"/>
      <c r="E62" s="513"/>
      <c r="F62" s="513"/>
      <c r="G62" s="513"/>
      <c r="H62" s="513"/>
      <c r="I62" s="513"/>
      <c r="J62" s="513"/>
      <c r="K62" s="513"/>
      <c r="L62" s="513"/>
      <c r="M62" s="515"/>
      <c r="N62" s="1153"/>
      <c r="O62" s="1153"/>
      <c r="P62" s="2625"/>
      <c r="Q62" s="505"/>
    </row>
    <row r="63" spans="1:29">
      <c r="A63" s="528" t="s">
        <v>2584</v>
      </c>
      <c r="B63" s="529" t="s">
        <v>2550</v>
      </c>
      <c r="C63" s="530" t="str">
        <f>C9</f>
        <v>商业</v>
      </c>
      <c r="D63" s="531"/>
      <c r="E63" s="531"/>
      <c r="F63" s="531"/>
      <c r="G63" s="531"/>
      <c r="H63" s="531"/>
      <c r="I63" s="531"/>
      <c r="J63" s="531"/>
      <c r="K63" s="532"/>
      <c r="L63" s="533"/>
      <c r="M63" s="534"/>
      <c r="N63" s="1154"/>
      <c r="O63" s="1154"/>
      <c r="P63" s="2627"/>
      <c r="Q63" s="505"/>
    </row>
    <row r="64" spans="1:29" ht="15.75" thickBot="1">
      <c r="A64" s="535"/>
      <c r="B64" s="536"/>
      <c r="C64" s="537">
        <v>100</v>
      </c>
      <c r="D64" s="537"/>
      <c r="E64" s="537"/>
      <c r="F64" s="537"/>
      <c r="G64" s="537"/>
      <c r="H64" s="537"/>
      <c r="I64" s="537"/>
      <c r="J64" s="537"/>
      <c r="K64" s="537"/>
      <c r="L64" s="537"/>
      <c r="M64" s="538"/>
      <c r="N64" s="1155"/>
      <c r="O64" s="1155"/>
      <c r="P64" s="2627"/>
      <c r="Q64" s="505"/>
    </row>
    <row r="65" spans="1:17" ht="27.75" thickTop="1">
      <c r="A65" s="535"/>
      <c r="B65" s="539" t="s">
        <v>2553</v>
      </c>
      <c r="C65" s="540" t="s">
        <v>2585</v>
      </c>
      <c r="D65" s="540" t="s">
        <v>2586</v>
      </c>
      <c r="E65" s="540" t="s">
        <v>2587</v>
      </c>
      <c r="F65" s="540" t="s">
        <v>2588</v>
      </c>
      <c r="G65" s="540" t="s">
        <v>2589</v>
      </c>
      <c r="H65" s="540" t="s">
        <v>2590</v>
      </c>
      <c r="I65" s="540" t="s">
        <v>2591</v>
      </c>
      <c r="J65" s="540"/>
      <c r="K65" s="541"/>
      <c r="L65" s="542"/>
      <c r="M65" s="543"/>
      <c r="N65" s="1154"/>
      <c r="O65" s="1154"/>
      <c r="P65" s="2627"/>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5"/>
      <c r="O66" s="1155"/>
      <c r="P66" s="2627"/>
      <c r="Q66" s="505"/>
    </row>
    <row r="67" spans="1:17" ht="15.75" thickTop="1">
      <c r="A67" s="535"/>
      <c r="B67" s="547" t="s">
        <v>2554</v>
      </c>
      <c r="C67" s="548" t="str">
        <f>C68&amp;"（含）"&amp;"-"&amp;D68</f>
        <v>0（含）-2</v>
      </c>
      <c r="D67" s="548" t="str">
        <f t="shared" ref="D67:L67" si="17">D68&amp;"（含）"&amp;"-"&amp;E68</f>
        <v>2（含）-4</v>
      </c>
      <c r="E67" s="548" t="str">
        <f t="shared" si="17"/>
        <v>4（含）-6</v>
      </c>
      <c r="F67" s="548" t="str">
        <f t="shared" si="17"/>
        <v>6（含）-8</v>
      </c>
      <c r="G67" s="548" t="str">
        <f t="shared" si="17"/>
        <v>8（含）-</v>
      </c>
      <c r="H67" s="548" t="str">
        <f t="shared" si="17"/>
        <v>（含）-</v>
      </c>
      <c r="I67" s="548" t="str">
        <f t="shared" si="17"/>
        <v>（含）-</v>
      </c>
      <c r="J67" s="548" t="str">
        <f t="shared" si="17"/>
        <v>（含）-</v>
      </c>
      <c r="K67" s="548" t="str">
        <f t="shared" si="17"/>
        <v>（含）-</v>
      </c>
      <c r="L67" s="548" t="str">
        <f t="shared" si="17"/>
        <v>（含）-</v>
      </c>
      <c r="M67" s="449" t="str">
        <f>M68&amp;"（含）"&amp;"-"&amp;P68</f>
        <v>（含）-</v>
      </c>
      <c r="N67" s="1155"/>
      <c r="O67" s="1155"/>
      <c r="P67" s="2627"/>
      <c r="Q67" s="505"/>
    </row>
    <row r="68" spans="1:17" ht="15">
      <c r="A68" s="535"/>
      <c r="B68" s="549"/>
      <c r="C68" s="550">
        <v>0</v>
      </c>
      <c r="D68" s="550">
        <v>2</v>
      </c>
      <c r="E68" s="550">
        <v>4</v>
      </c>
      <c r="F68" s="550">
        <v>6</v>
      </c>
      <c r="G68" s="550">
        <v>8</v>
      </c>
      <c r="H68" s="550"/>
      <c r="I68" s="550"/>
      <c r="J68" s="550"/>
      <c r="K68" s="551"/>
      <c r="L68" s="552"/>
      <c r="M68" s="553"/>
      <c r="N68" s="1154"/>
      <c r="O68" s="1154"/>
      <c r="P68" s="2627"/>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5"/>
      <c r="O69" s="1155"/>
      <c r="P69" s="2627"/>
      <c r="Q69" s="505"/>
    </row>
    <row r="70" spans="1:17" s="472" customFormat="1" ht="15.75" hidden="1" thickTop="1">
      <c r="A70" s="554"/>
      <c r="B70" s="539">
        <f>B12</f>
        <v>111</v>
      </c>
      <c r="C70" s="555"/>
      <c r="D70" s="555"/>
      <c r="E70" s="555"/>
      <c r="F70" s="555"/>
      <c r="G70" s="555"/>
      <c r="H70" s="556"/>
      <c r="I70" s="556"/>
      <c r="J70" s="556"/>
      <c r="K70" s="556"/>
      <c r="L70" s="557"/>
      <c r="M70" s="558"/>
      <c r="N70" s="1156"/>
      <c r="O70" s="1156"/>
      <c r="P70" s="2628"/>
      <c r="Q70" s="560"/>
    </row>
    <row r="71" spans="1:17" s="472" customFormat="1" ht="15.75" hidden="1" thickBot="1">
      <c r="A71" s="554"/>
      <c r="B71" s="544"/>
      <c r="C71" s="561"/>
      <c r="D71" s="537"/>
      <c r="E71" s="537"/>
      <c r="F71" s="537"/>
      <c r="G71" s="537"/>
      <c r="H71" s="537"/>
      <c r="I71" s="537"/>
      <c r="J71" s="537"/>
      <c r="K71" s="537"/>
      <c r="L71" s="537"/>
      <c r="M71" s="538"/>
      <c r="N71" s="1155"/>
      <c r="O71" s="1155"/>
      <c r="P71" s="2628"/>
      <c r="Q71" s="560"/>
    </row>
    <row r="72" spans="1:17" s="472" customFormat="1" ht="15.75" hidden="1" thickTop="1">
      <c r="A72" s="554"/>
      <c r="B72" s="539">
        <f>B13</f>
        <v>111</v>
      </c>
      <c r="C72" s="555"/>
      <c r="D72" s="555"/>
      <c r="E72" s="555"/>
      <c r="F72" s="555"/>
      <c r="G72" s="555"/>
      <c r="H72" s="556"/>
      <c r="I72" s="556"/>
      <c r="J72" s="556"/>
      <c r="K72" s="556"/>
      <c r="L72" s="557"/>
      <c r="M72" s="558"/>
      <c r="N72" s="1156"/>
      <c r="O72" s="1156"/>
      <c r="P72" s="2629"/>
      <c r="Q72" s="562"/>
    </row>
    <row r="73" spans="1:17" s="472" customFormat="1" ht="15.75" hidden="1" thickBot="1">
      <c r="A73" s="554"/>
      <c r="B73" s="544"/>
      <c r="C73" s="561"/>
      <c r="D73" s="537"/>
      <c r="E73" s="537"/>
      <c r="F73" s="537"/>
      <c r="G73" s="561"/>
      <c r="H73" s="563"/>
      <c r="I73" s="563"/>
      <c r="J73" s="563"/>
      <c r="K73" s="563"/>
      <c r="L73" s="563"/>
      <c r="M73" s="564"/>
      <c r="N73" s="1156"/>
      <c r="O73" s="1156"/>
      <c r="P73" s="2628"/>
      <c r="Q73" s="560"/>
    </row>
    <row r="74" spans="1:17" s="472" customFormat="1" ht="15.75" hidden="1" thickTop="1">
      <c r="A74" s="554"/>
      <c r="B74" s="547">
        <f>B14</f>
        <v>111</v>
      </c>
      <c r="C74" s="555"/>
      <c r="D74" s="555"/>
      <c r="E74" s="555"/>
      <c r="F74" s="555"/>
      <c r="G74" s="524"/>
      <c r="H74" s="565"/>
      <c r="I74" s="565"/>
      <c r="J74" s="565"/>
      <c r="K74" s="565"/>
      <c r="L74" s="566"/>
      <c r="M74" s="567"/>
      <c r="N74" s="1156"/>
      <c r="O74" s="1156"/>
      <c r="P74" s="2630"/>
      <c r="Q74" s="560"/>
    </row>
    <row r="75" spans="1:17" s="472" customFormat="1" ht="15.75" hidden="1" thickBot="1">
      <c r="A75" s="569"/>
      <c r="B75" s="570"/>
      <c r="C75" s="571"/>
      <c r="D75" s="571"/>
      <c r="E75" s="571"/>
      <c r="F75" s="571"/>
      <c r="G75" s="571"/>
      <c r="H75" s="572"/>
      <c r="I75" s="572"/>
      <c r="J75" s="572"/>
      <c r="K75" s="572"/>
      <c r="L75" s="572"/>
      <c r="M75" s="573"/>
      <c r="N75" s="1156"/>
      <c r="O75" s="1156"/>
      <c r="P75" s="2628"/>
      <c r="Q75" s="560"/>
    </row>
    <row r="76" spans="1:17" ht="15" thickTop="1">
      <c r="A76" s="528" t="s">
        <v>2555</v>
      </c>
      <c r="B76" s="529" t="s">
        <v>2592</v>
      </c>
      <c r="C76" s="574" t="s">
        <v>2593</v>
      </c>
      <c r="D76" s="574" t="s">
        <v>2594</v>
      </c>
      <c r="E76" s="574" t="s">
        <v>2595</v>
      </c>
      <c r="F76" s="574" t="s">
        <v>2596</v>
      </c>
      <c r="G76" s="574" t="s">
        <v>2597</v>
      </c>
      <c r="H76" s="530"/>
      <c r="I76" s="530"/>
      <c r="J76" s="530"/>
      <c r="K76" s="575"/>
      <c r="L76" s="576"/>
      <c r="M76" s="577"/>
      <c r="N76" s="1154"/>
      <c r="O76" s="1154"/>
      <c r="P76" s="2631"/>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5"/>
      <c r="O77" s="1155"/>
      <c r="P77" s="2627"/>
      <c r="Q77" s="505"/>
    </row>
    <row r="78" spans="1:17" ht="15.75" thickTop="1">
      <c r="A78" s="535"/>
      <c r="B78" s="539" t="s">
        <v>2598</v>
      </c>
      <c r="C78" s="579" t="s">
        <v>2593</v>
      </c>
      <c r="D78" s="579" t="s">
        <v>2594</v>
      </c>
      <c r="E78" s="579" t="s">
        <v>2595</v>
      </c>
      <c r="F78" s="579" t="s">
        <v>2596</v>
      </c>
      <c r="G78" s="579" t="s">
        <v>2597</v>
      </c>
      <c r="H78" s="540"/>
      <c r="I78" s="540"/>
      <c r="J78" s="540"/>
      <c r="K78" s="541"/>
      <c r="L78" s="542"/>
      <c r="M78" s="543"/>
      <c r="N78" s="1154"/>
      <c r="O78" s="1154"/>
      <c r="P78" s="2627"/>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5"/>
      <c r="O79" s="1155"/>
      <c r="P79" s="2627"/>
      <c r="Q79" s="505"/>
    </row>
    <row r="80" spans="1:17" ht="15.75" thickTop="1">
      <c r="A80" s="535"/>
      <c r="B80" s="539" t="s">
        <v>2599</v>
      </c>
      <c r="C80" s="579" t="s">
        <v>2593</v>
      </c>
      <c r="D80" s="579" t="s">
        <v>2594</v>
      </c>
      <c r="E80" s="579" t="s">
        <v>2595</v>
      </c>
      <c r="F80" s="579" t="s">
        <v>2596</v>
      </c>
      <c r="G80" s="579" t="s">
        <v>2597</v>
      </c>
      <c r="H80" s="540"/>
      <c r="I80" s="540"/>
      <c r="J80" s="540"/>
      <c r="K80" s="541"/>
      <c r="L80" s="542"/>
      <c r="M80" s="543"/>
      <c r="N80" s="1154"/>
      <c r="O80" s="1154"/>
      <c r="P80" s="2627"/>
      <c r="Q80" s="505"/>
    </row>
    <row r="81" spans="1:17" ht="15.75" thickBot="1">
      <c r="A81" s="535"/>
      <c r="B81" s="544"/>
      <c r="C81" s="545">
        <v>100</v>
      </c>
      <c r="D81" s="545">
        <f>C81-$K19</f>
        <v>97</v>
      </c>
      <c r="E81" s="545">
        <f>D81-$K19</f>
        <v>94</v>
      </c>
      <c r="F81" s="545">
        <f>E81-$K19</f>
        <v>91</v>
      </c>
      <c r="G81" s="545">
        <f>F81-$K19</f>
        <v>88</v>
      </c>
      <c r="H81" s="545"/>
      <c r="I81" s="545"/>
      <c r="J81" s="545"/>
      <c r="K81" s="545"/>
      <c r="L81" s="545"/>
      <c r="M81" s="546"/>
      <c r="N81" s="1155"/>
      <c r="O81" s="1155"/>
      <c r="P81" s="2627"/>
      <c r="Q81" s="505"/>
    </row>
    <row r="82" spans="1:17" ht="15.75" thickTop="1">
      <c r="A82" s="535"/>
      <c r="B82" s="547" t="s">
        <v>2651</v>
      </c>
      <c r="C82" s="660" t="s">
        <v>2670</v>
      </c>
      <c r="D82" s="660" t="s">
        <v>2671</v>
      </c>
      <c r="E82" s="660" t="s">
        <v>2672</v>
      </c>
      <c r="F82" s="660" t="s">
        <v>2673</v>
      </c>
      <c r="G82" s="660" t="s">
        <v>2674</v>
      </c>
      <c r="H82" s="540"/>
      <c r="I82" s="540"/>
      <c r="J82" s="540"/>
      <c r="K82" s="540"/>
      <c r="L82" s="540"/>
      <c r="M82" s="1384"/>
      <c r="N82" s="1155"/>
      <c r="O82" s="1155"/>
      <c r="P82" s="2627"/>
      <c r="Q82" s="505"/>
    </row>
    <row r="83" spans="1:17" ht="15.75" thickBot="1">
      <c r="A83" s="535"/>
      <c r="B83" s="547"/>
      <c r="C83" s="545">
        <v>100</v>
      </c>
      <c r="D83" s="545">
        <f>C83-$K21</f>
        <v>100</v>
      </c>
      <c r="E83" s="545">
        <f t="shared" ref="E83:G83" si="19">D83-$K21</f>
        <v>100</v>
      </c>
      <c r="F83" s="545">
        <f t="shared" si="19"/>
        <v>100</v>
      </c>
      <c r="G83" s="545">
        <f t="shared" si="19"/>
        <v>100</v>
      </c>
      <c r="H83" s="660"/>
      <c r="I83" s="660"/>
      <c r="J83" s="660"/>
      <c r="K83" s="660"/>
      <c r="L83" s="660"/>
      <c r="M83" s="451"/>
      <c r="N83" s="1155"/>
      <c r="O83" s="1155"/>
      <c r="P83" s="2627"/>
      <c r="Q83" s="505"/>
    </row>
    <row r="84" spans="1:17" ht="15.75" thickTop="1">
      <c r="A84" s="535"/>
      <c r="B84" s="539" t="s">
        <v>2605</v>
      </c>
      <c r="C84" s="579" t="s">
        <v>2593</v>
      </c>
      <c r="D84" s="579" t="s">
        <v>2594</v>
      </c>
      <c r="E84" s="579" t="s">
        <v>2595</v>
      </c>
      <c r="F84" s="579" t="s">
        <v>2596</v>
      </c>
      <c r="G84" s="579" t="s">
        <v>2597</v>
      </c>
      <c r="H84" s="540"/>
      <c r="I84" s="540"/>
      <c r="J84" s="540"/>
      <c r="K84" s="541"/>
      <c r="L84" s="542"/>
      <c r="M84" s="543"/>
      <c r="N84" s="1154"/>
      <c r="O84" s="1154"/>
      <c r="P84" s="2627"/>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5"/>
      <c r="O85" s="1155"/>
      <c r="P85" s="2627"/>
      <c r="Q85" s="505"/>
    </row>
    <row r="86" spans="1:17" s="117" customFormat="1" ht="15.75" thickTop="1">
      <c r="A86" s="580"/>
      <c r="B86" s="539" t="s">
        <v>2675</v>
      </c>
      <c r="C86" s="2945" t="s">
        <v>2782</v>
      </c>
      <c r="D86" s="2945" t="s">
        <v>2783</v>
      </c>
      <c r="E86" s="2945" t="s">
        <v>2784</v>
      </c>
      <c r="F86" s="2945" t="s">
        <v>2785</v>
      </c>
      <c r="G86" s="555"/>
      <c r="H86" s="555"/>
      <c r="I86" s="555"/>
      <c r="J86" s="555"/>
      <c r="K86" s="555"/>
      <c r="L86" s="581"/>
      <c r="M86" s="582"/>
      <c r="N86" s="1153"/>
      <c r="O86" s="1153"/>
      <c r="P86" s="2627"/>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5"/>
      <c r="O87" s="1155"/>
      <c r="P87" s="2627"/>
      <c r="Q87" s="505"/>
    </row>
    <row r="88" spans="1:17" s="117" customFormat="1" ht="15.75" thickTop="1">
      <c r="A88" s="580"/>
      <c r="B88" s="539" t="str">
        <f>B26</f>
        <v>可视性</v>
      </c>
      <c r="C88" s="2946" t="s">
        <v>2593</v>
      </c>
      <c r="D88" s="2946" t="s">
        <v>2594</v>
      </c>
      <c r="E88" s="2946" t="s">
        <v>2595</v>
      </c>
      <c r="F88" s="2946" t="s">
        <v>2596</v>
      </c>
      <c r="G88" s="2946" t="s">
        <v>2597</v>
      </c>
      <c r="H88" s="555"/>
      <c r="I88" s="555"/>
      <c r="J88" s="555"/>
      <c r="K88" s="555"/>
      <c r="L88" s="555"/>
      <c r="M88" s="582"/>
      <c r="N88" s="1153"/>
      <c r="O88" s="1153"/>
      <c r="P88" s="2627"/>
      <c r="Q88" s="505"/>
    </row>
    <row r="89" spans="1:17" s="117" customFormat="1" ht="15.75" thickBot="1">
      <c r="A89" s="580"/>
      <c r="B89" s="544"/>
      <c r="C89" s="561">
        <v>100</v>
      </c>
      <c r="D89" s="537">
        <v>98</v>
      </c>
      <c r="E89" s="537">
        <v>96</v>
      </c>
      <c r="F89" s="537">
        <v>94</v>
      </c>
      <c r="G89" s="537">
        <v>92</v>
      </c>
      <c r="H89" s="537"/>
      <c r="I89" s="537"/>
      <c r="J89" s="537"/>
      <c r="K89" s="537"/>
      <c r="L89" s="537"/>
      <c r="M89" s="537"/>
      <c r="N89" s="1155"/>
      <c r="O89" s="1155"/>
      <c r="P89" s="2627"/>
      <c r="Q89" s="505"/>
    </row>
    <row r="90" spans="1:17" s="472" customFormat="1" ht="15.75" thickTop="1">
      <c r="A90" s="554"/>
      <c r="B90" s="539" t="str">
        <f>B27</f>
        <v>人流量</v>
      </c>
      <c r="C90" s="2946" t="s">
        <v>2593</v>
      </c>
      <c r="D90" s="2946" t="s">
        <v>2594</v>
      </c>
      <c r="E90" s="2946" t="s">
        <v>2595</v>
      </c>
      <c r="F90" s="2946" t="s">
        <v>2596</v>
      </c>
      <c r="G90" s="2946" t="s">
        <v>2597</v>
      </c>
      <c r="H90" s="556"/>
      <c r="I90" s="556"/>
      <c r="J90" s="556"/>
      <c r="K90" s="556"/>
      <c r="L90" s="557"/>
      <c r="M90" s="558"/>
      <c r="N90" s="1156"/>
      <c r="O90" s="1156"/>
      <c r="P90" s="2628"/>
      <c r="Q90" s="560"/>
    </row>
    <row r="91" spans="1:17" s="472" customFormat="1" ht="15.75" thickBot="1">
      <c r="A91" s="554"/>
      <c r="B91" s="544"/>
      <c r="C91" s="583">
        <v>100</v>
      </c>
      <c r="D91" s="545">
        <f>C91-$K27</f>
        <v>98</v>
      </c>
      <c r="E91" s="545">
        <f t="shared" ref="E91:M91" si="21">D91-$K27</f>
        <v>96</v>
      </c>
      <c r="F91" s="545">
        <f t="shared" si="21"/>
        <v>94</v>
      </c>
      <c r="G91" s="545">
        <f t="shared" si="21"/>
        <v>92</v>
      </c>
      <c r="H91" s="545">
        <f t="shared" si="21"/>
        <v>90</v>
      </c>
      <c r="I91" s="545">
        <f t="shared" si="21"/>
        <v>88</v>
      </c>
      <c r="J91" s="545">
        <f t="shared" si="21"/>
        <v>86</v>
      </c>
      <c r="K91" s="545">
        <f t="shared" si="21"/>
        <v>84</v>
      </c>
      <c r="L91" s="545">
        <f t="shared" si="21"/>
        <v>82</v>
      </c>
      <c r="M91" s="545">
        <f t="shared" si="21"/>
        <v>80</v>
      </c>
      <c r="N91" s="1156"/>
      <c r="O91" s="1156"/>
      <c r="P91" s="2628"/>
      <c r="Q91" s="560"/>
    </row>
    <row r="92" spans="1:17" ht="15.75" thickTop="1">
      <c r="A92" s="535"/>
      <c r="B92" s="539" t="str">
        <f>B28</f>
        <v>楼层</v>
      </c>
      <c r="C92" s="555" t="s">
        <v>3160</v>
      </c>
      <c r="D92" s="555" t="s">
        <v>3162</v>
      </c>
      <c r="E92" s="555" t="s">
        <v>3161</v>
      </c>
      <c r="F92" s="555" t="s">
        <v>3163</v>
      </c>
      <c r="G92" s="555" t="s">
        <v>3164</v>
      </c>
      <c r="H92" s="555"/>
      <c r="I92" s="555"/>
      <c r="J92" s="555"/>
      <c r="K92" s="555"/>
      <c r="L92" s="581"/>
      <c r="M92" s="582"/>
      <c r="N92" s="1154"/>
      <c r="O92" s="1154"/>
      <c r="P92" s="2627"/>
      <c r="Q92" s="505"/>
    </row>
    <row r="93" spans="1:17" ht="15.75" thickBot="1">
      <c r="A93" s="535"/>
      <c r="B93" s="544"/>
      <c r="C93" s="537">
        <v>100</v>
      </c>
      <c r="D93" s="537">
        <v>85</v>
      </c>
      <c r="E93" s="537">
        <v>65</v>
      </c>
      <c r="F93" s="537">
        <v>55</v>
      </c>
      <c r="G93" s="537">
        <v>45</v>
      </c>
      <c r="H93" s="537"/>
      <c r="I93" s="537"/>
      <c r="J93" s="537"/>
      <c r="K93" s="537"/>
      <c r="L93" s="537"/>
      <c r="M93" s="538"/>
      <c r="N93" s="1155"/>
      <c r="O93" s="1155"/>
      <c r="P93" s="2627"/>
      <c r="Q93" s="505"/>
    </row>
    <row r="94" spans="1:17" ht="15.75" hidden="1" thickTop="1">
      <c r="A94" s="535"/>
      <c r="B94" s="539">
        <f>B29</f>
        <v>111</v>
      </c>
      <c r="C94" s="555"/>
      <c r="D94" s="555"/>
      <c r="E94" s="555"/>
      <c r="F94" s="555"/>
      <c r="G94" s="584"/>
      <c r="H94" s="584"/>
      <c r="I94" s="584"/>
      <c r="J94" s="584"/>
      <c r="K94" s="585"/>
      <c r="L94" s="586"/>
      <c r="M94" s="587"/>
      <c r="N94" s="1154"/>
      <c r="O94" s="1154"/>
      <c r="P94" s="2627"/>
      <c r="Q94" s="505"/>
    </row>
    <row r="95" spans="1:17" ht="15.75" hidden="1" thickBot="1">
      <c r="A95" s="535"/>
      <c r="B95" s="544"/>
      <c r="C95" s="561"/>
      <c r="D95" s="537"/>
      <c r="E95" s="537"/>
      <c r="F95" s="537"/>
      <c r="G95" s="537"/>
      <c r="H95" s="537"/>
      <c r="I95" s="537"/>
      <c r="J95" s="537"/>
      <c r="K95" s="537"/>
      <c r="L95" s="537"/>
      <c r="M95" s="538"/>
      <c r="N95" s="1155"/>
      <c r="O95" s="1155"/>
      <c r="P95" s="2627"/>
      <c r="Q95" s="505"/>
    </row>
    <row r="96" spans="1:17" ht="15.75" hidden="1" thickTop="1">
      <c r="A96" s="535"/>
      <c r="B96" s="539">
        <f>B30</f>
        <v>111</v>
      </c>
      <c r="C96" s="555"/>
      <c r="D96" s="555"/>
      <c r="E96" s="555"/>
      <c r="F96" s="555"/>
      <c r="G96" s="584"/>
      <c r="H96" s="584"/>
      <c r="I96" s="584"/>
      <c r="J96" s="584"/>
      <c r="K96" s="585"/>
      <c r="L96" s="586"/>
      <c r="M96" s="587"/>
      <c r="N96" s="1154"/>
      <c r="O96" s="1154"/>
      <c r="P96" s="2627"/>
      <c r="Q96" s="505"/>
    </row>
    <row r="97" spans="1:17" ht="15.75" hidden="1" thickBot="1">
      <c r="A97" s="535"/>
      <c r="B97" s="544"/>
      <c r="C97" s="561"/>
      <c r="D97" s="537"/>
      <c r="E97" s="537"/>
      <c r="F97" s="537"/>
      <c r="G97" s="537"/>
      <c r="H97" s="537"/>
      <c r="I97" s="537"/>
      <c r="J97" s="537"/>
      <c r="K97" s="537"/>
      <c r="L97" s="537"/>
      <c r="M97" s="538"/>
      <c r="N97" s="1155"/>
      <c r="O97" s="1155"/>
      <c r="P97" s="2627"/>
      <c r="Q97" s="505"/>
    </row>
    <row r="98" spans="1:17" ht="15.75" hidden="1" thickTop="1">
      <c r="A98" s="535"/>
      <c r="B98" s="547">
        <f>B31</f>
        <v>111</v>
      </c>
      <c r="C98" s="555"/>
      <c r="D98" s="555"/>
      <c r="E98" s="555"/>
      <c r="F98" s="555"/>
      <c r="G98" s="588"/>
      <c r="H98" s="588"/>
      <c r="I98" s="588"/>
      <c r="J98" s="588"/>
      <c r="K98" s="589"/>
      <c r="L98" s="590"/>
      <c r="M98" s="591"/>
      <c r="N98" s="1154"/>
      <c r="O98" s="1154"/>
      <c r="P98" s="2627"/>
      <c r="Q98" s="505"/>
    </row>
    <row r="99" spans="1:17" ht="15.75" hidden="1" thickBot="1">
      <c r="A99" s="2633"/>
      <c r="B99" s="570"/>
      <c r="C99" s="571"/>
      <c r="D99" s="571"/>
      <c r="E99" s="571"/>
      <c r="F99" s="571"/>
      <c r="G99" s="592"/>
      <c r="H99" s="592"/>
      <c r="I99" s="592"/>
      <c r="J99" s="592"/>
      <c r="K99" s="592"/>
      <c r="L99" s="592"/>
      <c r="M99" s="593"/>
      <c r="N99" s="1155"/>
      <c r="O99" s="1155"/>
      <c r="P99" s="2627"/>
      <c r="Q99" s="505"/>
    </row>
    <row r="100" spans="1:17" ht="15" thickTop="1">
      <c r="A100" s="528" t="s">
        <v>2559</v>
      </c>
      <c r="B100" s="529" t="s">
        <v>2676</v>
      </c>
      <c r="C100" s="2930" t="s">
        <v>3165</v>
      </c>
      <c r="D100" s="2930" t="s">
        <v>3166</v>
      </c>
      <c r="E100" s="2930" t="s">
        <v>3184</v>
      </c>
      <c r="F100" s="2930" t="s">
        <v>3168</v>
      </c>
      <c r="G100" s="531"/>
      <c r="H100" s="531"/>
      <c r="I100" s="531"/>
      <c r="J100" s="531"/>
      <c r="K100" s="532"/>
      <c r="L100" s="533"/>
      <c r="M100" s="534"/>
      <c r="N100" s="1154"/>
      <c r="O100" s="1154"/>
      <c r="P100" s="2627"/>
      <c r="Q100" s="505"/>
    </row>
    <row r="101" spans="1:17" ht="15.75" thickBot="1">
      <c r="A101" s="535"/>
      <c r="B101" s="544"/>
      <c r="C101" s="545">
        <v>100</v>
      </c>
      <c r="D101" s="545">
        <f t="shared" ref="D101:M101" si="22">C101-$K32</f>
        <v>98</v>
      </c>
      <c r="E101" s="545">
        <f t="shared" si="22"/>
        <v>96</v>
      </c>
      <c r="F101" s="545">
        <f t="shared" si="22"/>
        <v>94</v>
      </c>
      <c r="G101" s="545">
        <f t="shared" si="22"/>
        <v>92</v>
      </c>
      <c r="H101" s="545">
        <f t="shared" si="22"/>
        <v>90</v>
      </c>
      <c r="I101" s="545">
        <f t="shared" si="22"/>
        <v>88</v>
      </c>
      <c r="J101" s="545">
        <f t="shared" si="22"/>
        <v>86</v>
      </c>
      <c r="K101" s="545">
        <f t="shared" si="22"/>
        <v>84</v>
      </c>
      <c r="L101" s="545">
        <f t="shared" si="22"/>
        <v>82</v>
      </c>
      <c r="M101" s="546">
        <f t="shared" si="22"/>
        <v>80</v>
      </c>
      <c r="N101" s="1155"/>
      <c r="O101" s="1155"/>
      <c r="P101" s="2627"/>
      <c r="Q101" s="505"/>
    </row>
    <row r="102" spans="1:17" ht="29.25" thickTop="1">
      <c r="A102" s="535"/>
      <c r="B102" s="539" t="s">
        <v>2609</v>
      </c>
      <c r="C102" s="579" t="str">
        <f>C103&amp;"(含)"&amp;"-"&amp;D103</f>
        <v>0(含)-50000</v>
      </c>
      <c r="D102" s="579" t="str">
        <f t="shared" ref="D102:L102" si="23">D103&amp;"(含)"&amp;"-"&amp;E103</f>
        <v>50000(含)-100000</v>
      </c>
      <c r="E102" s="579" t="str">
        <f t="shared" si="23"/>
        <v>100000(含)-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2" t="str">
        <f>M103&amp;"(含)"&amp;"-"&amp;P103</f>
        <v>(含)-</v>
      </c>
      <c r="N102" s="1153"/>
      <c r="O102" s="1153"/>
      <c r="P102" s="2627"/>
      <c r="Q102" s="505"/>
    </row>
    <row r="103" spans="1:17" s="472" customFormat="1">
      <c r="A103" s="594"/>
      <c r="B103" s="595"/>
      <c r="C103" s="596">
        <v>0</v>
      </c>
      <c r="D103" s="596">
        <v>50000</v>
      </c>
      <c r="E103" s="596">
        <v>100000</v>
      </c>
      <c r="F103" s="596"/>
      <c r="G103" s="596"/>
      <c r="H103" s="596"/>
      <c r="I103" s="596"/>
      <c r="J103" s="597"/>
      <c r="K103" s="597"/>
      <c r="L103" s="598"/>
      <c r="M103" s="599"/>
      <c r="N103" s="1156"/>
      <c r="O103" s="1156"/>
      <c r="P103" s="2628"/>
      <c r="Q103" s="560"/>
    </row>
    <row r="104" spans="1:17" s="472" customFormat="1" ht="15.75" thickBot="1">
      <c r="A104" s="554"/>
      <c r="B104" s="544"/>
      <c r="C104" s="561">
        <v>100</v>
      </c>
      <c r="D104" s="537">
        <v>101</v>
      </c>
      <c r="E104" s="537">
        <v>102</v>
      </c>
      <c r="F104" s="537"/>
      <c r="G104" s="537"/>
      <c r="H104" s="537"/>
      <c r="I104" s="537"/>
      <c r="J104" s="537"/>
      <c r="K104" s="537"/>
      <c r="L104" s="537"/>
      <c r="M104" s="538"/>
      <c r="N104" s="1155"/>
      <c r="O104" s="1155"/>
      <c r="P104" s="2628"/>
      <c r="Q104" s="560"/>
    </row>
    <row r="105" spans="1:17" ht="15" thickTop="1">
      <c r="A105" s="600"/>
      <c r="B105" s="539" t="s">
        <v>2610</v>
      </c>
      <c r="C105" s="2931" t="s">
        <v>3169</v>
      </c>
      <c r="D105" s="2931" t="s">
        <v>3170</v>
      </c>
      <c r="E105" s="2932" t="s">
        <v>3171</v>
      </c>
      <c r="F105" s="584"/>
      <c r="G105" s="584"/>
      <c r="H105" s="584"/>
      <c r="I105" s="584"/>
      <c r="J105" s="584"/>
      <c r="K105" s="585"/>
      <c r="L105" s="586"/>
      <c r="M105" s="587"/>
      <c r="N105" s="1154"/>
      <c r="O105" s="1154"/>
      <c r="P105" s="2627"/>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5"/>
      <c r="O106" s="1155"/>
      <c r="P106" s="2627"/>
      <c r="Q106" s="505"/>
    </row>
    <row r="107" spans="1:17" ht="15" thickTop="1">
      <c r="A107" s="600"/>
      <c r="B107" s="539" t="s">
        <v>2612</v>
      </c>
      <c r="C107" s="2931" t="s">
        <v>3172</v>
      </c>
      <c r="D107" s="2931" t="s">
        <v>3173</v>
      </c>
      <c r="E107" s="2931" t="s">
        <v>3174</v>
      </c>
      <c r="F107" s="584"/>
      <c r="G107" s="584"/>
      <c r="H107" s="584"/>
      <c r="I107" s="584"/>
      <c r="J107" s="584"/>
      <c r="K107" s="585"/>
      <c r="L107" s="586"/>
      <c r="M107" s="587"/>
      <c r="N107" s="1154"/>
      <c r="O107" s="1154"/>
      <c r="P107" s="2627"/>
      <c r="Q107" s="505"/>
    </row>
    <row r="108" spans="1:17" ht="15.75" thickBot="1">
      <c r="A108" s="535"/>
      <c r="B108" s="544"/>
      <c r="C108" s="545">
        <v>100</v>
      </c>
      <c r="D108" s="545">
        <f t="shared" ref="D108:M108" si="25">C108-$K35</f>
        <v>97</v>
      </c>
      <c r="E108" s="545">
        <f t="shared" si="25"/>
        <v>94</v>
      </c>
      <c r="F108" s="545">
        <f t="shared" si="25"/>
        <v>91</v>
      </c>
      <c r="G108" s="545">
        <f t="shared" si="25"/>
        <v>88</v>
      </c>
      <c r="H108" s="545">
        <f t="shared" si="25"/>
        <v>85</v>
      </c>
      <c r="I108" s="545">
        <f t="shared" si="25"/>
        <v>82</v>
      </c>
      <c r="J108" s="545">
        <f t="shared" si="25"/>
        <v>79</v>
      </c>
      <c r="K108" s="545">
        <f t="shared" si="25"/>
        <v>76</v>
      </c>
      <c r="L108" s="545">
        <f t="shared" si="25"/>
        <v>73</v>
      </c>
      <c r="M108" s="546">
        <f t="shared" si="25"/>
        <v>70</v>
      </c>
      <c r="N108" s="1155"/>
      <c r="O108" s="1155"/>
      <c r="P108" s="2627"/>
      <c r="Q108" s="505"/>
    </row>
    <row r="109" spans="1:17" ht="15" thickTop="1">
      <c r="A109" s="600"/>
      <c r="B109" s="539" t="s">
        <v>1995</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4"/>
      <c r="O109" s="1154"/>
      <c r="P109" s="2627"/>
      <c r="Q109" s="505"/>
    </row>
    <row r="110" spans="1:17">
      <c r="A110" s="600"/>
      <c r="B110" s="547"/>
      <c r="C110" s="604">
        <v>0.5</v>
      </c>
      <c r="D110" s="604">
        <v>0.6</v>
      </c>
      <c r="E110" s="604">
        <v>0.7</v>
      </c>
      <c r="F110" s="604">
        <v>0.8</v>
      </c>
      <c r="G110" s="604">
        <v>0.9</v>
      </c>
      <c r="H110" s="604">
        <v>1.0001</v>
      </c>
      <c r="I110" s="623"/>
      <c r="J110" s="623"/>
      <c r="K110" s="624"/>
      <c r="L110" s="625"/>
      <c r="M110" s="626"/>
      <c r="N110" s="1154"/>
      <c r="O110" s="1154"/>
      <c r="P110" s="2627"/>
      <c r="Q110" s="505"/>
    </row>
    <row r="111" spans="1:17" ht="15.75" thickBot="1">
      <c r="A111" s="535"/>
      <c r="B111" s="544"/>
      <c r="C111" s="583">
        <v>100</v>
      </c>
      <c r="D111" s="545">
        <f>C111+$K36</f>
        <v>101</v>
      </c>
      <c r="E111" s="545">
        <f t="shared" ref="E111:M111" si="26">D111+$K36</f>
        <v>102</v>
      </c>
      <c r="F111" s="545">
        <f t="shared" si="26"/>
        <v>103</v>
      </c>
      <c r="G111" s="545">
        <f t="shared" si="26"/>
        <v>104</v>
      </c>
      <c r="H111" s="545">
        <f t="shared" si="26"/>
        <v>105</v>
      </c>
      <c r="I111" s="545">
        <f t="shared" si="26"/>
        <v>106</v>
      </c>
      <c r="J111" s="545">
        <f t="shared" si="26"/>
        <v>107</v>
      </c>
      <c r="K111" s="545">
        <f t="shared" si="26"/>
        <v>108</v>
      </c>
      <c r="L111" s="545">
        <f t="shared" si="26"/>
        <v>109</v>
      </c>
      <c r="M111" s="545">
        <f t="shared" si="26"/>
        <v>110</v>
      </c>
      <c r="N111" s="1155"/>
      <c r="O111" s="1155"/>
      <c r="P111" s="2627"/>
      <c r="Q111" s="505"/>
    </row>
    <row r="112" spans="1:17" s="472" customFormat="1" ht="15" thickTop="1">
      <c r="A112" s="594"/>
      <c r="B112" s="539" t="s">
        <v>2614</v>
      </c>
      <c r="C112" s="2931" t="s">
        <v>3089</v>
      </c>
      <c r="D112" s="2931" t="s">
        <v>3090</v>
      </c>
      <c r="E112" s="2931" t="s">
        <v>3091</v>
      </c>
      <c r="F112" s="2931" t="s">
        <v>3092</v>
      </c>
      <c r="G112" s="2931" t="s">
        <v>3093</v>
      </c>
      <c r="H112" s="584"/>
      <c r="I112" s="584"/>
      <c r="J112" s="584"/>
      <c r="K112" s="585"/>
      <c r="L112" s="586"/>
      <c r="M112" s="587"/>
      <c r="N112" s="1156"/>
      <c r="O112" s="1156"/>
      <c r="P112" s="2628"/>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6"/>
      <c r="O113" s="1156"/>
      <c r="P113" s="2628"/>
      <c r="Q113" s="560"/>
    </row>
    <row r="114" spans="1:17" ht="15" hidden="1" thickTop="1">
      <c r="A114" s="600"/>
      <c r="B114" s="539" t="s">
        <v>2677</v>
      </c>
      <c r="C114" s="555"/>
      <c r="D114" s="555"/>
      <c r="E114" s="584"/>
      <c r="F114" s="584"/>
      <c r="G114" s="584"/>
      <c r="H114" s="584"/>
      <c r="I114" s="584"/>
      <c r="J114" s="584"/>
      <c r="K114" s="585"/>
      <c r="L114" s="586"/>
      <c r="M114" s="587"/>
      <c r="N114" s="1154"/>
      <c r="O114" s="1154"/>
      <c r="P114" s="2627"/>
      <c r="Q114" s="505"/>
    </row>
    <row r="115" spans="1:17" ht="15.75" hidden="1"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5"/>
      <c r="O115" s="1155"/>
      <c r="P115" s="2627"/>
      <c r="Q115" s="505"/>
    </row>
    <row r="116" spans="1:17" ht="15" thickTop="1">
      <c r="A116" s="600"/>
      <c r="B116" s="539" t="s">
        <v>2678</v>
      </c>
      <c r="C116" s="2931" t="s">
        <v>3176</v>
      </c>
      <c r="D116" s="2931" t="s">
        <v>3178</v>
      </c>
      <c r="E116" s="555"/>
      <c r="F116" s="555"/>
      <c r="G116" s="555"/>
      <c r="H116" s="584"/>
      <c r="I116" s="584"/>
      <c r="J116" s="584"/>
      <c r="K116" s="585"/>
      <c r="L116" s="586"/>
      <c r="M116" s="587"/>
      <c r="N116" s="1154"/>
      <c r="O116" s="1154"/>
      <c r="P116" s="2627"/>
      <c r="Q116" s="505"/>
    </row>
    <row r="117" spans="1:17" ht="15.75" thickBot="1">
      <c r="A117" s="535"/>
      <c r="B117" s="544"/>
      <c r="C117" s="545">
        <v>100</v>
      </c>
      <c r="D117" s="545">
        <f>C117-$K39</f>
        <v>95</v>
      </c>
      <c r="E117" s="545">
        <f>D117-$K39</f>
        <v>90</v>
      </c>
      <c r="F117" s="545">
        <f>E117-$K39</f>
        <v>85</v>
      </c>
      <c r="G117" s="545">
        <f>F117-$K39</f>
        <v>80</v>
      </c>
      <c r="H117" s="545"/>
      <c r="I117" s="545"/>
      <c r="J117" s="545"/>
      <c r="K117" s="545"/>
      <c r="L117" s="545"/>
      <c r="M117" s="546"/>
      <c r="N117" s="1155"/>
      <c r="O117" s="1155"/>
      <c r="P117" s="2627"/>
      <c r="Q117" s="505"/>
    </row>
    <row r="118" spans="1:17" ht="15" thickTop="1">
      <c r="A118" s="600"/>
      <c r="B118" s="539" t="s">
        <v>2679</v>
      </c>
      <c r="C118" s="627"/>
      <c r="D118" s="627"/>
      <c r="E118" s="627"/>
      <c r="F118" s="3054">
        <f>C40</f>
        <v>1553.07</v>
      </c>
      <c r="G118" s="627">
        <v>245</v>
      </c>
      <c r="H118" s="556">
        <v>8</v>
      </c>
      <c r="I118" s="556">
        <v>144</v>
      </c>
      <c r="J118" s="556">
        <v>100</v>
      </c>
      <c r="K118" s="556"/>
      <c r="L118" s="557"/>
      <c r="M118" s="558"/>
      <c r="N118" s="1154"/>
      <c r="O118" s="1154"/>
      <c r="P118" s="2627"/>
      <c r="Q118" s="505"/>
    </row>
    <row r="119" spans="1:17" ht="15.75" thickBot="1">
      <c r="A119" s="535"/>
      <c r="B119" s="544"/>
      <c r="C119" s="561"/>
      <c r="D119" s="537"/>
      <c r="E119" s="537"/>
      <c r="F119" s="537">
        <v>100</v>
      </c>
      <c r="G119" s="537">
        <v>104</v>
      </c>
      <c r="H119" s="537">
        <v>104</v>
      </c>
      <c r="I119" s="537">
        <v>104</v>
      </c>
      <c r="J119" s="537">
        <v>104</v>
      </c>
      <c r="K119" s="537"/>
      <c r="L119" s="537"/>
      <c r="M119" s="538"/>
      <c r="N119" s="1155"/>
      <c r="O119" s="1155"/>
      <c r="P119" s="2627"/>
      <c r="Q119" s="505"/>
    </row>
    <row r="120" spans="1:17" s="472" customFormat="1" ht="15" thickTop="1">
      <c r="A120" s="594"/>
      <c r="B120" s="539" t="s">
        <v>2680</v>
      </c>
      <c r="C120" s="2946" t="s">
        <v>2593</v>
      </c>
      <c r="D120" s="2946" t="s">
        <v>2594</v>
      </c>
      <c r="E120" s="2946" t="s">
        <v>2595</v>
      </c>
      <c r="F120" s="2946" t="s">
        <v>2596</v>
      </c>
      <c r="G120" s="2946" t="s">
        <v>2597</v>
      </c>
      <c r="H120" s="556"/>
      <c r="I120" s="556"/>
      <c r="J120" s="556"/>
      <c r="K120" s="556"/>
      <c r="L120" s="557"/>
      <c r="M120" s="558"/>
      <c r="N120" s="1156"/>
      <c r="O120" s="1156"/>
      <c r="P120" s="2628"/>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6"/>
      <c r="O121" s="1156"/>
      <c r="P121" s="2628"/>
      <c r="Q121" s="560"/>
    </row>
    <row r="122" spans="1:17" ht="15" thickTop="1">
      <c r="A122" s="600"/>
      <c r="B122" s="539" t="s">
        <v>2616</v>
      </c>
      <c r="C122" s="2931" t="s">
        <v>3172</v>
      </c>
      <c r="D122" s="2931" t="s">
        <v>3179</v>
      </c>
      <c r="E122" s="2931" t="s">
        <v>3173</v>
      </c>
      <c r="F122" s="2932" t="s">
        <v>3180</v>
      </c>
      <c r="G122" s="584"/>
      <c r="H122" s="584"/>
      <c r="I122" s="584"/>
      <c r="J122" s="584"/>
      <c r="K122" s="585"/>
      <c r="L122" s="586"/>
      <c r="M122" s="587"/>
      <c r="N122" s="1154"/>
      <c r="O122" s="1154"/>
      <c r="P122" s="2627"/>
      <c r="Q122" s="505"/>
    </row>
    <row r="123" spans="1:17" ht="15.75" thickBot="1">
      <c r="A123" s="535"/>
      <c r="B123" s="544"/>
      <c r="C123" s="545">
        <v>100</v>
      </c>
      <c r="D123" s="545">
        <f t="shared" ref="D123:M123" si="30">C123-$K42</f>
        <v>98</v>
      </c>
      <c r="E123" s="545">
        <f t="shared" si="30"/>
        <v>96</v>
      </c>
      <c r="F123" s="545">
        <f t="shared" si="30"/>
        <v>94</v>
      </c>
      <c r="G123" s="545">
        <f t="shared" si="30"/>
        <v>92</v>
      </c>
      <c r="H123" s="545">
        <f t="shared" si="30"/>
        <v>90</v>
      </c>
      <c r="I123" s="545">
        <f t="shared" si="30"/>
        <v>88</v>
      </c>
      <c r="J123" s="545">
        <f t="shared" si="30"/>
        <v>86</v>
      </c>
      <c r="K123" s="545">
        <f t="shared" si="30"/>
        <v>84</v>
      </c>
      <c r="L123" s="545">
        <f t="shared" si="30"/>
        <v>82</v>
      </c>
      <c r="M123" s="546">
        <f t="shared" si="30"/>
        <v>80</v>
      </c>
      <c r="N123" s="1155"/>
      <c r="O123" s="1155"/>
      <c r="P123" s="2627"/>
      <c r="Q123" s="505"/>
    </row>
    <row r="124" spans="1:17" ht="15" thickTop="1">
      <c r="A124" s="600"/>
      <c r="B124" s="539" t="s">
        <v>2617</v>
      </c>
      <c r="C124" s="579" t="s">
        <v>2593</v>
      </c>
      <c r="D124" s="579" t="s">
        <v>2594</v>
      </c>
      <c r="E124" s="579" t="s">
        <v>2595</v>
      </c>
      <c r="F124" s="579" t="s">
        <v>2596</v>
      </c>
      <c r="G124" s="579" t="s">
        <v>2597</v>
      </c>
      <c r="H124" s="540"/>
      <c r="I124" s="540"/>
      <c r="J124" s="540"/>
      <c r="K124" s="541"/>
      <c r="L124" s="542"/>
      <c r="M124" s="543"/>
      <c r="N124" s="1154"/>
      <c r="O124" s="1154"/>
      <c r="P124" s="2628"/>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5"/>
      <c r="O125" s="1155"/>
      <c r="P125" s="2627"/>
      <c r="Q125" s="505"/>
    </row>
    <row r="126" spans="1:17" s="472" customFormat="1" ht="15" hidden="1" thickTop="1">
      <c r="A126" s="594"/>
      <c r="B126" s="539">
        <f>B44</f>
        <v>111</v>
      </c>
      <c r="C126" s="555"/>
      <c r="D126" s="555"/>
      <c r="E126" s="555"/>
      <c r="F126" s="555"/>
      <c r="G126" s="555"/>
      <c r="H126" s="556"/>
      <c r="I126" s="556"/>
      <c r="J126" s="556"/>
      <c r="K126" s="556"/>
      <c r="L126" s="557"/>
      <c r="M126" s="558"/>
      <c r="N126" s="1156"/>
      <c r="O126" s="1156"/>
      <c r="P126" s="2628"/>
      <c r="Q126" s="560"/>
    </row>
    <row r="127" spans="1:17" s="472" customFormat="1" ht="15.75" hidden="1" thickBot="1">
      <c r="A127" s="554"/>
      <c r="B127" s="544"/>
      <c r="C127" s="561"/>
      <c r="D127" s="537"/>
      <c r="E127" s="537"/>
      <c r="F127" s="537"/>
      <c r="G127" s="561"/>
      <c r="H127" s="563"/>
      <c r="I127" s="563"/>
      <c r="J127" s="563"/>
      <c r="K127" s="563"/>
      <c r="L127" s="563"/>
      <c r="M127" s="564"/>
      <c r="N127" s="1156"/>
      <c r="O127" s="1156"/>
      <c r="P127" s="2628"/>
      <c r="Q127" s="560"/>
    </row>
    <row r="128" spans="1:17" ht="15" hidden="1" thickTop="1">
      <c r="A128" s="600"/>
      <c r="B128" s="539">
        <f>B45</f>
        <v>111</v>
      </c>
      <c r="C128" s="555"/>
      <c r="D128" s="555"/>
      <c r="E128" s="555"/>
      <c r="F128" s="555"/>
      <c r="G128" s="584"/>
      <c r="H128" s="584"/>
      <c r="I128" s="584"/>
      <c r="J128" s="584"/>
      <c r="K128" s="585"/>
      <c r="L128" s="586"/>
      <c r="M128" s="587"/>
      <c r="N128" s="1154"/>
      <c r="O128" s="1154"/>
      <c r="P128" s="2627"/>
      <c r="Q128" s="505"/>
    </row>
    <row r="129" spans="1:17" ht="15.75" hidden="1" thickBot="1">
      <c r="A129" s="535"/>
      <c r="B129" s="544"/>
      <c r="C129" s="561"/>
      <c r="D129" s="537"/>
      <c r="E129" s="537"/>
      <c r="F129" s="537"/>
      <c r="G129" s="537"/>
      <c r="H129" s="537"/>
      <c r="I129" s="537"/>
      <c r="J129" s="537"/>
      <c r="K129" s="537"/>
      <c r="L129" s="537"/>
      <c r="M129" s="538"/>
      <c r="N129" s="1155"/>
      <c r="O129" s="1155"/>
      <c r="P129" s="2627"/>
      <c r="Q129" s="505"/>
    </row>
    <row r="130" spans="1:17" ht="15" hidden="1" thickTop="1">
      <c r="A130" s="600"/>
      <c r="B130" s="547">
        <f>B46</f>
        <v>111</v>
      </c>
      <c r="C130" s="555"/>
      <c r="D130" s="555"/>
      <c r="E130" s="555"/>
      <c r="F130" s="555"/>
      <c r="G130" s="588"/>
      <c r="H130" s="588"/>
      <c r="I130" s="588"/>
      <c r="J130" s="588"/>
      <c r="K130" s="524"/>
      <c r="L130" s="525"/>
      <c r="M130" s="591"/>
      <c r="N130" s="1154"/>
      <c r="O130" s="1154"/>
      <c r="P130" s="2627"/>
      <c r="Q130" s="505"/>
    </row>
    <row r="131" spans="1:17" ht="15.75" hidden="1" thickBot="1">
      <c r="A131" s="2633"/>
      <c r="B131" s="570"/>
      <c r="C131" s="571"/>
      <c r="D131" s="571"/>
      <c r="E131" s="571"/>
      <c r="F131" s="571"/>
      <c r="G131" s="592"/>
      <c r="H131" s="592"/>
      <c r="I131" s="592"/>
      <c r="J131" s="592"/>
      <c r="K131" s="592"/>
      <c r="L131" s="592"/>
      <c r="M131" s="593"/>
      <c r="N131" s="1155"/>
      <c r="O131" s="1155"/>
      <c r="P131" s="2627"/>
      <c r="Q131" s="505"/>
    </row>
    <row r="132" spans="1:17"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5"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2" customFormat="1" ht="28.5" customHeight="1" thickBot="1">
      <c r="A1" s="1621" t="s">
        <v>2524</v>
      </c>
      <c r="B1" s="2666" t="s">
        <v>2681</v>
      </c>
      <c r="C1" s="1623" t="s">
        <v>2526</v>
      </c>
      <c r="D1" s="1624"/>
      <c r="E1" s="1633"/>
      <c r="F1" s="2581"/>
      <c r="G1" s="1634" t="s">
        <v>2639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9" customFormat="1" ht="28.5" customHeight="1" thickTop="1">
      <c r="A2" s="1620" t="s">
        <v>2326</v>
      </c>
      <c r="B2" s="1420" t="e">
        <f ca="1">IF(C2="——",ROUND(C50*D3/10000,0),ROUND(C50*D3/10000,0)-D2)</f>
        <v>#DIV/0!</v>
      </c>
      <c r="C2" s="2583"/>
      <c r="D2" s="1367" t="e">
        <f ca="1">SUMIF(INDIRECT("'"&amp;F2&amp;"'"&amp;"!A:A"),"承租人权益价值",INDIRECT("'"&amp;F2&amp;"'"&amp;"!c:c"))</f>
        <v>#REF!</v>
      </c>
      <c r="E2" s="2584" t="s">
        <v>2327</v>
      </c>
      <c r="F2" s="2585"/>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9" customFormat="1" ht="28.5" customHeight="1" thickBot="1">
      <c r="A3" s="248" t="s">
        <v>2328</v>
      </c>
      <c r="B3" s="610" t="e">
        <f ca="1">IF(C2="——",C50,ROUND(B2*10000/D3,0))</f>
        <v>#DIV/0!</v>
      </c>
      <c r="C3" s="401" t="s">
        <v>2640</v>
      </c>
      <c r="D3" s="400">
        <f>IF(D1="",'数据-汇总表'!E3,SUMIF('数据-汇总表'!$C19:$C33,D1,'数据-汇总表'!$E19:$E33))</f>
        <v>7765.3499999999995</v>
      </c>
      <c r="E3" s="2660"/>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2" t="s">
        <v>2641</v>
      </c>
      <c r="B4" s="403"/>
      <c r="C4" s="3270" t="s">
        <v>2642</v>
      </c>
      <c r="D4" s="3283"/>
      <c r="E4" s="3284" t="s">
        <v>2643</v>
      </c>
      <c r="F4" s="3285"/>
      <c r="G4" s="3270" t="s">
        <v>2644</v>
      </c>
      <c r="H4" s="3283"/>
      <c r="I4" s="3270" t="s">
        <v>2645</v>
      </c>
      <c r="J4" s="3283"/>
      <c r="K4" s="611" t="s">
        <v>2646</v>
      </c>
      <c r="L4" s="1132"/>
      <c r="M4" s="1133"/>
      <c r="N4" s="1133"/>
      <c r="O4" s="1133"/>
      <c r="P4" s="3355" t="s">
        <v>2647</v>
      </c>
      <c r="Q4" s="3356"/>
      <c r="R4" s="3359" t="s">
        <v>2643</v>
      </c>
      <c r="S4" s="3360"/>
      <c r="T4" s="3359" t="s">
        <v>2644</v>
      </c>
      <c r="U4" s="3360"/>
      <c r="V4" s="3361" t="s">
        <v>2645</v>
      </c>
      <c r="W4" s="3361"/>
      <c r="X4" s="2667"/>
      <c r="Y4" s="3359" t="s">
        <v>2647</v>
      </c>
      <c r="Z4" s="3360"/>
      <c r="AA4" s="3364" t="s">
        <v>2643</v>
      </c>
      <c r="AB4" s="3364" t="s">
        <v>2644</v>
      </c>
      <c r="AC4" s="3352" t="s">
        <v>2645</v>
      </c>
    </row>
    <row r="5" spans="1:29" ht="15">
      <c r="A5" s="405"/>
      <c r="B5" s="406"/>
      <c r="C5" s="3348" t="s">
        <v>2538</v>
      </c>
      <c r="D5" s="3301"/>
      <c r="E5" s="3365" t="s">
        <v>2539</v>
      </c>
      <c r="F5" s="3310"/>
      <c r="G5" s="3348" t="s">
        <v>2540</v>
      </c>
      <c r="H5" s="3301"/>
      <c r="I5" s="3348" t="s">
        <v>2541</v>
      </c>
      <c r="J5" s="3301"/>
      <c r="K5" s="611"/>
      <c r="L5" s="1132"/>
      <c r="M5" s="1133"/>
      <c r="N5" s="1133"/>
      <c r="O5" s="1133"/>
      <c r="P5" s="3357"/>
      <c r="Q5" s="3289"/>
      <c r="R5" s="3294"/>
      <c r="S5" s="3295"/>
      <c r="T5" s="3294"/>
      <c r="U5" s="3295"/>
      <c r="V5" s="3279"/>
      <c r="W5" s="3279"/>
      <c r="X5" s="1816"/>
      <c r="Y5" s="3294"/>
      <c r="Z5" s="3295"/>
      <c r="AA5" s="3281"/>
      <c r="AB5" s="3281"/>
      <c r="AC5" s="3353"/>
    </row>
    <row r="6" spans="1:29" ht="15.75" thickBot="1">
      <c r="A6" s="407"/>
      <c r="B6" s="408"/>
      <c r="C6" s="3347" t="s">
        <v>2542</v>
      </c>
      <c r="D6" s="3299"/>
      <c r="E6" s="3363" t="s">
        <v>2542</v>
      </c>
      <c r="F6" s="3308"/>
      <c r="G6" s="3347" t="s">
        <v>2542</v>
      </c>
      <c r="H6" s="3299"/>
      <c r="I6" s="3347" t="s">
        <v>2542</v>
      </c>
      <c r="J6" s="3299"/>
      <c r="K6" s="611" t="s">
        <v>2543</v>
      </c>
      <c r="L6" s="1132"/>
      <c r="M6" s="1133"/>
      <c r="N6" s="1133"/>
      <c r="O6" s="1133"/>
      <c r="P6" s="3358"/>
      <c r="Q6" s="3291"/>
      <c r="R6" s="3294"/>
      <c r="S6" s="3295"/>
      <c r="T6" s="3296"/>
      <c r="U6" s="3297"/>
      <c r="V6" s="3279"/>
      <c r="W6" s="3279"/>
      <c r="X6" s="1816"/>
      <c r="Y6" s="3296"/>
      <c r="Z6" s="3297"/>
      <c r="AA6" s="3282"/>
      <c r="AB6" s="3282"/>
      <c r="AC6" s="3354"/>
    </row>
    <row r="7" spans="1:29" s="117" customFormat="1" ht="15.75" thickBot="1">
      <c r="A7" s="409" t="s">
        <v>2544</v>
      </c>
      <c r="B7" s="410"/>
      <c r="C7" s="411">
        <f>'数据-取费表'!B2</f>
        <v>43049</v>
      </c>
      <c r="D7" s="412">
        <v>100</v>
      </c>
      <c r="E7" s="413"/>
      <c r="F7" s="414">
        <f>SUMIF(59:59,YEAR(E7)&amp;"-"&amp;MONTH(E7),60:60)</f>
        <v>0</v>
      </c>
      <c r="G7" s="413"/>
      <c r="H7" s="412">
        <f>SUMIF(59:59,YEAR(G7)&amp;"-"&amp;MONTH(G7),60:60)</f>
        <v>0</v>
      </c>
      <c r="I7" s="413"/>
      <c r="J7" s="412">
        <f>SUMIF(59:59,YEAR(I7)&amp;"-"&amp;MONTH(I7),60:60)</f>
        <v>0</v>
      </c>
      <c r="K7" s="612"/>
      <c r="L7" s="1134"/>
      <c r="M7" s="1135"/>
      <c r="N7" s="1135"/>
      <c r="O7" s="1135"/>
      <c r="P7" s="3362" t="s">
        <v>2545</v>
      </c>
      <c r="Q7" s="3304"/>
      <c r="R7" s="769" t="s">
        <v>17</v>
      </c>
      <c r="S7" s="770">
        <f t="shared" ref="S7:S15" si="0">F7</f>
        <v>0</v>
      </c>
      <c r="T7" s="769" t="s">
        <v>17</v>
      </c>
      <c r="U7" s="770">
        <f t="shared" ref="U7:U15" si="1">H7</f>
        <v>0</v>
      </c>
      <c r="V7" s="769" t="s">
        <v>17</v>
      </c>
      <c r="W7" s="770">
        <f t="shared" ref="W7:W15" si="2">J7</f>
        <v>0</v>
      </c>
      <c r="X7" s="771"/>
      <c r="Y7" s="3302" t="s">
        <v>2545</v>
      </c>
      <c r="Z7" s="3303"/>
      <c r="AA7" s="772" t="e">
        <f>D7/F7</f>
        <v>#DIV/0!</v>
      </c>
      <c r="AB7" s="772" t="e">
        <f>D7/H7</f>
        <v>#DIV/0!</v>
      </c>
      <c r="AC7" s="2668" t="e">
        <f>D7/J7</f>
        <v>#DIV/0!</v>
      </c>
    </row>
    <row r="8" spans="1:29" s="117" customFormat="1" ht="15.75" thickBot="1">
      <c r="A8" s="409" t="s">
        <v>2546</v>
      </c>
      <c r="B8" s="410"/>
      <c r="C8" s="415" t="s">
        <v>2648</v>
      </c>
      <c r="D8" s="412">
        <v>100</v>
      </c>
      <c r="E8" s="415"/>
      <c r="F8" s="414">
        <f>SUMIF(62:62,E8,63:63)-SUMIF(62:62,C8,63:63)+100</f>
        <v>0</v>
      </c>
      <c r="G8" s="415"/>
      <c r="H8" s="412">
        <f>SUMIF(62:62,G8,63:63)-SUMIF(62:62,C8,63:63)+100</f>
        <v>0</v>
      </c>
      <c r="I8" s="415"/>
      <c r="J8" s="412">
        <f>SUMIF(62:62,I8,63:63)-SUMIF(62:62,C8,63:63)+100</f>
        <v>0</v>
      </c>
      <c r="K8" s="612"/>
      <c r="L8" s="1134"/>
      <c r="M8" s="1135"/>
      <c r="N8" s="1135"/>
      <c r="O8" s="1135"/>
      <c r="P8" s="3362" t="s">
        <v>2548</v>
      </c>
      <c r="Q8" s="3303"/>
      <c r="R8" s="769" t="s">
        <v>17</v>
      </c>
      <c r="S8" s="770">
        <f t="shared" si="0"/>
        <v>0</v>
      </c>
      <c r="T8" s="769" t="s">
        <v>17</v>
      </c>
      <c r="U8" s="770">
        <f t="shared" si="1"/>
        <v>0</v>
      </c>
      <c r="V8" s="769" t="s">
        <v>17</v>
      </c>
      <c r="W8" s="770">
        <f t="shared" si="2"/>
        <v>0</v>
      </c>
      <c r="X8" s="771"/>
      <c r="Y8" s="3302" t="s">
        <v>2548</v>
      </c>
      <c r="Z8" s="3303"/>
      <c r="AA8" s="772" t="e">
        <f t="shared" ref="AA8:AA47" si="3">D8/F8</f>
        <v>#DIV/0!</v>
      </c>
      <c r="AB8" s="772" t="e">
        <f t="shared" ref="AB8:AB47" si="4">D8/H8</f>
        <v>#DIV/0!</v>
      </c>
      <c r="AC8" s="2668" t="e">
        <f t="shared" ref="AC8:AC47" si="5">D8/J8</f>
        <v>#DIV/0!</v>
      </c>
    </row>
    <row r="9" spans="1:29" s="117" customFormat="1">
      <c r="A9" s="416" t="s">
        <v>2549</v>
      </c>
      <c r="B9" s="71" t="s">
        <v>2550</v>
      </c>
      <c r="C9" s="417"/>
      <c r="D9" s="135">
        <v>100</v>
      </c>
      <c r="E9" s="420"/>
      <c r="F9" s="135">
        <f>SUMIF(64:64,E9,65:65)-SUMIF(64:64,C9,65:65)+100</f>
        <v>100</v>
      </c>
      <c r="G9" s="418"/>
      <c r="H9" s="135">
        <f>SUMIF(64:64,G9,65:65)-SUMIF(64:64,C9,65:65)+100</f>
        <v>100</v>
      </c>
      <c r="I9" s="418"/>
      <c r="J9" s="135">
        <f>SUMIF(64:64,I9,65:65)-SUMIF(64:64,C9,65:65)+100</f>
        <v>100</v>
      </c>
      <c r="K9" s="612"/>
      <c r="L9" s="1134"/>
      <c r="M9" s="1135"/>
      <c r="N9" s="1135"/>
      <c r="O9" s="1135"/>
      <c r="P9" s="3272" t="s">
        <v>2551</v>
      </c>
      <c r="Q9" s="1798" t="str">
        <f t="shared" ref="Q9:Q15" si="6">B9</f>
        <v>用途</v>
      </c>
      <c r="R9" s="769" t="s">
        <v>17</v>
      </c>
      <c r="S9" s="770">
        <f t="shared" si="0"/>
        <v>100</v>
      </c>
      <c r="T9" s="769" t="s">
        <v>17</v>
      </c>
      <c r="U9" s="770">
        <f t="shared" si="1"/>
        <v>100</v>
      </c>
      <c r="V9" s="769" t="s">
        <v>17</v>
      </c>
      <c r="W9" s="770">
        <f t="shared" si="2"/>
        <v>100</v>
      </c>
      <c r="X9" s="771"/>
      <c r="Y9" s="3121" t="s">
        <v>2552</v>
      </c>
      <c r="Z9" s="55" t="str">
        <f t="shared" ref="Z9:Z15" si="7">Q9</f>
        <v>用途</v>
      </c>
      <c r="AA9" s="772">
        <f t="shared" si="3"/>
        <v>1</v>
      </c>
      <c r="AB9" s="772">
        <f t="shared" si="4"/>
        <v>1</v>
      </c>
      <c r="AC9" s="2668">
        <f t="shared" si="5"/>
        <v>1</v>
      </c>
    </row>
    <row r="10" spans="1:29" s="428" customFormat="1" ht="27">
      <c r="A10" s="422"/>
      <c r="B10" s="423" t="s">
        <v>2553</v>
      </c>
      <c r="C10" s="424"/>
      <c r="D10" s="136">
        <v>100</v>
      </c>
      <c r="E10" s="424"/>
      <c r="F10" s="136">
        <f>SUMIF(66:66,E10,67:67)-SUMIF(66:66,C10,67:67)+100</f>
        <v>100</v>
      </c>
      <c r="G10" s="425"/>
      <c r="H10" s="136">
        <f>SUMIF(66:66,G10,67:67)-SUMIF(66:66,C10,67:67)+100</f>
        <v>100</v>
      </c>
      <c r="I10" s="424"/>
      <c r="J10" s="136">
        <f>SUMIF(66:66,I10,67:67)-SUMIF(66:66,C10,67:67)+100</f>
        <v>100</v>
      </c>
      <c r="K10" s="613"/>
      <c r="L10" s="1137"/>
      <c r="M10" s="1138"/>
      <c r="N10" s="1138"/>
      <c r="O10" s="1138"/>
      <c r="P10" s="3272"/>
      <c r="Q10" s="1798" t="str">
        <f t="shared" si="6"/>
        <v>土地使用年限（年）</v>
      </c>
      <c r="R10" s="769" t="s">
        <v>17</v>
      </c>
      <c r="S10" s="770">
        <f t="shared" si="0"/>
        <v>100</v>
      </c>
      <c r="T10" s="769" t="s">
        <v>17</v>
      </c>
      <c r="U10" s="770">
        <f t="shared" si="1"/>
        <v>100</v>
      </c>
      <c r="V10" s="769" t="s">
        <v>17</v>
      </c>
      <c r="W10" s="770">
        <f t="shared" si="2"/>
        <v>100</v>
      </c>
      <c r="X10" s="771"/>
      <c r="Y10" s="3121"/>
      <c r="Z10" s="55" t="str">
        <f t="shared" si="7"/>
        <v>土地使用年限（年）</v>
      </c>
      <c r="AA10" s="772">
        <f t="shared" si="3"/>
        <v>1</v>
      </c>
      <c r="AB10" s="772">
        <f t="shared" si="4"/>
        <v>1</v>
      </c>
      <c r="AC10" s="2668">
        <f t="shared" si="5"/>
        <v>1</v>
      </c>
    </row>
    <row r="11" spans="1:29" ht="15">
      <c r="A11" s="429"/>
      <c r="B11" s="423" t="s">
        <v>2554</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40"/>
      <c r="M11" s="1133"/>
      <c r="N11" s="1133"/>
      <c r="O11" s="1133"/>
      <c r="P11" s="3272"/>
      <c r="Q11" s="1798" t="str">
        <f t="shared" si="6"/>
        <v>容积率</v>
      </c>
      <c r="R11" s="769" t="s">
        <v>17</v>
      </c>
      <c r="S11" s="770" t="e">
        <f t="shared" si="0"/>
        <v>#N/A</v>
      </c>
      <c r="T11" s="769" t="s">
        <v>17</v>
      </c>
      <c r="U11" s="770" t="e">
        <f t="shared" si="1"/>
        <v>#N/A</v>
      </c>
      <c r="V11" s="769" t="s">
        <v>17</v>
      </c>
      <c r="W11" s="770" t="e">
        <f t="shared" si="2"/>
        <v>#N/A</v>
      </c>
      <c r="X11" s="771"/>
      <c r="Y11" s="3121"/>
      <c r="Z11" s="55" t="str">
        <f t="shared" si="7"/>
        <v>容积率</v>
      </c>
      <c r="AA11" s="772" t="e">
        <f t="shared" si="3"/>
        <v>#N/A</v>
      </c>
      <c r="AB11" s="772" t="e">
        <f t="shared" si="4"/>
        <v>#N/A</v>
      </c>
      <c r="AC11" s="2668" t="e">
        <f t="shared" si="5"/>
        <v>#N/A</v>
      </c>
    </row>
    <row r="12" spans="1:29" s="117" customFormat="1" ht="15">
      <c r="A12" s="432"/>
      <c r="B12" s="2597">
        <v>111</v>
      </c>
      <c r="C12" s="433"/>
      <c r="D12" s="434">
        <v>100</v>
      </c>
      <c r="E12" s="433"/>
      <c r="F12" s="136">
        <f>SUMIF(71:71,E12,72:72)-SUMIF(71:71,C12,72:72)+100</f>
        <v>100</v>
      </c>
      <c r="G12" s="2669"/>
      <c r="H12" s="136">
        <f>SUMIF(71:71,G12,72:72)-SUMIF(71:71,C12,72:72)+100</f>
        <v>100</v>
      </c>
      <c r="I12" s="433"/>
      <c r="J12" s="136">
        <f>SUMIF(71:71,I12,72:72)-SUMIF(71:71,C12,72:72)+100</f>
        <v>100</v>
      </c>
      <c r="K12" s="614"/>
      <c r="L12" s="1134"/>
      <c r="M12" s="1135"/>
      <c r="N12" s="1135"/>
      <c r="O12" s="1135"/>
      <c r="P12" s="3272"/>
      <c r="Q12" s="1798">
        <f t="shared" si="6"/>
        <v>111</v>
      </c>
      <c r="R12" s="769" t="s">
        <v>17</v>
      </c>
      <c r="S12" s="770">
        <f t="shared" si="0"/>
        <v>100</v>
      </c>
      <c r="T12" s="769" t="s">
        <v>17</v>
      </c>
      <c r="U12" s="770">
        <f t="shared" si="1"/>
        <v>100</v>
      </c>
      <c r="V12" s="769" t="s">
        <v>17</v>
      </c>
      <c r="W12" s="770">
        <f t="shared" si="2"/>
        <v>100</v>
      </c>
      <c r="X12" s="771"/>
      <c r="Y12" s="3121"/>
      <c r="Z12" s="55">
        <f t="shared" si="7"/>
        <v>111</v>
      </c>
      <c r="AA12" s="772">
        <f>D12/F12</f>
        <v>1</v>
      </c>
      <c r="AB12" s="772">
        <f>D12/H12</f>
        <v>1</v>
      </c>
      <c r="AC12" s="2668">
        <f>D12/J12</f>
        <v>1</v>
      </c>
    </row>
    <row r="13" spans="1:29" ht="15">
      <c r="A13" s="429"/>
      <c r="B13" s="2597">
        <v>111</v>
      </c>
      <c r="C13" s="435"/>
      <c r="D13" s="436">
        <v>100</v>
      </c>
      <c r="E13" s="433"/>
      <c r="F13" s="136">
        <f>SUMIF(73:73,E13,74:74)-SUMIF(73:73,C13,74:74)+100</f>
        <v>100</v>
      </c>
      <c r="G13" s="2669"/>
      <c r="H13" s="436">
        <f>SUMIF(73:73,G13,74:74)-SUMIF(73:73,C13,74:74)+100</f>
        <v>100</v>
      </c>
      <c r="I13" s="433"/>
      <c r="J13" s="436">
        <f>SUMIF(73:73,I13,74:74)-SUMIF(73:73,C13,74:74)+100</f>
        <v>100</v>
      </c>
      <c r="K13" s="614"/>
      <c r="L13" s="1142"/>
      <c r="M13" s="1133"/>
      <c r="N13" s="1133"/>
      <c r="O13" s="1133"/>
      <c r="P13" s="3272"/>
      <c r="Q13" s="1798">
        <f t="shared" si="6"/>
        <v>111</v>
      </c>
      <c r="R13" s="769" t="s">
        <v>17</v>
      </c>
      <c r="S13" s="770">
        <f t="shared" si="0"/>
        <v>100</v>
      </c>
      <c r="T13" s="769" t="s">
        <v>17</v>
      </c>
      <c r="U13" s="770">
        <f t="shared" si="1"/>
        <v>100</v>
      </c>
      <c r="V13" s="769" t="s">
        <v>17</v>
      </c>
      <c r="W13" s="770">
        <f t="shared" si="2"/>
        <v>100</v>
      </c>
      <c r="X13" s="771"/>
      <c r="Y13" s="3121"/>
      <c r="Z13" s="55">
        <f t="shared" si="7"/>
        <v>111</v>
      </c>
      <c r="AA13" s="772">
        <f t="shared" si="3"/>
        <v>1</v>
      </c>
      <c r="AB13" s="772">
        <f t="shared" si="4"/>
        <v>1</v>
      </c>
      <c r="AC13" s="2668">
        <f t="shared" si="5"/>
        <v>1</v>
      </c>
    </row>
    <row r="14" spans="1:29" ht="15.75" thickBot="1">
      <c r="A14" s="437"/>
      <c r="B14" s="2599">
        <v>111</v>
      </c>
      <c r="C14" s="438"/>
      <c r="D14" s="439">
        <v>100</v>
      </c>
      <c r="E14" s="628"/>
      <c r="F14" s="439">
        <f>SUMIF(75:75,E14,76:76)-SUMIF(75:75,C14,76:76)+100</f>
        <v>100</v>
      </c>
      <c r="G14" s="2669"/>
      <c r="H14" s="439">
        <f>SUMIF(75:75,G14,76:76)-SUMIF(75:75,C14,76:76)+100</f>
        <v>100</v>
      </c>
      <c r="I14" s="433"/>
      <c r="J14" s="439">
        <f>SUMIF(75:75,I14,76:76)-SUMIF(75:75,C14,76:76)+100</f>
        <v>100</v>
      </c>
      <c r="K14" s="614"/>
      <c r="L14" s="1142"/>
      <c r="M14" s="1133"/>
      <c r="N14" s="1133"/>
      <c r="O14" s="1133"/>
      <c r="P14" s="3272"/>
      <c r="Q14" s="1798">
        <f t="shared" si="6"/>
        <v>111</v>
      </c>
      <c r="R14" s="769" t="s">
        <v>17</v>
      </c>
      <c r="S14" s="770">
        <f t="shared" si="0"/>
        <v>100</v>
      </c>
      <c r="T14" s="769" t="s">
        <v>17</v>
      </c>
      <c r="U14" s="770">
        <f t="shared" si="1"/>
        <v>100</v>
      </c>
      <c r="V14" s="769" t="s">
        <v>17</v>
      </c>
      <c r="W14" s="770">
        <f t="shared" si="2"/>
        <v>100</v>
      </c>
      <c r="X14" s="771"/>
      <c r="Y14" s="3121"/>
      <c r="Z14" s="55">
        <f t="shared" si="7"/>
        <v>111</v>
      </c>
      <c r="AA14" s="772">
        <f t="shared" si="3"/>
        <v>1</v>
      </c>
      <c r="AB14" s="772">
        <f t="shared" si="4"/>
        <v>1</v>
      </c>
      <c r="AC14" s="2668">
        <f t="shared" si="5"/>
        <v>1</v>
      </c>
    </row>
    <row r="15" spans="1:29" ht="71.25">
      <c r="A15" s="441" t="s">
        <v>2555</v>
      </c>
      <c r="B15" s="629" t="s">
        <v>2682</v>
      </c>
      <c r="C15" s="2670"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c r="L15" s="1142"/>
      <c r="M15" s="1133"/>
      <c r="N15" s="1133"/>
      <c r="O15" s="1133"/>
      <c r="P15" s="3345" t="s">
        <v>2556</v>
      </c>
      <c r="Q15" s="1813" t="str">
        <f t="shared" si="6"/>
        <v>办公集聚程度</v>
      </c>
      <c r="R15" s="773" t="s">
        <v>17</v>
      </c>
      <c r="S15" s="774">
        <f t="shared" si="0"/>
        <v>100</v>
      </c>
      <c r="T15" s="773" t="s">
        <v>17</v>
      </c>
      <c r="U15" s="774">
        <f t="shared" si="1"/>
        <v>100</v>
      </c>
      <c r="V15" s="773" t="s">
        <v>17</v>
      </c>
      <c r="W15" s="774">
        <f t="shared" si="2"/>
        <v>100</v>
      </c>
      <c r="X15" s="1816"/>
      <c r="Y15" s="3275" t="s">
        <v>2556</v>
      </c>
      <c r="Z15" s="1817" t="str">
        <f t="shared" si="7"/>
        <v>办公集聚程度</v>
      </c>
      <c r="AA15" s="1814">
        <f t="shared" si="3"/>
        <v>1</v>
      </c>
      <c r="AB15" s="1814">
        <f t="shared" si="4"/>
        <v>1</v>
      </c>
      <c r="AC15" s="2671">
        <f t="shared" si="5"/>
        <v>1</v>
      </c>
    </row>
    <row r="16" spans="1:29" ht="15">
      <c r="A16" s="429"/>
      <c r="B16" s="630"/>
      <c r="C16" s="2608"/>
      <c r="D16" s="449"/>
      <c r="E16" s="448"/>
      <c r="F16" s="449"/>
      <c r="G16" s="2608"/>
      <c r="H16" s="451"/>
      <c r="I16" s="448"/>
      <c r="J16" s="449"/>
      <c r="K16" s="616"/>
      <c r="L16" s="1142"/>
      <c r="M16" s="1133"/>
      <c r="N16" s="1133"/>
      <c r="O16" s="1133"/>
      <c r="P16" s="3346"/>
      <c r="Q16" s="1813"/>
      <c r="R16" s="773"/>
      <c r="S16" s="774"/>
      <c r="T16" s="773"/>
      <c r="U16" s="774"/>
      <c r="V16" s="773"/>
      <c r="W16" s="774"/>
      <c r="X16" s="1816"/>
      <c r="Y16" s="3276"/>
      <c r="Z16" s="1817"/>
      <c r="AA16" s="1814">
        <v>1</v>
      </c>
      <c r="AB16" s="1814">
        <v>1</v>
      </c>
      <c r="AC16" s="2671">
        <v>1</v>
      </c>
    </row>
    <row r="17" spans="1:29" ht="71.25">
      <c r="A17" s="429"/>
      <c r="B17" s="631" t="s">
        <v>2095</v>
      </c>
      <c r="C17" s="2672"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c r="L17" s="1142"/>
      <c r="M17" s="1133"/>
      <c r="N17" s="1133"/>
      <c r="O17" s="1133"/>
      <c r="P17" s="3346"/>
      <c r="Q17" s="1813" t="str">
        <f>B17</f>
        <v>交通便捷度</v>
      </c>
      <c r="R17" s="773" t="s">
        <v>17</v>
      </c>
      <c r="S17" s="774">
        <f>F17</f>
        <v>100</v>
      </c>
      <c r="T17" s="773" t="s">
        <v>17</v>
      </c>
      <c r="U17" s="774">
        <f>H17</f>
        <v>100</v>
      </c>
      <c r="V17" s="773" t="s">
        <v>17</v>
      </c>
      <c r="W17" s="774">
        <f>J17</f>
        <v>100</v>
      </c>
      <c r="X17" s="1816"/>
      <c r="Y17" s="3276"/>
      <c r="Z17" s="1817" t="str">
        <f>Q17</f>
        <v>交通便捷度</v>
      </c>
      <c r="AA17" s="1814">
        <f t="shared" si="3"/>
        <v>1</v>
      </c>
      <c r="AB17" s="1814">
        <f t="shared" si="4"/>
        <v>1</v>
      </c>
      <c r="AC17" s="2671">
        <f t="shared" si="5"/>
        <v>1</v>
      </c>
    </row>
    <row r="18" spans="1:29" ht="15">
      <c r="A18" s="429"/>
      <c r="B18" s="632"/>
      <c r="C18" s="2673"/>
      <c r="D18" s="451"/>
      <c r="E18" s="2606"/>
      <c r="F18" s="451"/>
      <c r="G18" s="2607"/>
      <c r="H18" s="449"/>
      <c r="I18" s="2607"/>
      <c r="J18" s="449"/>
      <c r="K18" s="616"/>
      <c r="L18" s="1142"/>
      <c r="M18" s="1133"/>
      <c r="N18" s="1133"/>
      <c r="O18" s="1133"/>
      <c r="P18" s="3346"/>
      <c r="Q18" s="1813"/>
      <c r="R18" s="773"/>
      <c r="S18" s="774"/>
      <c r="T18" s="773"/>
      <c r="U18" s="774"/>
      <c r="V18" s="773"/>
      <c r="W18" s="774"/>
      <c r="X18" s="1816"/>
      <c r="Y18" s="3276"/>
      <c r="Z18" s="1817"/>
      <c r="AA18" s="1814">
        <v>1</v>
      </c>
      <c r="AB18" s="1814">
        <v>1</v>
      </c>
      <c r="AC18" s="2671">
        <v>1</v>
      </c>
    </row>
    <row r="19" spans="1:29" ht="42.75">
      <c r="A19" s="429"/>
      <c r="B19" s="631" t="s">
        <v>2683</v>
      </c>
      <c r="C19" s="2672"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c r="L19" s="1142"/>
      <c r="M19" s="1133"/>
      <c r="N19" s="1133"/>
      <c r="O19" s="1133"/>
      <c r="P19" s="3346"/>
      <c r="Q19" s="1813" t="str">
        <f>B19</f>
        <v>公共配套设施</v>
      </c>
      <c r="R19" s="773" t="s">
        <v>17</v>
      </c>
      <c r="S19" s="774">
        <f>F19</f>
        <v>100</v>
      </c>
      <c r="T19" s="773" t="s">
        <v>17</v>
      </c>
      <c r="U19" s="774">
        <f>H19</f>
        <v>100</v>
      </c>
      <c r="V19" s="773" t="s">
        <v>17</v>
      </c>
      <c r="W19" s="774">
        <f>J19</f>
        <v>100</v>
      </c>
      <c r="X19" s="1816"/>
      <c r="Y19" s="3276"/>
      <c r="Z19" s="1817" t="str">
        <f>Q19</f>
        <v>公共配套设施</v>
      </c>
      <c r="AA19" s="1814">
        <f t="shared" si="3"/>
        <v>1</v>
      </c>
      <c r="AB19" s="1814">
        <f t="shared" si="4"/>
        <v>1</v>
      </c>
      <c r="AC19" s="2671">
        <f t="shared" si="5"/>
        <v>1</v>
      </c>
    </row>
    <row r="20" spans="1:29" ht="15">
      <c r="A20" s="429"/>
      <c r="B20" s="632"/>
      <c r="C20" s="2608"/>
      <c r="D20" s="449"/>
      <c r="E20" s="2601"/>
      <c r="F20" s="449"/>
      <c r="G20" s="2602"/>
      <c r="H20" s="449"/>
      <c r="I20" s="2602"/>
      <c r="J20" s="449"/>
      <c r="K20" s="616"/>
      <c r="L20" s="1142"/>
      <c r="M20" s="1133"/>
      <c r="N20" s="1133"/>
      <c r="O20" s="1133"/>
      <c r="P20" s="3346"/>
      <c r="Q20" s="1813"/>
      <c r="R20" s="773"/>
      <c r="S20" s="774"/>
      <c r="T20" s="773"/>
      <c r="U20" s="774"/>
      <c r="V20" s="773"/>
      <c r="W20" s="774"/>
      <c r="X20" s="1816"/>
      <c r="Y20" s="3276"/>
      <c r="Z20" s="1817"/>
      <c r="AA20" s="1814">
        <v>1</v>
      </c>
      <c r="AB20" s="1814">
        <v>1</v>
      </c>
      <c r="AC20" s="2671">
        <v>1</v>
      </c>
    </row>
    <row r="21" spans="1:29" ht="28.5">
      <c r="A21" s="429"/>
      <c r="B21" s="633" t="s">
        <v>2684</v>
      </c>
      <c r="C21" s="2672"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c r="L21" s="1142"/>
      <c r="M21" s="1133"/>
      <c r="N21" s="1133"/>
      <c r="O21" s="1133"/>
      <c r="P21" s="3346"/>
      <c r="Q21" s="1813" t="str">
        <f>B21</f>
        <v>基础设施水平</v>
      </c>
      <c r="R21" s="773" t="s">
        <v>17</v>
      </c>
      <c r="S21" s="774">
        <f>F21</f>
        <v>100</v>
      </c>
      <c r="T21" s="773" t="s">
        <v>17</v>
      </c>
      <c r="U21" s="774">
        <f>H21</f>
        <v>100</v>
      </c>
      <c r="V21" s="773" t="s">
        <v>17</v>
      </c>
      <c r="W21" s="774">
        <f>J21</f>
        <v>100</v>
      </c>
      <c r="X21" s="1816"/>
      <c r="Y21" s="3276"/>
      <c r="Z21" s="1817" t="str">
        <f>Q21</f>
        <v>基础设施水平</v>
      </c>
      <c r="AA21" s="1814">
        <f t="shared" ref="AA21" si="8">D21/F21</f>
        <v>1</v>
      </c>
      <c r="AB21" s="1814">
        <f t="shared" ref="AB21" si="9">D21/H21</f>
        <v>1</v>
      </c>
      <c r="AC21" s="2671">
        <f t="shared" ref="AC21" si="10">D21/J21</f>
        <v>1</v>
      </c>
    </row>
    <row r="22" spans="1:29" ht="15">
      <c r="A22" s="429"/>
      <c r="B22" s="633"/>
      <c r="C22" s="2673"/>
      <c r="D22" s="449"/>
      <c r="E22" s="448"/>
      <c r="F22" s="449"/>
      <c r="G22" s="2608"/>
      <c r="H22" s="449"/>
      <c r="I22" s="2608"/>
      <c r="J22" s="449"/>
      <c r="K22" s="1385"/>
      <c r="L22" s="1142"/>
      <c r="M22" s="1133"/>
      <c r="N22" s="1133"/>
      <c r="O22" s="1133"/>
      <c r="P22" s="3346"/>
      <c r="Q22" s="1813"/>
      <c r="R22" s="773"/>
      <c r="S22" s="774"/>
      <c r="T22" s="773"/>
      <c r="U22" s="774"/>
      <c r="V22" s="773"/>
      <c r="W22" s="774"/>
      <c r="X22" s="1816"/>
      <c r="Y22" s="3276"/>
      <c r="Z22" s="1817"/>
      <c r="AA22" s="1814">
        <v>1</v>
      </c>
      <c r="AB22" s="1814">
        <v>1</v>
      </c>
      <c r="AC22" s="2671">
        <v>1</v>
      </c>
    </row>
    <row r="23" spans="1:29" ht="42.75">
      <c r="A23" s="429"/>
      <c r="B23" s="631" t="s">
        <v>2685</v>
      </c>
      <c r="C23" s="2672"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c r="L23" s="1142"/>
      <c r="M23" s="1133"/>
      <c r="N23" s="1133"/>
      <c r="O23" s="1133"/>
      <c r="P23" s="3346"/>
      <c r="Q23" s="1813" t="str">
        <f>B23</f>
        <v>环境质量</v>
      </c>
      <c r="R23" s="773" t="s">
        <v>17</v>
      </c>
      <c r="S23" s="774">
        <f>F23</f>
        <v>100</v>
      </c>
      <c r="T23" s="773" t="s">
        <v>17</v>
      </c>
      <c r="U23" s="774">
        <f>H23</f>
        <v>100</v>
      </c>
      <c r="V23" s="773" t="s">
        <v>17</v>
      </c>
      <c r="W23" s="774">
        <f>J23</f>
        <v>100</v>
      </c>
      <c r="X23" s="1816"/>
      <c r="Y23" s="3276"/>
      <c r="Z23" s="1817" t="str">
        <f>Q23</f>
        <v>环境质量</v>
      </c>
      <c r="AA23" s="1814">
        <f t="shared" si="3"/>
        <v>1</v>
      </c>
      <c r="AB23" s="1814">
        <f t="shared" si="4"/>
        <v>1</v>
      </c>
      <c r="AC23" s="2671">
        <f t="shared" si="5"/>
        <v>1</v>
      </c>
    </row>
    <row r="24" spans="1:29" ht="15">
      <c r="A24" s="429"/>
      <c r="B24" s="633"/>
      <c r="C24" s="2608"/>
      <c r="D24" s="449"/>
      <c r="E24" s="2601"/>
      <c r="F24" s="449"/>
      <c r="G24" s="2602"/>
      <c r="H24" s="449"/>
      <c r="I24" s="2602"/>
      <c r="J24" s="449"/>
      <c r="K24" s="616"/>
      <c r="L24" s="1142"/>
      <c r="M24" s="1133"/>
      <c r="N24" s="1133"/>
      <c r="O24" s="1133"/>
      <c r="P24" s="3346"/>
      <c r="Q24" s="1813"/>
      <c r="R24" s="773"/>
      <c r="S24" s="774"/>
      <c r="T24" s="773"/>
      <c r="U24" s="774"/>
      <c r="V24" s="773"/>
      <c r="W24" s="774"/>
      <c r="X24" s="1816"/>
      <c r="Y24" s="3276"/>
      <c r="Z24" s="1817"/>
      <c r="AA24" s="1814">
        <v>1</v>
      </c>
      <c r="AB24" s="1814">
        <v>1</v>
      </c>
      <c r="AC24" s="2671">
        <v>1</v>
      </c>
    </row>
    <row r="25" spans="1:29" ht="27">
      <c r="A25" s="405"/>
      <c r="B25" s="631" t="s">
        <v>2686</v>
      </c>
      <c r="C25" s="2612"/>
      <c r="D25" s="436">
        <v>100</v>
      </c>
      <c r="E25" s="435"/>
      <c r="F25" s="436">
        <f>SUMIF(87:87,E26,88:88)-SUMIF(87:87,C26,88:88)+100</f>
        <v>100</v>
      </c>
      <c r="G25" s="2612"/>
      <c r="H25" s="436">
        <f>SUMIF(87:87,G26,88:88)-SUMIF(87:87,C26,88:88)+100</f>
        <v>100</v>
      </c>
      <c r="I25" s="435"/>
      <c r="J25" s="436">
        <f>SUMIF(87:87,I26,88:88)-SUMIF(87:87,C26,88:88)+100</f>
        <v>100</v>
      </c>
      <c r="K25" s="615"/>
      <c r="L25" s="1142"/>
      <c r="M25" s="1133"/>
      <c r="N25" s="1133"/>
      <c r="O25" s="1133"/>
      <c r="P25" s="3346"/>
      <c r="Q25" s="1813" t="str">
        <f>B25</f>
        <v>毗邻道路的类型与等级</v>
      </c>
      <c r="R25" s="773" t="s">
        <v>17</v>
      </c>
      <c r="S25" s="774">
        <f>F25</f>
        <v>100</v>
      </c>
      <c r="T25" s="773" t="s">
        <v>17</v>
      </c>
      <c r="U25" s="774">
        <f>H25</f>
        <v>100</v>
      </c>
      <c r="V25" s="773" t="s">
        <v>17</v>
      </c>
      <c r="W25" s="774">
        <f>J25</f>
        <v>100</v>
      </c>
      <c r="X25" s="1816"/>
      <c r="Y25" s="3276"/>
      <c r="Z25" s="1817" t="str">
        <f>Q25</f>
        <v>毗邻道路的类型与等级</v>
      </c>
      <c r="AA25" s="1814">
        <f t="shared" si="3"/>
        <v>1</v>
      </c>
      <c r="AB25" s="1814">
        <f t="shared" si="4"/>
        <v>1</v>
      </c>
      <c r="AC25" s="2671">
        <f t="shared" si="5"/>
        <v>1</v>
      </c>
    </row>
    <row r="26" spans="1:29" ht="15">
      <c r="A26" s="405"/>
      <c r="B26" s="632"/>
      <c r="C26" s="634"/>
      <c r="D26" s="436"/>
      <c r="E26" s="617"/>
      <c r="F26" s="436"/>
      <c r="G26" s="634"/>
      <c r="H26" s="436"/>
      <c r="I26" s="617"/>
      <c r="J26" s="436"/>
      <c r="K26" s="616"/>
      <c r="L26" s="1142"/>
      <c r="M26" s="1133"/>
      <c r="N26" s="1133"/>
      <c r="O26" s="1133"/>
      <c r="P26" s="3346"/>
      <c r="Q26" s="1813"/>
      <c r="R26" s="773"/>
      <c r="S26" s="774"/>
      <c r="T26" s="773"/>
      <c r="U26" s="774"/>
      <c r="V26" s="773"/>
      <c r="W26" s="774"/>
      <c r="X26" s="1816"/>
      <c r="Y26" s="3276"/>
      <c r="Z26" s="1817"/>
      <c r="AA26" s="1814">
        <v>1</v>
      </c>
      <c r="AB26" s="1814">
        <v>1</v>
      </c>
      <c r="AC26" s="2671">
        <v>1</v>
      </c>
    </row>
    <row r="27" spans="1:29" ht="15">
      <c r="A27" s="429"/>
      <c r="B27" s="632" t="s">
        <v>2654</v>
      </c>
      <c r="C27" s="634"/>
      <c r="D27" s="436">
        <v>100</v>
      </c>
      <c r="E27" s="617"/>
      <c r="F27" s="436">
        <f>SUMIF(89:89,E27,90:90)-SUMIF(89:89,C27,90:90)+100</f>
        <v>100</v>
      </c>
      <c r="G27" s="634"/>
      <c r="H27" s="436">
        <f>SUMIF(89:89,G27,90:90)-SUMIF(89:89,C27,90:90)+100</f>
        <v>100</v>
      </c>
      <c r="I27" s="617"/>
      <c r="J27" s="436">
        <f>SUMIF(89:89,I27,90:90)-SUMIF(89:89,C27,90:90)+100</f>
        <v>100</v>
      </c>
      <c r="K27" s="613"/>
      <c r="L27" s="1142"/>
      <c r="M27" s="1133"/>
      <c r="N27" s="1133"/>
      <c r="O27" s="1133"/>
      <c r="P27" s="3346"/>
      <c r="Q27" s="1813" t="str">
        <f t="shared" ref="Q27:Q47" si="11">B27</f>
        <v>楼层</v>
      </c>
      <c r="R27" s="773" t="s">
        <v>17</v>
      </c>
      <c r="S27" s="774">
        <f>F27</f>
        <v>100</v>
      </c>
      <c r="T27" s="773" t="s">
        <v>17</v>
      </c>
      <c r="U27" s="774">
        <f>H27</f>
        <v>100</v>
      </c>
      <c r="V27" s="773" t="s">
        <v>17</v>
      </c>
      <c r="W27" s="774">
        <f>J27</f>
        <v>100</v>
      </c>
      <c r="X27" s="1816"/>
      <c r="Y27" s="3276"/>
      <c r="Z27" s="1817" t="str">
        <f>Q27</f>
        <v>楼层</v>
      </c>
      <c r="AA27" s="1814">
        <f t="shared" si="3"/>
        <v>1</v>
      </c>
      <c r="AB27" s="1814">
        <f t="shared" si="4"/>
        <v>1</v>
      </c>
      <c r="AC27" s="2671">
        <f t="shared" si="5"/>
        <v>1</v>
      </c>
    </row>
    <row r="28" spans="1:29" s="117" customFormat="1" ht="15">
      <c r="A28" s="432"/>
      <c r="B28" s="631" t="s">
        <v>2687</v>
      </c>
      <c r="C28" s="2674"/>
      <c r="D28" s="463">
        <v>100</v>
      </c>
      <c r="E28" s="2662"/>
      <c r="F28" s="463">
        <f>SUMIF(91:91,E28,92:92)-SUMIF(91:91,C28,92:92)+100</f>
        <v>100</v>
      </c>
      <c r="G28" s="2674"/>
      <c r="H28" s="463">
        <f>SUMIF(91:91,G28,92:92)-SUMIF(91:91,C28,92:92)+100</f>
        <v>100</v>
      </c>
      <c r="I28" s="2662"/>
      <c r="J28" s="463">
        <f>SUMIF(91:91,I28,92:92)-SUMIF(91:91,C28,92:92)+100</f>
        <v>100</v>
      </c>
      <c r="K28" s="613"/>
      <c r="L28" s="1134"/>
      <c r="M28" s="1135"/>
      <c r="N28" s="1135"/>
      <c r="O28" s="1135"/>
      <c r="P28" s="3346"/>
      <c r="Q28" s="1798" t="str">
        <f t="shared" si="11"/>
        <v>朝向</v>
      </c>
      <c r="R28" s="769" t="s">
        <v>17</v>
      </c>
      <c r="S28" s="770">
        <f>F28</f>
        <v>100</v>
      </c>
      <c r="T28" s="769" t="s">
        <v>17</v>
      </c>
      <c r="U28" s="770">
        <f>H28</f>
        <v>100</v>
      </c>
      <c r="V28" s="769" t="s">
        <v>17</v>
      </c>
      <c r="W28" s="770">
        <f>J28</f>
        <v>100</v>
      </c>
      <c r="X28" s="771"/>
      <c r="Y28" s="3276"/>
      <c r="Z28" s="55" t="str">
        <f>Q28</f>
        <v>朝向</v>
      </c>
      <c r="AA28" s="1814">
        <f>D28/F28</f>
        <v>1</v>
      </c>
      <c r="AB28" s="1814">
        <f>D28/H28</f>
        <v>1</v>
      </c>
      <c r="AC28" s="2671">
        <f>D28/J28</f>
        <v>1</v>
      </c>
    </row>
    <row r="29" spans="1:29" ht="15">
      <c r="A29" s="429"/>
      <c r="B29" s="2675">
        <v>111</v>
      </c>
      <c r="C29" s="2612"/>
      <c r="D29" s="436">
        <v>100</v>
      </c>
      <c r="E29" s="433"/>
      <c r="F29" s="436">
        <f>SUMIF(93:93,E29,94:94)-SUMIF(93:93,C29,94:94)+100</f>
        <v>100</v>
      </c>
      <c r="G29" s="2669"/>
      <c r="H29" s="436">
        <f>SUMIF(93:93,G29,94:94)-SUMIF(93:93,C29,94:94)+100</f>
        <v>100</v>
      </c>
      <c r="I29" s="433"/>
      <c r="J29" s="436">
        <f>SUMIF(93:93,I29,94:94)-SUMIF(93:93,C29,94:94)+100</f>
        <v>100</v>
      </c>
      <c r="K29" s="614"/>
      <c r="L29" s="1142"/>
      <c r="M29" s="1133"/>
      <c r="N29" s="1133"/>
      <c r="O29" s="1133"/>
      <c r="P29" s="3346"/>
      <c r="Q29" s="1813">
        <f t="shared" si="11"/>
        <v>111</v>
      </c>
      <c r="R29" s="773" t="s">
        <v>17</v>
      </c>
      <c r="S29" s="774">
        <f t="shared" ref="S29:S47" si="12">F29</f>
        <v>100</v>
      </c>
      <c r="T29" s="773" t="s">
        <v>17</v>
      </c>
      <c r="U29" s="774">
        <f t="shared" ref="U29:U47" si="13">H29</f>
        <v>100</v>
      </c>
      <c r="V29" s="773" t="s">
        <v>17</v>
      </c>
      <c r="W29" s="774">
        <f t="shared" ref="W29:W47" si="14">J29</f>
        <v>100</v>
      </c>
      <c r="X29" s="1816"/>
      <c r="Y29" s="3276"/>
      <c r="Z29" s="1817">
        <f t="shared" ref="Z29:Z47" si="15">Q29</f>
        <v>111</v>
      </c>
      <c r="AA29" s="1814">
        <f t="shared" si="3"/>
        <v>1</v>
      </c>
      <c r="AB29" s="1814">
        <f t="shared" si="4"/>
        <v>1</v>
      </c>
      <c r="AC29" s="2671">
        <f t="shared" si="5"/>
        <v>1</v>
      </c>
    </row>
    <row r="30" spans="1:29" ht="15">
      <c r="A30" s="429"/>
      <c r="B30" s="2675">
        <v>111</v>
      </c>
      <c r="C30" s="2612"/>
      <c r="D30" s="436">
        <v>100</v>
      </c>
      <c r="E30" s="433"/>
      <c r="F30" s="436">
        <f>SUMIF(95:95,E30,96:96)-SUMIF(95:95,C30,96:96)+100</f>
        <v>100</v>
      </c>
      <c r="G30" s="2669"/>
      <c r="H30" s="436">
        <f>SUMIF(95:95,G30,96:96)-SUMIF(95:95,C30,96:96)+100</f>
        <v>100</v>
      </c>
      <c r="I30" s="433"/>
      <c r="J30" s="436">
        <f>SUMIF(95:95,I30,96:96)-SUMIF(95:95,C30,96:96)+100</f>
        <v>100</v>
      </c>
      <c r="K30" s="614"/>
      <c r="L30" s="1142"/>
      <c r="M30" s="1133"/>
      <c r="N30" s="1133"/>
      <c r="O30" s="1133"/>
      <c r="P30" s="3346"/>
      <c r="Q30" s="1813">
        <f t="shared" si="11"/>
        <v>111</v>
      </c>
      <c r="R30" s="773" t="s">
        <v>17</v>
      </c>
      <c r="S30" s="774">
        <f t="shared" si="12"/>
        <v>100</v>
      </c>
      <c r="T30" s="773" t="s">
        <v>17</v>
      </c>
      <c r="U30" s="774">
        <f t="shared" si="13"/>
        <v>100</v>
      </c>
      <c r="V30" s="773" t="s">
        <v>17</v>
      </c>
      <c r="W30" s="774">
        <f t="shared" si="14"/>
        <v>100</v>
      </c>
      <c r="X30" s="1816"/>
      <c r="Y30" s="3276"/>
      <c r="Z30" s="1817">
        <f t="shared" si="15"/>
        <v>111</v>
      </c>
      <c r="AA30" s="1814">
        <f t="shared" si="3"/>
        <v>1</v>
      </c>
      <c r="AB30" s="1814">
        <f t="shared" si="4"/>
        <v>1</v>
      </c>
      <c r="AC30" s="2671">
        <f t="shared" si="5"/>
        <v>1</v>
      </c>
    </row>
    <row r="31" spans="1:29" ht="15">
      <c r="A31" s="429"/>
      <c r="B31" s="2675">
        <v>111</v>
      </c>
      <c r="C31" s="2612"/>
      <c r="D31" s="436">
        <v>100</v>
      </c>
      <c r="E31" s="433"/>
      <c r="F31" s="436">
        <f>SUMIF(97:97,E31,98:98)-SUMIF(97:97,C31,98:98)+100</f>
        <v>100</v>
      </c>
      <c r="G31" s="2669"/>
      <c r="H31" s="436">
        <f>SUMIF(97:97,G31,98:98)-SUMIF(97:97,C31,98:98)+100</f>
        <v>100</v>
      </c>
      <c r="I31" s="433"/>
      <c r="J31" s="436">
        <f>SUMIF(97:97,I31,98:98)-SUMIF(97:97,C31,98:98)+100</f>
        <v>100</v>
      </c>
      <c r="K31" s="614"/>
      <c r="L31" s="1142"/>
      <c r="M31" s="1133"/>
      <c r="N31" s="1133"/>
      <c r="O31" s="1133"/>
      <c r="P31" s="3346"/>
      <c r="Q31" s="1813">
        <f t="shared" si="11"/>
        <v>111</v>
      </c>
      <c r="R31" s="773" t="s">
        <v>17</v>
      </c>
      <c r="S31" s="774">
        <f t="shared" si="12"/>
        <v>100</v>
      </c>
      <c r="T31" s="773" t="s">
        <v>17</v>
      </c>
      <c r="U31" s="774">
        <f t="shared" si="13"/>
        <v>100</v>
      </c>
      <c r="V31" s="773" t="s">
        <v>17</v>
      </c>
      <c r="W31" s="774">
        <f t="shared" si="14"/>
        <v>100</v>
      </c>
      <c r="X31" s="1816"/>
      <c r="Y31" s="3276"/>
      <c r="Z31" s="1817">
        <f t="shared" si="15"/>
        <v>111</v>
      </c>
      <c r="AA31" s="1814">
        <f t="shared" si="3"/>
        <v>1</v>
      </c>
      <c r="AB31" s="1814">
        <f t="shared" si="4"/>
        <v>1</v>
      </c>
      <c r="AC31" s="2671">
        <f t="shared" si="5"/>
        <v>1</v>
      </c>
    </row>
    <row r="32" spans="1:29" ht="15.75" thickBot="1">
      <c r="A32" s="437"/>
      <c r="B32" s="635">
        <v>111</v>
      </c>
      <c r="C32" s="2613"/>
      <c r="D32" s="439">
        <v>100</v>
      </c>
      <c r="E32" s="628"/>
      <c r="F32" s="439">
        <f>SUMIF(99:99,E32,100:100)-SUMIF(99:99,C32,100:100)+100</f>
        <v>100</v>
      </c>
      <c r="G32" s="2669"/>
      <c r="H32" s="439">
        <f>SUMIF(99:99,G32,100:100)-SUMIF(99:99,C32,100:100)+100</f>
        <v>100</v>
      </c>
      <c r="I32" s="433"/>
      <c r="J32" s="439">
        <f>SUMIF(99:99,I32,100:100)-SUMIF(99:99,C32,100:100)+100</f>
        <v>100</v>
      </c>
      <c r="K32" s="614"/>
      <c r="L32" s="1142"/>
      <c r="M32" s="1133"/>
      <c r="N32" s="1133"/>
      <c r="O32" s="1133"/>
      <c r="P32" s="3346"/>
      <c r="Q32" s="1813">
        <f t="shared" si="11"/>
        <v>111</v>
      </c>
      <c r="R32" s="773" t="s">
        <v>17</v>
      </c>
      <c r="S32" s="774">
        <f t="shared" si="12"/>
        <v>100</v>
      </c>
      <c r="T32" s="773" t="s">
        <v>17</v>
      </c>
      <c r="U32" s="774">
        <f t="shared" si="13"/>
        <v>100</v>
      </c>
      <c r="V32" s="773" t="s">
        <v>17</v>
      </c>
      <c r="W32" s="774">
        <f t="shared" si="14"/>
        <v>100</v>
      </c>
      <c r="X32" s="1816"/>
      <c r="Y32" s="3276"/>
      <c r="Z32" s="1817">
        <f t="shared" si="15"/>
        <v>111</v>
      </c>
      <c r="AA32" s="1814">
        <f t="shared" si="3"/>
        <v>1</v>
      </c>
      <c r="AB32" s="1814">
        <f t="shared" si="4"/>
        <v>1</v>
      </c>
      <c r="AC32" s="2671">
        <f t="shared" si="5"/>
        <v>1</v>
      </c>
    </row>
    <row r="33" spans="1:29" ht="15">
      <c r="A33" s="441" t="s">
        <v>2559</v>
      </c>
      <c r="B33" s="71" t="s">
        <v>2688</v>
      </c>
      <c r="C33" s="2676"/>
      <c r="D33" s="468">
        <v>100</v>
      </c>
      <c r="E33" s="2676"/>
      <c r="F33" s="462">
        <f>SUMIF(101:101,E33,102:102)-SUMIF(101:101,C33,102:102)+100</f>
        <v>100</v>
      </c>
      <c r="G33" s="2676"/>
      <c r="H33" s="436">
        <f>SUMIF(101:101,G33,102:102)-SUMIF(101:101,C33,102:102)+100</f>
        <v>100</v>
      </c>
      <c r="I33" s="2676"/>
      <c r="J33" s="468">
        <f>SUMIF(101:101,I33,102:102)-SUMIF(101:101,C33,102:102)+100</f>
        <v>100</v>
      </c>
      <c r="K33" s="613"/>
      <c r="L33" s="1142"/>
      <c r="M33" s="1133"/>
      <c r="N33" s="1133"/>
      <c r="O33" s="1133"/>
      <c r="P33" s="3341" t="s">
        <v>2561</v>
      </c>
      <c r="Q33" s="1813" t="str">
        <f t="shared" si="11"/>
        <v>建筑类型</v>
      </c>
      <c r="R33" s="773" t="s">
        <v>17</v>
      </c>
      <c r="S33" s="774">
        <f t="shared" si="12"/>
        <v>100</v>
      </c>
      <c r="T33" s="773" t="s">
        <v>17</v>
      </c>
      <c r="U33" s="774">
        <f t="shared" si="13"/>
        <v>100</v>
      </c>
      <c r="V33" s="773" t="s">
        <v>17</v>
      </c>
      <c r="W33" s="774">
        <f t="shared" si="14"/>
        <v>100</v>
      </c>
      <c r="X33" s="1816"/>
      <c r="Y33" s="3278" t="s">
        <v>2561</v>
      </c>
      <c r="Z33" s="1817" t="str">
        <f t="shared" si="15"/>
        <v>建筑类型</v>
      </c>
      <c r="AA33" s="1814">
        <f t="shared" si="3"/>
        <v>1</v>
      </c>
      <c r="AB33" s="1814">
        <f t="shared" si="4"/>
        <v>1</v>
      </c>
      <c r="AC33" s="2671">
        <f t="shared" si="5"/>
        <v>1</v>
      </c>
    </row>
    <row r="34" spans="1:29" s="472" customFormat="1" ht="15">
      <c r="A34" s="469"/>
      <c r="B34" s="423" t="s">
        <v>2562</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40"/>
      <c r="M34" s="1143"/>
      <c r="N34" s="1143"/>
      <c r="O34" s="1143"/>
      <c r="P34" s="3342"/>
      <c r="Q34" s="775" t="str">
        <f t="shared" si="11"/>
        <v>项目建筑规模</v>
      </c>
      <c r="R34" s="776" t="s">
        <v>17</v>
      </c>
      <c r="S34" s="777" t="e">
        <f t="shared" si="12"/>
        <v>#N/A</v>
      </c>
      <c r="T34" s="776" t="s">
        <v>17</v>
      </c>
      <c r="U34" s="777" t="e">
        <f t="shared" si="13"/>
        <v>#N/A</v>
      </c>
      <c r="V34" s="776" t="s">
        <v>17</v>
      </c>
      <c r="W34" s="777" t="e">
        <f t="shared" si="14"/>
        <v>#N/A</v>
      </c>
      <c r="X34" s="778"/>
      <c r="Y34" s="3278"/>
      <c r="Z34" s="779" t="str">
        <f t="shared" si="15"/>
        <v>项目建筑规模</v>
      </c>
      <c r="AA34" s="1814" t="e">
        <f t="shared" si="3"/>
        <v>#N/A</v>
      </c>
      <c r="AB34" s="1814" t="e">
        <f t="shared" si="4"/>
        <v>#N/A</v>
      </c>
      <c r="AC34" s="2671" t="e">
        <f t="shared" si="5"/>
        <v>#N/A</v>
      </c>
    </row>
    <row r="35" spans="1:29" ht="15">
      <c r="A35" s="473"/>
      <c r="B35" s="423" t="s">
        <v>2563</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2"/>
      <c r="M35" s="1133"/>
      <c r="N35" s="1133"/>
      <c r="O35" s="1133"/>
      <c r="P35" s="3342"/>
      <c r="Q35" s="1813" t="str">
        <f t="shared" si="11"/>
        <v>建筑结构</v>
      </c>
      <c r="R35" s="773" t="s">
        <v>17</v>
      </c>
      <c r="S35" s="774">
        <f t="shared" si="12"/>
        <v>100</v>
      </c>
      <c r="T35" s="773" t="s">
        <v>17</v>
      </c>
      <c r="U35" s="774">
        <f t="shared" si="13"/>
        <v>100</v>
      </c>
      <c r="V35" s="773" t="s">
        <v>17</v>
      </c>
      <c r="W35" s="774">
        <f t="shared" si="14"/>
        <v>100</v>
      </c>
      <c r="X35" s="1816"/>
      <c r="Y35" s="3278"/>
      <c r="Z35" s="1817" t="str">
        <f t="shared" si="15"/>
        <v>建筑结构</v>
      </c>
      <c r="AA35" s="1814">
        <f t="shared" si="3"/>
        <v>1</v>
      </c>
      <c r="AB35" s="1814">
        <f t="shared" si="4"/>
        <v>1</v>
      </c>
      <c r="AC35" s="2671">
        <f t="shared" si="5"/>
        <v>1</v>
      </c>
    </row>
    <row r="36" spans="1:29" ht="15">
      <c r="A36" s="473"/>
      <c r="B36" s="423" t="s">
        <v>2656</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2"/>
      <c r="M36" s="1133"/>
      <c r="N36" s="1133"/>
      <c r="O36" s="1133"/>
      <c r="P36" s="3342"/>
      <c r="Q36" s="1813" t="str">
        <f t="shared" si="11"/>
        <v>公共部分装修</v>
      </c>
      <c r="R36" s="773" t="s">
        <v>17</v>
      </c>
      <c r="S36" s="774">
        <f t="shared" si="12"/>
        <v>100</v>
      </c>
      <c r="T36" s="773" t="s">
        <v>17</v>
      </c>
      <c r="U36" s="774">
        <f t="shared" si="13"/>
        <v>100</v>
      </c>
      <c r="V36" s="773" t="s">
        <v>17</v>
      </c>
      <c r="W36" s="774">
        <f t="shared" si="14"/>
        <v>100</v>
      </c>
      <c r="X36" s="1816"/>
      <c r="Y36" s="3278"/>
      <c r="Z36" s="1817" t="str">
        <f t="shared" si="15"/>
        <v>公共部分装修</v>
      </c>
      <c r="AA36" s="1814">
        <f t="shared" si="3"/>
        <v>1</v>
      </c>
      <c r="AB36" s="1814">
        <f t="shared" si="4"/>
        <v>1</v>
      </c>
      <c r="AC36" s="2671">
        <f t="shared" si="5"/>
        <v>1</v>
      </c>
    </row>
    <row r="37" spans="1:29" ht="15">
      <c r="A37" s="473"/>
      <c r="B37" s="423" t="s">
        <v>2657</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2"/>
      <c r="M37" s="1133"/>
      <c r="N37" s="1133"/>
      <c r="O37" s="1133"/>
      <c r="P37" s="3342"/>
      <c r="Q37" s="1813" t="str">
        <f t="shared" si="11"/>
        <v>成新度</v>
      </c>
      <c r="R37" s="773" t="s">
        <v>17</v>
      </c>
      <c r="S37" s="774" t="e">
        <f t="shared" si="12"/>
        <v>#N/A</v>
      </c>
      <c r="T37" s="773" t="s">
        <v>17</v>
      </c>
      <c r="U37" s="774" t="e">
        <f t="shared" si="13"/>
        <v>#N/A</v>
      </c>
      <c r="V37" s="773" t="s">
        <v>17</v>
      </c>
      <c r="W37" s="774" t="e">
        <f t="shared" si="14"/>
        <v>#N/A</v>
      </c>
      <c r="X37" s="1816"/>
      <c r="Y37" s="3278"/>
      <c r="Z37" s="1817" t="str">
        <f t="shared" si="15"/>
        <v>成新度</v>
      </c>
      <c r="AA37" s="1814" t="e">
        <f t="shared" si="3"/>
        <v>#N/A</v>
      </c>
      <c r="AB37" s="1814" t="e">
        <f t="shared" si="4"/>
        <v>#N/A</v>
      </c>
      <c r="AC37" s="2671" t="e">
        <f t="shared" si="5"/>
        <v>#N/A</v>
      </c>
    </row>
    <row r="38" spans="1:29" s="117" customFormat="1" ht="15">
      <c r="A38" s="474"/>
      <c r="B38" s="423" t="s">
        <v>2689</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4"/>
      <c r="M38" s="1135"/>
      <c r="N38" s="1135"/>
      <c r="O38" s="1135"/>
      <c r="P38" s="3342"/>
      <c r="Q38" s="1798" t="str">
        <f t="shared" si="11"/>
        <v>写字楼等级</v>
      </c>
      <c r="R38" s="769" t="s">
        <v>17</v>
      </c>
      <c r="S38" s="770">
        <f t="shared" si="12"/>
        <v>100</v>
      </c>
      <c r="T38" s="769" t="s">
        <v>17</v>
      </c>
      <c r="U38" s="770">
        <f t="shared" si="13"/>
        <v>100</v>
      </c>
      <c r="V38" s="769" t="s">
        <v>17</v>
      </c>
      <c r="W38" s="770">
        <f t="shared" si="14"/>
        <v>100</v>
      </c>
      <c r="X38" s="771"/>
      <c r="Y38" s="3278"/>
      <c r="Z38" s="55" t="str">
        <f t="shared" si="15"/>
        <v>写字楼等级</v>
      </c>
      <c r="AA38" s="772">
        <f t="shared" si="3"/>
        <v>1</v>
      </c>
      <c r="AB38" s="772">
        <f t="shared" si="4"/>
        <v>1</v>
      </c>
      <c r="AC38" s="2668">
        <f t="shared" si="5"/>
        <v>1</v>
      </c>
    </row>
    <row r="39" spans="1:29" ht="15">
      <c r="A39" s="473"/>
      <c r="B39" s="423" t="s">
        <v>2690</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2"/>
      <c r="M39" s="1133"/>
      <c r="N39" s="1133"/>
      <c r="O39" s="1133"/>
      <c r="P39" s="3342" t="s">
        <v>2561</v>
      </c>
      <c r="Q39" s="1813" t="str">
        <f t="shared" si="11"/>
        <v>物业管理</v>
      </c>
      <c r="R39" s="773" t="s">
        <v>17</v>
      </c>
      <c r="S39" s="774">
        <f t="shared" si="12"/>
        <v>100</v>
      </c>
      <c r="T39" s="773" t="s">
        <v>17</v>
      </c>
      <c r="U39" s="774">
        <f t="shared" si="13"/>
        <v>100</v>
      </c>
      <c r="V39" s="773" t="s">
        <v>17</v>
      </c>
      <c r="W39" s="774">
        <f t="shared" si="14"/>
        <v>100</v>
      </c>
      <c r="X39" s="1816"/>
      <c r="Y39" s="3278" t="s">
        <v>2561</v>
      </c>
      <c r="Z39" s="1817" t="str">
        <f t="shared" si="15"/>
        <v>物业管理</v>
      </c>
      <c r="AA39" s="1814">
        <f t="shared" si="3"/>
        <v>1</v>
      </c>
      <c r="AB39" s="1814">
        <f t="shared" si="4"/>
        <v>1</v>
      </c>
      <c r="AC39" s="2671">
        <f t="shared" si="5"/>
        <v>1</v>
      </c>
    </row>
    <row r="40" spans="1:29" ht="15">
      <c r="A40" s="473"/>
      <c r="B40" s="423" t="s">
        <v>2658</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2"/>
      <c r="M40" s="1133"/>
      <c r="N40" s="1133"/>
      <c r="O40" s="1133"/>
      <c r="P40" s="3342"/>
      <c r="Q40" s="1813" t="str">
        <f t="shared" si="11"/>
        <v>市政基础设施</v>
      </c>
      <c r="R40" s="773" t="s">
        <v>17</v>
      </c>
      <c r="S40" s="774">
        <f t="shared" si="12"/>
        <v>100</v>
      </c>
      <c r="T40" s="773" t="s">
        <v>17</v>
      </c>
      <c r="U40" s="774">
        <f t="shared" si="13"/>
        <v>100</v>
      </c>
      <c r="V40" s="773" t="s">
        <v>17</v>
      </c>
      <c r="W40" s="774">
        <f t="shared" si="14"/>
        <v>100</v>
      </c>
      <c r="X40" s="1816"/>
      <c r="Y40" s="3278"/>
      <c r="Z40" s="1817" t="str">
        <f t="shared" si="15"/>
        <v>市政基础设施</v>
      </c>
      <c r="AA40" s="1814">
        <f t="shared" si="3"/>
        <v>1</v>
      </c>
      <c r="AB40" s="1814">
        <f t="shared" si="4"/>
        <v>1</v>
      </c>
      <c r="AC40" s="2671">
        <f t="shared" si="5"/>
        <v>1</v>
      </c>
    </row>
    <row r="41" spans="1:29" ht="15">
      <c r="A41" s="473"/>
      <c r="B41" s="423" t="s">
        <v>2660</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2"/>
      <c r="M41" s="1133"/>
      <c r="N41" s="1133"/>
      <c r="O41" s="1133"/>
      <c r="P41" s="3342"/>
      <c r="Q41" s="1813" t="str">
        <f t="shared" si="11"/>
        <v>层高</v>
      </c>
      <c r="R41" s="773" t="s">
        <v>17</v>
      </c>
      <c r="S41" s="774">
        <f t="shared" si="12"/>
        <v>100</v>
      </c>
      <c r="T41" s="773" t="s">
        <v>17</v>
      </c>
      <c r="U41" s="774">
        <f t="shared" si="13"/>
        <v>100</v>
      </c>
      <c r="V41" s="773" t="s">
        <v>17</v>
      </c>
      <c r="W41" s="774">
        <f t="shared" si="14"/>
        <v>100</v>
      </c>
      <c r="X41" s="1816"/>
      <c r="Y41" s="3278"/>
      <c r="Z41" s="1817" t="str">
        <f t="shared" si="15"/>
        <v>层高</v>
      </c>
      <c r="AA41" s="1814">
        <f t="shared" si="3"/>
        <v>1</v>
      </c>
      <c r="AB41" s="1814">
        <f t="shared" si="4"/>
        <v>1</v>
      </c>
      <c r="AC41" s="2671">
        <f t="shared" si="5"/>
        <v>1</v>
      </c>
    </row>
    <row r="42" spans="1:29" s="472" customFormat="1" ht="15">
      <c r="A42" s="469"/>
      <c r="B42" s="1815" t="s">
        <v>2691</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0"/>
      <c r="M42" s="1143"/>
      <c r="N42" s="1143"/>
      <c r="O42" s="1143"/>
      <c r="P42" s="3342"/>
      <c r="Q42" s="775" t="str">
        <f t="shared" si="11"/>
        <v>单套建筑面积</v>
      </c>
      <c r="R42" s="776" t="s">
        <v>17</v>
      </c>
      <c r="S42" s="777">
        <f t="shared" si="12"/>
        <v>100</v>
      </c>
      <c r="T42" s="776" t="s">
        <v>17</v>
      </c>
      <c r="U42" s="777">
        <f t="shared" si="13"/>
        <v>100</v>
      </c>
      <c r="V42" s="776" t="s">
        <v>17</v>
      </c>
      <c r="W42" s="777">
        <f t="shared" si="14"/>
        <v>100</v>
      </c>
      <c r="X42" s="778"/>
      <c r="Y42" s="3278"/>
      <c r="Z42" s="779" t="str">
        <f t="shared" si="15"/>
        <v>单套建筑面积</v>
      </c>
      <c r="AA42" s="1814">
        <f t="shared" si="3"/>
        <v>1</v>
      </c>
      <c r="AB42" s="1814">
        <f t="shared" si="4"/>
        <v>1</v>
      </c>
      <c r="AC42" s="2671">
        <f t="shared" si="5"/>
        <v>1</v>
      </c>
    </row>
    <row r="43" spans="1:29" ht="15">
      <c r="A43" s="473"/>
      <c r="B43" s="423" t="s">
        <v>2663</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2"/>
      <c r="M43" s="1133"/>
      <c r="N43" s="1133"/>
      <c r="O43" s="1133"/>
      <c r="P43" s="3342"/>
      <c r="Q43" s="1813" t="str">
        <f t="shared" si="11"/>
        <v>内部装修</v>
      </c>
      <c r="R43" s="773" t="s">
        <v>17</v>
      </c>
      <c r="S43" s="774">
        <f t="shared" si="12"/>
        <v>100</v>
      </c>
      <c r="T43" s="773" t="s">
        <v>17</v>
      </c>
      <c r="U43" s="774">
        <f t="shared" si="13"/>
        <v>100</v>
      </c>
      <c r="V43" s="773" t="s">
        <v>17</v>
      </c>
      <c r="W43" s="774">
        <f t="shared" si="14"/>
        <v>100</v>
      </c>
      <c r="X43" s="1816"/>
      <c r="Y43" s="3278"/>
      <c r="Z43" s="1817" t="str">
        <f t="shared" si="15"/>
        <v>内部装修</v>
      </c>
      <c r="AA43" s="1814">
        <f t="shared" si="3"/>
        <v>1</v>
      </c>
      <c r="AB43" s="1814">
        <f t="shared" si="4"/>
        <v>1</v>
      </c>
      <c r="AC43" s="2671">
        <f t="shared" si="5"/>
        <v>1</v>
      </c>
    </row>
    <row r="44" spans="1:29" ht="15">
      <c r="A44" s="473"/>
      <c r="B44" s="423" t="s">
        <v>2572</v>
      </c>
      <c r="C44" s="461"/>
      <c r="D44" s="436">
        <v>100</v>
      </c>
      <c r="E44" s="2610"/>
      <c r="F44" s="462">
        <f>SUMIF(125:125,E44,126:126)-SUMIF(125:125,C44,126:126)+100</f>
        <v>100</v>
      </c>
      <c r="G44" s="2610"/>
      <c r="H44" s="436">
        <f>SUMIF(125:125,G44,126:126)-SUMIF(125:125,C44,126:126)+100</f>
        <v>100</v>
      </c>
      <c r="I44" s="2610"/>
      <c r="J44" s="436">
        <f>SUMIF(125:125,I44,126:126)-SUMIF(125:125,C44,126:126)+100</f>
        <v>100</v>
      </c>
      <c r="K44" s="613"/>
      <c r="L44" s="1142"/>
      <c r="M44" s="1133"/>
      <c r="N44" s="1133"/>
      <c r="O44" s="1133"/>
      <c r="P44" s="3342"/>
      <c r="Q44" s="1813" t="str">
        <f t="shared" si="11"/>
        <v>内部装修维护情况</v>
      </c>
      <c r="R44" s="773" t="s">
        <v>17</v>
      </c>
      <c r="S44" s="774">
        <f t="shared" si="12"/>
        <v>100</v>
      </c>
      <c r="T44" s="773" t="s">
        <v>17</v>
      </c>
      <c r="U44" s="774">
        <f t="shared" si="13"/>
        <v>100</v>
      </c>
      <c r="V44" s="773" t="s">
        <v>17</v>
      </c>
      <c r="W44" s="774">
        <f t="shared" si="14"/>
        <v>100</v>
      </c>
      <c r="X44" s="1816"/>
      <c r="Y44" s="3278"/>
      <c r="Z44" s="1817" t="str">
        <f t="shared" si="15"/>
        <v>内部装修维护情况</v>
      </c>
      <c r="AA44" s="1814">
        <f t="shared" si="3"/>
        <v>1</v>
      </c>
      <c r="AB44" s="1814">
        <f t="shared" si="4"/>
        <v>1</v>
      </c>
      <c r="AC44" s="2671">
        <f t="shared" si="5"/>
        <v>1</v>
      </c>
    </row>
    <row r="45" spans="1:29" s="117" customFormat="1" ht="15">
      <c r="A45" s="474"/>
      <c r="B45" s="1388">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4"/>
      <c r="M45" s="1135"/>
      <c r="N45" s="1135"/>
      <c r="O45" s="1135"/>
      <c r="P45" s="3342"/>
      <c r="Q45" s="1798">
        <f t="shared" si="11"/>
        <v>111</v>
      </c>
      <c r="R45" s="769" t="s">
        <v>17</v>
      </c>
      <c r="S45" s="770">
        <f t="shared" si="12"/>
        <v>100</v>
      </c>
      <c r="T45" s="769" t="s">
        <v>17</v>
      </c>
      <c r="U45" s="770">
        <f t="shared" si="13"/>
        <v>100</v>
      </c>
      <c r="V45" s="769" t="s">
        <v>17</v>
      </c>
      <c r="W45" s="770">
        <f t="shared" si="14"/>
        <v>100</v>
      </c>
      <c r="X45" s="771"/>
      <c r="Y45" s="3278"/>
      <c r="Z45" s="55">
        <f t="shared" si="15"/>
        <v>111</v>
      </c>
      <c r="AA45" s="772">
        <f t="shared" si="3"/>
        <v>1</v>
      </c>
      <c r="AB45" s="772">
        <f t="shared" si="4"/>
        <v>1</v>
      </c>
      <c r="AC45" s="2668">
        <f t="shared" si="5"/>
        <v>1</v>
      </c>
    </row>
    <row r="46" spans="1:29" ht="15">
      <c r="A46" s="473"/>
      <c r="B46" s="1388">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2"/>
      <c r="M46" s="1133"/>
      <c r="N46" s="1133"/>
      <c r="O46" s="1133"/>
      <c r="P46" s="3342"/>
      <c r="Q46" s="1813">
        <f t="shared" si="11"/>
        <v>111</v>
      </c>
      <c r="R46" s="773" t="s">
        <v>17</v>
      </c>
      <c r="S46" s="774">
        <f t="shared" si="12"/>
        <v>100</v>
      </c>
      <c r="T46" s="773" t="s">
        <v>17</v>
      </c>
      <c r="U46" s="774">
        <f t="shared" si="13"/>
        <v>100</v>
      </c>
      <c r="V46" s="773" t="s">
        <v>17</v>
      </c>
      <c r="W46" s="774">
        <f t="shared" si="14"/>
        <v>100</v>
      </c>
      <c r="X46" s="1816"/>
      <c r="Y46" s="3278"/>
      <c r="Z46" s="1817">
        <f t="shared" si="15"/>
        <v>111</v>
      </c>
      <c r="AA46" s="1814">
        <f t="shared" si="3"/>
        <v>1</v>
      </c>
      <c r="AB46" s="1814">
        <f t="shared" si="4"/>
        <v>1</v>
      </c>
      <c r="AC46" s="2671">
        <f t="shared" si="5"/>
        <v>1</v>
      </c>
    </row>
    <row r="47" spans="1:29" ht="15.75" thickBot="1">
      <c r="A47" s="479"/>
      <c r="B47" s="2599">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2"/>
      <c r="M47" s="1133"/>
      <c r="N47" s="1133"/>
      <c r="O47" s="1133"/>
      <c r="P47" s="3343"/>
      <c r="Q47" s="1813">
        <f t="shared" si="11"/>
        <v>111</v>
      </c>
      <c r="R47" s="773" t="s">
        <v>17</v>
      </c>
      <c r="S47" s="774">
        <f t="shared" si="12"/>
        <v>100</v>
      </c>
      <c r="T47" s="773" t="s">
        <v>17</v>
      </c>
      <c r="U47" s="774">
        <f t="shared" si="13"/>
        <v>100</v>
      </c>
      <c r="V47" s="773" t="s">
        <v>17</v>
      </c>
      <c r="W47" s="774">
        <f t="shared" si="14"/>
        <v>100</v>
      </c>
      <c r="X47" s="1816"/>
      <c r="Y47" s="3344"/>
      <c r="Z47" s="1817">
        <f t="shared" si="15"/>
        <v>111</v>
      </c>
      <c r="AA47" s="1814">
        <f t="shared" si="3"/>
        <v>1</v>
      </c>
      <c r="AB47" s="1814">
        <f t="shared" si="4"/>
        <v>1</v>
      </c>
      <c r="AC47" s="2671">
        <f t="shared" si="5"/>
        <v>1</v>
      </c>
    </row>
    <row r="48" spans="1:29" ht="15">
      <c r="A48" s="480" t="s">
        <v>2573</v>
      </c>
      <c r="B48" s="481"/>
      <c r="C48" s="1409" t="s">
        <v>1</v>
      </c>
      <c r="D48" s="1410"/>
      <c r="E48" s="1411"/>
      <c r="F48" s="1412"/>
      <c r="G48" s="1413"/>
      <c r="H48" s="1414"/>
      <c r="I48" s="1411"/>
      <c r="J48" s="486"/>
      <c r="K48" s="782"/>
      <c r="L48" s="1145"/>
      <c r="M48" s="1133"/>
      <c r="N48" s="1133"/>
      <c r="O48" s="1133"/>
      <c r="P48" s="3272" t="str">
        <f>A48</f>
        <v>成交单价（元/平方米）</v>
      </c>
      <c r="Q48" s="3273"/>
      <c r="R48" s="3340">
        <f>E48</f>
        <v>0</v>
      </c>
      <c r="S48" s="3340"/>
      <c r="T48" s="3340">
        <f>G48</f>
        <v>0</v>
      </c>
      <c r="U48" s="3340"/>
      <c r="V48" s="3340">
        <f>I48</f>
        <v>0</v>
      </c>
      <c r="W48" s="3340"/>
      <c r="X48" s="447"/>
      <c r="Y48" s="780"/>
      <c r="Z48" s="447"/>
      <c r="AA48" s="447"/>
      <c r="AB48" s="447"/>
      <c r="AC48" s="630"/>
    </row>
    <row r="49" spans="1:29" ht="15.75" thickBot="1">
      <c r="A49" s="487" t="s">
        <v>2664</v>
      </c>
      <c r="B49" s="488"/>
      <c r="C49" s="1415" t="e">
        <f>R50</f>
        <v>#DIV/0!</v>
      </c>
      <c r="D49" s="1416"/>
      <c r="E49" s="1417" t="e">
        <f>R49</f>
        <v>#DIV/0!</v>
      </c>
      <c r="F49" s="1417"/>
      <c r="G49" s="1415" t="e">
        <f>T49</f>
        <v>#DIV/0!</v>
      </c>
      <c r="H49" s="1416"/>
      <c r="I49" s="1417" t="e">
        <f>V49</f>
        <v>#DIV/0!</v>
      </c>
      <c r="J49" s="490"/>
      <c r="K49" s="783"/>
      <c r="L49" s="1145"/>
      <c r="M49" s="1133"/>
      <c r="N49" s="1133"/>
      <c r="O49" s="1133"/>
      <c r="P49" s="3272" t="str">
        <f>A49</f>
        <v>比较价值（元/平方米）</v>
      </c>
      <c r="Q49" s="3273"/>
      <c r="R49" s="3340" t="e">
        <f>IF(F1="售价",ROUND(PRODUCT(R48,AA7:AA47),0),ROUND(PRODUCT(R48,AA7:AA47),1))</f>
        <v>#DIV/0!</v>
      </c>
      <c r="S49" s="3340"/>
      <c r="T49" s="3340" t="e">
        <f>IF(F1="售价",ROUND(PRODUCT(T48,AB7:AB47),0),ROUND(PRODUCT(T48,AB7:AB47),1))</f>
        <v>#DIV/0!</v>
      </c>
      <c r="U49" s="3340"/>
      <c r="V49" s="3340" t="e">
        <f>IF(F1="售价",ROUND(PRODUCT(V48,AC7:AC47),0),ROUND(PRODUCT(V48,AC7:AC47),1))</f>
        <v>#DIV/0!</v>
      </c>
      <c r="W49" s="3340"/>
      <c r="X49" s="447"/>
      <c r="Y49" s="447"/>
      <c r="Z49" s="447"/>
      <c r="AA49" s="447"/>
      <c r="AB49" s="447"/>
      <c r="AC49" s="630"/>
    </row>
    <row r="50" spans="1:29" ht="15.75" thickBot="1">
      <c r="A50" s="493" t="s">
        <v>2665</v>
      </c>
      <c r="B50" s="494"/>
      <c r="C50" s="1419" t="e">
        <f>R50</f>
        <v>#DIV/0!</v>
      </c>
      <c r="D50" s="1419"/>
      <c r="E50" s="1419"/>
      <c r="F50" s="1419"/>
      <c r="G50" s="1419"/>
      <c r="H50" s="1419"/>
      <c r="I50" s="1419"/>
      <c r="J50" s="495"/>
      <c r="K50" s="784"/>
      <c r="L50" s="1145"/>
      <c r="M50" s="1133"/>
      <c r="N50" s="1133"/>
      <c r="O50" s="1133"/>
      <c r="P50" s="3349" t="str">
        <f>A50</f>
        <v>估价对象XX用房的比较价值（楼面单价，元/平方米）</v>
      </c>
      <c r="Q50" s="3350"/>
      <c r="R50" s="3351" t="e">
        <f>IF(F1="售价",ROUND(AVERAGE(R49:V49),0),ROUND(AVERAGE(R49:V49),1))</f>
        <v>#DIV/0!</v>
      </c>
      <c r="S50" s="3351"/>
      <c r="T50" s="3351"/>
      <c r="U50" s="3351"/>
      <c r="V50" s="3351"/>
      <c r="W50" s="3351"/>
      <c r="X50" s="2651"/>
      <c r="Y50" s="2651"/>
      <c r="Z50" s="2651"/>
      <c r="AA50" s="2651"/>
      <c r="AB50" s="2651"/>
      <c r="AC50" s="2652"/>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8" t="s">
        <v>2666</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7"/>
      <c r="L53" s="1108"/>
      <c r="M53" s="1146"/>
      <c r="N53" s="1146"/>
      <c r="O53" s="1146"/>
    </row>
    <row r="54" spans="1:29" ht="13.5" customHeight="1">
      <c r="A54" s="1146"/>
      <c r="B54" s="1146"/>
      <c r="C54" s="498" t="s">
        <v>2667</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7"/>
      <c r="L54" s="1108"/>
      <c r="M54" s="1146"/>
      <c r="N54" s="1146"/>
      <c r="O54" s="1146"/>
    </row>
    <row r="55" spans="1:29" s="503" customFormat="1" ht="13.5" customHeight="1">
      <c r="A55" s="1147"/>
      <c r="B55" s="1147"/>
      <c r="C55" s="498" t="s">
        <v>2668</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50"/>
      <c r="L55" s="1151"/>
      <c r="M55" s="1147"/>
      <c r="N55" s="1147"/>
      <c r="O55" s="1147"/>
      <c r="P55" s="2677"/>
    </row>
    <row r="56" spans="1:29" s="503" customFormat="1">
      <c r="A56" s="1147"/>
      <c r="B56" s="1148"/>
      <c r="C56" s="1152"/>
      <c r="D56" s="1147"/>
      <c r="E56" s="1147"/>
      <c r="F56" s="1147"/>
      <c r="G56" s="1147"/>
      <c r="H56" s="1147"/>
      <c r="I56" s="1147"/>
      <c r="J56" s="1147"/>
      <c r="K56" s="1150"/>
      <c r="L56" s="1151"/>
      <c r="M56" s="1147"/>
      <c r="N56" s="1147"/>
      <c r="O56" s="1147"/>
      <c r="P56" s="2677"/>
    </row>
    <row r="57" spans="1:29">
      <c r="A57" s="1146"/>
      <c r="B57" s="1148"/>
      <c r="C57" s="1152"/>
      <c r="D57" s="1146"/>
      <c r="E57" s="1146"/>
      <c r="F57" s="1146"/>
      <c r="G57" s="1146"/>
      <c r="H57" s="1146"/>
      <c r="I57" s="1146"/>
      <c r="J57" s="1146"/>
      <c r="K57" s="1107"/>
      <c r="L57" s="1108"/>
      <c r="M57" s="1146"/>
      <c r="N57" s="1146"/>
      <c r="O57" s="1146"/>
    </row>
    <row r="58" spans="1:29" ht="21.75" thickBot="1">
      <c r="A58" s="762" t="s">
        <v>2669</v>
      </c>
      <c r="B58" s="758"/>
      <c r="C58" s="763"/>
      <c r="D58" s="763"/>
      <c r="E58" s="763"/>
      <c r="F58" s="764"/>
      <c r="G58" s="764"/>
      <c r="H58" s="763"/>
      <c r="I58" s="763"/>
      <c r="J58" s="763"/>
      <c r="K58" s="765"/>
      <c r="L58" s="1163"/>
      <c r="M58" s="1161"/>
      <c r="N58" s="1161"/>
      <c r="O58" s="1161"/>
      <c r="P58" s="2678"/>
      <c r="Q58" s="505"/>
    </row>
    <row r="59" spans="1:29" s="509" customFormat="1" ht="15">
      <c r="A59" s="506" t="s">
        <v>2544</v>
      </c>
      <c r="B59" s="507"/>
      <c r="C59" s="1577" t="str">
        <f>YEAR(C7)&amp;"-"&amp;MONTH(C7)</f>
        <v>2017-11</v>
      </c>
      <c r="D59" s="1578">
        <f>EDATE(C59,-1)</f>
        <v>43009</v>
      </c>
      <c r="E59" s="1578">
        <f>EDATE(D59,-1)</f>
        <v>42979</v>
      </c>
      <c r="F59" s="1578">
        <f t="shared" ref="F59:O59" si="16">EDATE(E59,-1)</f>
        <v>42948</v>
      </c>
      <c r="G59" s="1578">
        <f t="shared" si="16"/>
        <v>42917</v>
      </c>
      <c r="H59" s="1578">
        <f t="shared" si="16"/>
        <v>42887</v>
      </c>
      <c r="I59" s="1578">
        <f t="shared" si="16"/>
        <v>42856</v>
      </c>
      <c r="J59" s="1578">
        <f t="shared" si="16"/>
        <v>42826</v>
      </c>
      <c r="K59" s="1578">
        <f t="shared" si="16"/>
        <v>42795</v>
      </c>
      <c r="L59" s="1578">
        <f t="shared" si="16"/>
        <v>42767</v>
      </c>
      <c r="M59" s="1578">
        <f t="shared" si="16"/>
        <v>42736</v>
      </c>
      <c r="N59" s="1578">
        <f t="shared" si="16"/>
        <v>42705</v>
      </c>
      <c r="O59" s="1578">
        <f t="shared" si="16"/>
        <v>42675</v>
      </c>
      <c r="P59" s="1574"/>
    </row>
    <row r="60" spans="1:29" s="117" customFormat="1" ht="15">
      <c r="A60" s="510"/>
      <c r="B60" s="511"/>
      <c r="C60" s="1576">
        <v>100</v>
      </c>
      <c r="D60" s="513"/>
      <c r="E60" s="513"/>
      <c r="F60" s="513"/>
      <c r="G60" s="513"/>
      <c r="H60" s="513"/>
      <c r="I60" s="513"/>
      <c r="J60" s="513"/>
      <c r="K60" s="513"/>
      <c r="L60" s="513"/>
      <c r="M60" s="514"/>
      <c r="N60" s="513"/>
      <c r="O60" s="514"/>
      <c r="P60" s="2679"/>
    </row>
    <row r="61" spans="1:29" s="117" customFormat="1" ht="15.75" thickBot="1">
      <c r="A61" s="516" t="s">
        <v>2581</v>
      </c>
      <c r="B61" s="517"/>
      <c r="C61" s="518"/>
      <c r="D61" s="519"/>
      <c r="E61" s="519"/>
      <c r="F61" s="519"/>
      <c r="G61" s="519"/>
      <c r="H61" s="519"/>
      <c r="I61" s="519"/>
      <c r="J61" s="519"/>
      <c r="K61" s="519"/>
      <c r="L61" s="519"/>
      <c r="M61" s="520"/>
      <c r="N61" s="519"/>
      <c r="O61" s="520"/>
      <c r="P61" s="2679"/>
      <c r="Q61" s="505"/>
    </row>
    <row r="62" spans="1:29" s="117" customFormat="1" ht="15">
      <c r="A62" s="522" t="s">
        <v>2546</v>
      </c>
      <c r="B62" s="511"/>
      <c r="C62" s="523" t="s">
        <v>2648</v>
      </c>
      <c r="D62" s="524"/>
      <c r="E62" s="524"/>
      <c r="F62" s="524"/>
      <c r="G62" s="524"/>
      <c r="H62" s="524"/>
      <c r="I62" s="524"/>
      <c r="J62" s="524"/>
      <c r="K62" s="524"/>
      <c r="L62" s="525"/>
      <c r="M62" s="526"/>
      <c r="N62" s="1153"/>
      <c r="O62" s="1153"/>
      <c r="P62" s="2680"/>
      <c r="Q62" s="505"/>
    </row>
    <row r="63" spans="1:29" s="117" customFormat="1" ht="15.75" thickBot="1">
      <c r="A63" s="522"/>
      <c r="B63" s="511"/>
      <c r="C63" s="512">
        <v>100</v>
      </c>
      <c r="D63" s="513"/>
      <c r="E63" s="513"/>
      <c r="F63" s="513"/>
      <c r="G63" s="513"/>
      <c r="H63" s="513"/>
      <c r="I63" s="513"/>
      <c r="J63" s="513"/>
      <c r="K63" s="513"/>
      <c r="L63" s="513"/>
      <c r="M63" s="515"/>
      <c r="N63" s="1153"/>
      <c r="O63" s="1153"/>
      <c r="P63" s="2679"/>
      <c r="Q63" s="505"/>
    </row>
    <row r="64" spans="1:29">
      <c r="A64" s="528" t="s">
        <v>2584</v>
      </c>
      <c r="B64" s="529" t="s">
        <v>2550</v>
      </c>
      <c r="C64" s="530">
        <f>C9</f>
        <v>0</v>
      </c>
      <c r="D64" s="531"/>
      <c r="E64" s="531"/>
      <c r="F64" s="531"/>
      <c r="G64" s="531"/>
      <c r="H64" s="531"/>
      <c r="I64" s="531"/>
      <c r="J64" s="531"/>
      <c r="K64" s="532"/>
      <c r="L64" s="533"/>
      <c r="M64" s="534"/>
      <c r="N64" s="1154"/>
      <c r="O64" s="1154"/>
      <c r="P64" s="2681"/>
      <c r="Q64" s="505"/>
    </row>
    <row r="65" spans="1:17" ht="15.75" thickBot="1">
      <c r="A65" s="535"/>
      <c r="B65" s="536"/>
      <c r="C65" s="537">
        <v>100</v>
      </c>
      <c r="D65" s="537"/>
      <c r="E65" s="537"/>
      <c r="F65" s="537"/>
      <c r="G65" s="537"/>
      <c r="H65" s="537"/>
      <c r="I65" s="537"/>
      <c r="J65" s="537"/>
      <c r="K65" s="537"/>
      <c r="L65" s="537"/>
      <c r="M65" s="538"/>
      <c r="N65" s="1155"/>
      <c r="O65" s="1155"/>
      <c r="P65" s="2681"/>
      <c r="Q65" s="505"/>
    </row>
    <row r="66" spans="1:17" ht="27.75" thickTop="1">
      <c r="A66" s="535"/>
      <c r="B66" s="539" t="s">
        <v>2553</v>
      </c>
      <c r="C66" s="540" t="s">
        <v>2585</v>
      </c>
      <c r="D66" s="540" t="s">
        <v>2586</v>
      </c>
      <c r="E66" s="540" t="s">
        <v>2587</v>
      </c>
      <c r="F66" s="540" t="s">
        <v>2588</v>
      </c>
      <c r="G66" s="540" t="s">
        <v>2589</v>
      </c>
      <c r="H66" s="540" t="s">
        <v>2590</v>
      </c>
      <c r="I66" s="540" t="s">
        <v>2591</v>
      </c>
      <c r="J66" s="540"/>
      <c r="K66" s="541"/>
      <c r="L66" s="542"/>
      <c r="M66" s="543"/>
      <c r="N66" s="1154"/>
      <c r="O66" s="1154"/>
      <c r="P66" s="2681"/>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5"/>
      <c r="O67" s="1155"/>
      <c r="P67" s="2681"/>
      <c r="Q67" s="505"/>
    </row>
    <row r="68" spans="1:17" ht="15.75" thickTop="1">
      <c r="A68" s="535"/>
      <c r="B68" s="547" t="s">
        <v>2554</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5"/>
      <c r="O68" s="1155"/>
      <c r="P68" s="2681"/>
      <c r="Q68" s="505"/>
    </row>
    <row r="69" spans="1:17" ht="15">
      <c r="A69" s="535"/>
      <c r="B69" s="549"/>
      <c r="C69" s="550"/>
      <c r="D69" s="550"/>
      <c r="E69" s="550"/>
      <c r="F69" s="550"/>
      <c r="G69" s="550"/>
      <c r="H69" s="550"/>
      <c r="I69" s="550"/>
      <c r="J69" s="550"/>
      <c r="K69" s="551"/>
      <c r="L69" s="552"/>
      <c r="M69" s="553"/>
      <c r="N69" s="1154"/>
      <c r="O69" s="1154"/>
      <c r="P69" s="2681"/>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5"/>
      <c r="O70" s="1155"/>
      <c r="P70" s="2681"/>
      <c r="Q70" s="505"/>
    </row>
    <row r="71" spans="1:17" s="472" customFormat="1" ht="15.75" thickTop="1">
      <c r="A71" s="554"/>
      <c r="B71" s="539">
        <f>B12</f>
        <v>111</v>
      </c>
      <c r="C71" s="555"/>
      <c r="D71" s="555"/>
      <c r="E71" s="555"/>
      <c r="F71" s="555"/>
      <c r="G71" s="555"/>
      <c r="H71" s="556"/>
      <c r="I71" s="556"/>
      <c r="J71" s="556"/>
      <c r="K71" s="556"/>
      <c r="L71" s="557"/>
      <c r="M71" s="558"/>
      <c r="N71" s="1156"/>
      <c r="O71" s="1156"/>
      <c r="P71" s="2682"/>
      <c r="Q71" s="560"/>
    </row>
    <row r="72" spans="1:17" s="472" customFormat="1" ht="15.75" thickBot="1">
      <c r="A72" s="554"/>
      <c r="B72" s="544"/>
      <c r="C72" s="561"/>
      <c r="D72" s="537"/>
      <c r="E72" s="537"/>
      <c r="F72" s="537"/>
      <c r="G72" s="537"/>
      <c r="H72" s="537"/>
      <c r="I72" s="537"/>
      <c r="J72" s="537"/>
      <c r="K72" s="537"/>
      <c r="L72" s="537"/>
      <c r="M72" s="538"/>
      <c r="N72" s="1155"/>
      <c r="O72" s="1155"/>
      <c r="P72" s="2682"/>
      <c r="Q72" s="560"/>
    </row>
    <row r="73" spans="1:17" s="472" customFormat="1" ht="15.75" thickTop="1">
      <c r="A73" s="554"/>
      <c r="B73" s="539">
        <f>B13</f>
        <v>111</v>
      </c>
      <c r="C73" s="555"/>
      <c r="D73" s="555"/>
      <c r="E73" s="555"/>
      <c r="F73" s="555"/>
      <c r="G73" s="555"/>
      <c r="H73" s="556"/>
      <c r="I73" s="556"/>
      <c r="J73" s="556"/>
      <c r="K73" s="556"/>
      <c r="L73" s="557"/>
      <c r="M73" s="558"/>
      <c r="N73" s="1156"/>
      <c r="O73" s="1156"/>
      <c r="P73" s="2683"/>
      <c r="Q73" s="562"/>
    </row>
    <row r="74" spans="1:17" s="472" customFormat="1" ht="15.75" thickBot="1">
      <c r="A74" s="554"/>
      <c r="B74" s="544"/>
      <c r="C74" s="561"/>
      <c r="D74" s="561"/>
      <c r="E74" s="561"/>
      <c r="F74" s="561"/>
      <c r="G74" s="561"/>
      <c r="H74" s="563"/>
      <c r="I74" s="563"/>
      <c r="J74" s="563"/>
      <c r="K74" s="563"/>
      <c r="L74" s="563"/>
      <c r="M74" s="564"/>
      <c r="N74" s="1156"/>
      <c r="O74" s="1156"/>
      <c r="P74" s="2682"/>
      <c r="Q74" s="560"/>
    </row>
    <row r="75" spans="1:17" s="472" customFormat="1" ht="15.75" thickTop="1">
      <c r="A75" s="554"/>
      <c r="B75" s="547">
        <f>B14</f>
        <v>111</v>
      </c>
      <c r="C75" s="524"/>
      <c r="D75" s="524"/>
      <c r="E75" s="524"/>
      <c r="F75" s="524"/>
      <c r="G75" s="524"/>
      <c r="H75" s="565"/>
      <c r="I75" s="565"/>
      <c r="J75" s="565"/>
      <c r="K75" s="565"/>
      <c r="L75" s="566"/>
      <c r="M75" s="567"/>
      <c r="N75" s="1156"/>
      <c r="O75" s="1156"/>
      <c r="P75" s="2684"/>
      <c r="Q75" s="560"/>
    </row>
    <row r="76" spans="1:17" s="472" customFormat="1" ht="15.75" thickBot="1">
      <c r="A76" s="569"/>
      <c r="B76" s="570"/>
      <c r="C76" s="571"/>
      <c r="D76" s="571"/>
      <c r="E76" s="571"/>
      <c r="F76" s="571"/>
      <c r="G76" s="571"/>
      <c r="H76" s="572"/>
      <c r="I76" s="572"/>
      <c r="J76" s="572"/>
      <c r="K76" s="572"/>
      <c r="L76" s="572"/>
      <c r="M76" s="573"/>
      <c r="N76" s="1156"/>
      <c r="O76" s="1156"/>
      <c r="P76" s="2682"/>
      <c r="Q76" s="560"/>
    </row>
    <row r="77" spans="1:17">
      <c r="A77" s="528" t="s">
        <v>2555</v>
      </c>
      <c r="B77" s="529" t="s">
        <v>2692</v>
      </c>
      <c r="C77" s="574" t="s">
        <v>2593</v>
      </c>
      <c r="D77" s="574" t="s">
        <v>2594</v>
      </c>
      <c r="E77" s="574" t="s">
        <v>2595</v>
      </c>
      <c r="F77" s="574" t="s">
        <v>2596</v>
      </c>
      <c r="G77" s="574" t="s">
        <v>2597</v>
      </c>
      <c r="H77" s="530"/>
      <c r="I77" s="530"/>
      <c r="J77" s="530"/>
      <c r="K77" s="575"/>
      <c r="L77" s="576"/>
      <c r="M77" s="577"/>
      <c r="N77" s="1154"/>
      <c r="O77" s="1154"/>
      <c r="P77" s="2685"/>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5"/>
      <c r="O78" s="1155"/>
      <c r="P78" s="2681"/>
      <c r="Q78" s="505"/>
    </row>
    <row r="79" spans="1:17" ht="15.75" thickTop="1">
      <c r="A79" s="535"/>
      <c r="B79" s="539" t="s">
        <v>2598</v>
      </c>
      <c r="C79" s="579" t="s">
        <v>2593</v>
      </c>
      <c r="D79" s="579" t="s">
        <v>2594</v>
      </c>
      <c r="E79" s="579" t="s">
        <v>2595</v>
      </c>
      <c r="F79" s="579" t="s">
        <v>2596</v>
      </c>
      <c r="G79" s="579" t="s">
        <v>2597</v>
      </c>
      <c r="H79" s="540"/>
      <c r="I79" s="540"/>
      <c r="J79" s="540"/>
      <c r="K79" s="541"/>
      <c r="L79" s="542"/>
      <c r="M79" s="543"/>
      <c r="N79" s="1154"/>
      <c r="O79" s="1154"/>
      <c r="P79" s="2681"/>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5"/>
      <c r="O80" s="1155"/>
      <c r="P80" s="2681"/>
      <c r="Q80" s="505"/>
    </row>
    <row r="81" spans="1:17" ht="15.75" thickTop="1">
      <c r="A81" s="535"/>
      <c r="B81" s="539" t="s">
        <v>2599</v>
      </c>
      <c r="C81" s="579" t="s">
        <v>2593</v>
      </c>
      <c r="D81" s="579" t="s">
        <v>2594</v>
      </c>
      <c r="E81" s="579" t="s">
        <v>2595</v>
      </c>
      <c r="F81" s="579" t="s">
        <v>2596</v>
      </c>
      <c r="G81" s="579" t="s">
        <v>2597</v>
      </c>
      <c r="H81" s="540"/>
      <c r="I81" s="540"/>
      <c r="J81" s="540"/>
      <c r="K81" s="541"/>
      <c r="L81" s="542"/>
      <c r="M81" s="543"/>
      <c r="N81" s="1154"/>
      <c r="O81" s="1154"/>
      <c r="P81" s="2681"/>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5"/>
      <c r="O82" s="1155"/>
      <c r="P82" s="2681"/>
      <c r="Q82" s="505"/>
    </row>
    <row r="83" spans="1:17" ht="15.75" thickTop="1">
      <c r="A83" s="535"/>
      <c r="B83" s="547" t="s">
        <v>2684</v>
      </c>
      <c r="C83" s="660" t="s">
        <v>2670</v>
      </c>
      <c r="D83" s="660" t="s">
        <v>2671</v>
      </c>
      <c r="E83" s="660" t="s">
        <v>2672</v>
      </c>
      <c r="F83" s="660" t="s">
        <v>2673</v>
      </c>
      <c r="G83" s="660" t="s">
        <v>2674</v>
      </c>
      <c r="H83" s="540"/>
      <c r="I83" s="540"/>
      <c r="J83" s="540"/>
      <c r="K83" s="540"/>
      <c r="L83" s="540"/>
      <c r="M83" s="1384"/>
      <c r="N83" s="1155"/>
      <c r="O83" s="1155"/>
      <c r="P83" s="2681"/>
      <c r="Q83" s="505"/>
    </row>
    <row r="84" spans="1:17" ht="15.75" thickBot="1">
      <c r="A84" s="535"/>
      <c r="B84" s="547"/>
      <c r="C84" s="545">
        <v>100</v>
      </c>
      <c r="D84" s="545">
        <f>C84-$K21</f>
        <v>100</v>
      </c>
      <c r="E84" s="545">
        <f>D84-$K21</f>
        <v>100</v>
      </c>
      <c r="F84" s="545">
        <f>E84-$K21</f>
        <v>100</v>
      </c>
      <c r="G84" s="545">
        <f>F84-$K21</f>
        <v>100</v>
      </c>
      <c r="H84" s="660"/>
      <c r="I84" s="660"/>
      <c r="J84" s="660"/>
      <c r="K84" s="660"/>
      <c r="L84" s="660"/>
      <c r="M84" s="451"/>
      <c r="N84" s="1155"/>
      <c r="O84" s="1155"/>
      <c r="P84" s="2681"/>
      <c r="Q84" s="505"/>
    </row>
    <row r="85" spans="1:17" ht="15.75" thickTop="1">
      <c r="A85" s="535"/>
      <c r="B85" s="539" t="s">
        <v>2693</v>
      </c>
      <c r="C85" s="579" t="s">
        <v>2593</v>
      </c>
      <c r="D85" s="579" t="s">
        <v>2594</v>
      </c>
      <c r="E85" s="579" t="s">
        <v>2595</v>
      </c>
      <c r="F85" s="579" t="s">
        <v>2596</v>
      </c>
      <c r="G85" s="579" t="s">
        <v>2597</v>
      </c>
      <c r="H85" s="540"/>
      <c r="I85" s="540"/>
      <c r="J85" s="540"/>
      <c r="K85" s="541"/>
      <c r="L85" s="542"/>
      <c r="M85" s="543"/>
      <c r="N85" s="1154"/>
      <c r="O85" s="1154"/>
      <c r="P85" s="2681"/>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5"/>
      <c r="O86" s="1155"/>
      <c r="P86" s="2681"/>
      <c r="Q86" s="505"/>
    </row>
    <row r="87" spans="1:17" s="117" customFormat="1" ht="27.75" thickTop="1">
      <c r="A87" s="580"/>
      <c r="B87" s="539" t="s">
        <v>2694</v>
      </c>
      <c r="C87" s="555"/>
      <c r="D87" s="555"/>
      <c r="E87" s="555"/>
      <c r="F87" s="555"/>
      <c r="G87" s="555"/>
      <c r="H87" s="555"/>
      <c r="I87" s="555"/>
      <c r="J87" s="555"/>
      <c r="K87" s="555"/>
      <c r="L87" s="581"/>
      <c r="M87" s="582"/>
      <c r="N87" s="1153"/>
      <c r="O87" s="1153"/>
      <c r="P87" s="2681"/>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5"/>
      <c r="O88" s="1155"/>
      <c r="P88" s="2681"/>
      <c r="Q88" s="505"/>
    </row>
    <row r="89" spans="1:17" s="117" customFormat="1" ht="15.75" thickTop="1">
      <c r="A89" s="580"/>
      <c r="B89" s="539" t="str">
        <f>B27</f>
        <v>楼层</v>
      </c>
      <c r="C89" s="555"/>
      <c r="D89" s="555"/>
      <c r="E89" s="555"/>
      <c r="F89" s="2632"/>
      <c r="G89" s="555"/>
      <c r="H89" s="555"/>
      <c r="I89" s="555"/>
      <c r="J89" s="555"/>
      <c r="K89" s="555"/>
      <c r="L89" s="555"/>
      <c r="M89" s="582"/>
      <c r="N89" s="1153"/>
      <c r="O89" s="1153"/>
      <c r="P89" s="2681"/>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5"/>
      <c r="O90" s="1155"/>
      <c r="P90" s="2681"/>
      <c r="Q90" s="505"/>
    </row>
    <row r="91" spans="1:17" s="472" customFormat="1" ht="15.75" thickTop="1">
      <c r="A91" s="554"/>
      <c r="B91" s="539" t="str">
        <f>B28</f>
        <v>朝向</v>
      </c>
      <c r="C91" s="555"/>
      <c r="D91" s="555"/>
      <c r="E91" s="555"/>
      <c r="F91" s="555"/>
      <c r="G91" s="555"/>
      <c r="H91" s="556"/>
      <c r="I91" s="556"/>
      <c r="J91" s="556"/>
      <c r="K91" s="556"/>
      <c r="L91" s="557"/>
      <c r="M91" s="558"/>
      <c r="N91" s="1156"/>
      <c r="O91" s="1156"/>
      <c r="P91" s="2682"/>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6"/>
      <c r="O92" s="1156"/>
      <c r="P92" s="2682"/>
      <c r="Q92" s="560"/>
    </row>
    <row r="93" spans="1:17" ht="15.75" thickTop="1">
      <c r="A93" s="535"/>
      <c r="B93" s="539">
        <f>B29</f>
        <v>111</v>
      </c>
      <c r="C93" s="555"/>
      <c r="D93" s="555"/>
      <c r="E93" s="555"/>
      <c r="F93" s="555"/>
      <c r="G93" s="555"/>
      <c r="H93" s="555"/>
      <c r="I93" s="555"/>
      <c r="J93" s="555"/>
      <c r="K93" s="555"/>
      <c r="L93" s="581"/>
      <c r="M93" s="582"/>
      <c r="N93" s="1154"/>
      <c r="O93" s="1154"/>
      <c r="P93" s="2681"/>
      <c r="Q93" s="505"/>
    </row>
    <row r="94" spans="1:17" ht="15.75" thickBot="1">
      <c r="A94" s="535"/>
      <c r="B94" s="544"/>
      <c r="C94" s="561"/>
      <c r="D94" s="537"/>
      <c r="E94" s="537"/>
      <c r="F94" s="537"/>
      <c r="G94" s="537"/>
      <c r="H94" s="537"/>
      <c r="I94" s="537"/>
      <c r="J94" s="537"/>
      <c r="K94" s="537"/>
      <c r="L94" s="537"/>
      <c r="M94" s="538"/>
      <c r="N94" s="1155"/>
      <c r="O94" s="1155"/>
      <c r="P94" s="2681"/>
      <c r="Q94" s="505"/>
    </row>
    <row r="95" spans="1:17" ht="15.75" thickTop="1">
      <c r="A95" s="535"/>
      <c r="B95" s="539">
        <f>B30</f>
        <v>111</v>
      </c>
      <c r="C95" s="555"/>
      <c r="D95" s="555"/>
      <c r="E95" s="555"/>
      <c r="F95" s="555"/>
      <c r="G95" s="584"/>
      <c r="H95" s="584"/>
      <c r="I95" s="584"/>
      <c r="J95" s="584"/>
      <c r="K95" s="585"/>
      <c r="L95" s="586"/>
      <c r="M95" s="587"/>
      <c r="N95" s="1154"/>
      <c r="O95" s="1154"/>
      <c r="P95" s="2681"/>
      <c r="Q95" s="505"/>
    </row>
    <row r="96" spans="1:17" ht="15.75" thickBot="1">
      <c r="A96" s="535"/>
      <c r="B96" s="544"/>
      <c r="C96" s="561"/>
      <c r="D96" s="561"/>
      <c r="E96" s="561"/>
      <c r="F96" s="561"/>
      <c r="G96" s="537"/>
      <c r="H96" s="537"/>
      <c r="I96" s="537"/>
      <c r="J96" s="537"/>
      <c r="K96" s="537"/>
      <c r="L96" s="537"/>
      <c r="M96" s="538"/>
      <c r="N96" s="1155"/>
      <c r="O96" s="1155"/>
      <c r="P96" s="2681"/>
      <c r="Q96" s="505"/>
    </row>
    <row r="97" spans="1:17" ht="15.75" thickTop="1">
      <c r="A97" s="535"/>
      <c r="B97" s="539">
        <f>B31</f>
        <v>111</v>
      </c>
      <c r="C97" s="555"/>
      <c r="D97" s="555"/>
      <c r="E97" s="555"/>
      <c r="F97" s="555"/>
      <c r="G97" s="584"/>
      <c r="H97" s="584"/>
      <c r="I97" s="584"/>
      <c r="J97" s="584"/>
      <c r="K97" s="585"/>
      <c r="L97" s="586"/>
      <c r="M97" s="587"/>
      <c r="N97" s="1154"/>
      <c r="O97" s="1154"/>
      <c r="P97" s="2681"/>
      <c r="Q97" s="505"/>
    </row>
    <row r="98" spans="1:17" ht="15.75" thickBot="1">
      <c r="A98" s="535"/>
      <c r="B98" s="544"/>
      <c r="C98" s="561"/>
      <c r="D98" s="537"/>
      <c r="E98" s="537"/>
      <c r="F98" s="537"/>
      <c r="G98" s="537"/>
      <c r="H98" s="537"/>
      <c r="I98" s="537"/>
      <c r="J98" s="537"/>
      <c r="K98" s="537"/>
      <c r="L98" s="537"/>
      <c r="M98" s="538"/>
      <c r="N98" s="1155"/>
      <c r="O98" s="1155"/>
      <c r="P98" s="2681"/>
      <c r="Q98" s="505"/>
    </row>
    <row r="99" spans="1:17" ht="15.75" thickTop="1">
      <c r="A99" s="535"/>
      <c r="B99" s="547">
        <f>B32</f>
        <v>111</v>
      </c>
      <c r="C99" s="524"/>
      <c r="D99" s="524"/>
      <c r="E99" s="524"/>
      <c r="F99" s="524"/>
      <c r="G99" s="588"/>
      <c r="H99" s="588"/>
      <c r="I99" s="588"/>
      <c r="J99" s="588"/>
      <c r="K99" s="589"/>
      <c r="L99" s="590"/>
      <c r="M99" s="591"/>
      <c r="N99" s="1154"/>
      <c r="O99" s="1154"/>
      <c r="P99" s="2681"/>
      <c r="Q99" s="505"/>
    </row>
    <row r="100" spans="1:17" ht="15.75" thickBot="1">
      <c r="A100" s="2633"/>
      <c r="B100" s="570"/>
      <c r="C100" s="571"/>
      <c r="D100" s="571"/>
      <c r="E100" s="571"/>
      <c r="F100" s="571"/>
      <c r="G100" s="592"/>
      <c r="H100" s="592"/>
      <c r="I100" s="592"/>
      <c r="J100" s="592"/>
      <c r="K100" s="592"/>
      <c r="L100" s="592"/>
      <c r="M100" s="593"/>
      <c r="N100" s="1155"/>
      <c r="O100" s="1155"/>
      <c r="P100" s="2681"/>
      <c r="Q100" s="505"/>
    </row>
    <row r="101" spans="1:17">
      <c r="A101" s="528" t="s">
        <v>2559</v>
      </c>
      <c r="B101" s="529" t="s">
        <v>2608</v>
      </c>
      <c r="C101" s="531"/>
      <c r="D101" s="531"/>
      <c r="E101" s="531"/>
      <c r="F101" s="531"/>
      <c r="G101" s="531"/>
      <c r="H101" s="531"/>
      <c r="I101" s="531"/>
      <c r="J101" s="531"/>
      <c r="K101" s="532"/>
      <c r="L101" s="533"/>
      <c r="M101" s="534"/>
      <c r="N101" s="1154"/>
      <c r="O101" s="1154"/>
      <c r="P101" s="2681"/>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5"/>
      <c r="O102" s="1155"/>
      <c r="P102" s="2681"/>
      <c r="Q102" s="505"/>
    </row>
    <row r="103" spans="1:17" ht="15.75" thickTop="1">
      <c r="A103" s="535"/>
      <c r="B103" s="539" t="s">
        <v>2609</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2" t="str">
        <f>M104&amp;"(含)"&amp;"-"&amp;P104</f>
        <v>(含)-</v>
      </c>
      <c r="N103" s="1153"/>
      <c r="O103" s="1153"/>
      <c r="P103" s="2681"/>
      <c r="Q103" s="505"/>
    </row>
    <row r="104" spans="1:17" s="472" customFormat="1">
      <c r="A104" s="594"/>
      <c r="B104" s="595"/>
      <c r="C104" s="596"/>
      <c r="D104" s="596"/>
      <c r="E104" s="596"/>
      <c r="F104" s="596"/>
      <c r="G104" s="596"/>
      <c r="H104" s="596"/>
      <c r="I104" s="596"/>
      <c r="J104" s="597"/>
      <c r="K104" s="597"/>
      <c r="L104" s="598"/>
      <c r="M104" s="599"/>
      <c r="N104" s="1156"/>
      <c r="O104" s="1156"/>
      <c r="P104" s="2682"/>
      <c r="Q104" s="560"/>
    </row>
    <row r="105" spans="1:17" s="472" customFormat="1" ht="15.75" thickBot="1">
      <c r="A105" s="554"/>
      <c r="B105" s="544"/>
      <c r="C105" s="561"/>
      <c r="D105" s="537"/>
      <c r="E105" s="537"/>
      <c r="F105" s="537"/>
      <c r="G105" s="537"/>
      <c r="H105" s="537"/>
      <c r="I105" s="537"/>
      <c r="J105" s="537"/>
      <c r="K105" s="537"/>
      <c r="L105" s="537"/>
      <c r="M105" s="538"/>
      <c r="N105" s="1155"/>
      <c r="O105" s="1155"/>
      <c r="P105" s="2682"/>
      <c r="Q105" s="560"/>
    </row>
    <row r="106" spans="1:17" ht="15" thickTop="1">
      <c r="A106" s="600"/>
      <c r="B106" s="539" t="s">
        <v>2610</v>
      </c>
      <c r="C106" s="555"/>
      <c r="D106" s="555"/>
      <c r="E106" s="584"/>
      <c r="F106" s="584"/>
      <c r="G106" s="584"/>
      <c r="H106" s="584"/>
      <c r="I106" s="584"/>
      <c r="J106" s="584"/>
      <c r="K106" s="585"/>
      <c r="L106" s="586"/>
      <c r="M106" s="587"/>
      <c r="N106" s="1154"/>
      <c r="O106" s="1154"/>
      <c r="P106" s="2681"/>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5"/>
      <c r="O107" s="1155"/>
      <c r="P107" s="2681"/>
      <c r="Q107" s="505"/>
    </row>
    <row r="108" spans="1:17" ht="15" thickTop="1">
      <c r="A108" s="600"/>
      <c r="B108" s="539" t="s">
        <v>2612</v>
      </c>
      <c r="C108" s="555"/>
      <c r="D108" s="555"/>
      <c r="E108" s="555"/>
      <c r="F108" s="584"/>
      <c r="G108" s="584"/>
      <c r="H108" s="584"/>
      <c r="I108" s="584"/>
      <c r="J108" s="584"/>
      <c r="K108" s="585"/>
      <c r="L108" s="586"/>
      <c r="M108" s="587"/>
      <c r="N108" s="1154"/>
      <c r="O108" s="1154"/>
      <c r="P108" s="2681"/>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5"/>
      <c r="O109" s="1155"/>
      <c r="P109" s="2681"/>
      <c r="Q109" s="505"/>
    </row>
    <row r="110" spans="1:17" ht="15" thickTop="1">
      <c r="A110" s="600"/>
      <c r="B110" s="539" t="s">
        <v>1995</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4"/>
      <c r="O110" s="1154"/>
      <c r="P110" s="2681"/>
      <c r="Q110" s="505"/>
    </row>
    <row r="111" spans="1:17">
      <c r="A111" s="600"/>
      <c r="B111" s="547"/>
      <c r="C111" s="604">
        <v>0.5</v>
      </c>
      <c r="D111" s="604">
        <v>0.6</v>
      </c>
      <c r="E111" s="604">
        <v>0.7</v>
      </c>
      <c r="F111" s="604">
        <v>0.8</v>
      </c>
      <c r="G111" s="604">
        <v>0.9</v>
      </c>
      <c r="H111" s="604">
        <v>1.0001</v>
      </c>
      <c r="I111" s="623"/>
      <c r="J111" s="623"/>
      <c r="K111" s="624"/>
      <c r="L111" s="625"/>
      <c r="M111" s="626"/>
      <c r="N111" s="1154"/>
      <c r="O111" s="1154"/>
      <c r="P111" s="2681"/>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5"/>
      <c r="O112" s="1155"/>
      <c r="P112" s="2681"/>
      <c r="Q112" s="505"/>
    </row>
    <row r="113" spans="1:17" s="472" customFormat="1" ht="15" thickTop="1">
      <c r="A113" s="594"/>
      <c r="B113" s="539" t="s">
        <v>2695</v>
      </c>
      <c r="C113" s="555"/>
      <c r="D113" s="555"/>
      <c r="E113" s="555"/>
      <c r="F113" s="555"/>
      <c r="G113" s="555"/>
      <c r="H113" s="584"/>
      <c r="I113" s="584"/>
      <c r="J113" s="584"/>
      <c r="K113" s="585"/>
      <c r="L113" s="586"/>
      <c r="M113" s="587"/>
      <c r="N113" s="1156"/>
      <c r="O113" s="1156"/>
      <c r="P113" s="2682"/>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6"/>
      <c r="O114" s="1156"/>
      <c r="P114" s="2682"/>
      <c r="Q114" s="560"/>
    </row>
    <row r="115" spans="1:17" ht="15" thickTop="1">
      <c r="A115" s="600"/>
      <c r="B115" s="539" t="s">
        <v>2613</v>
      </c>
      <c r="C115" s="555"/>
      <c r="D115" s="555"/>
      <c r="E115" s="584"/>
      <c r="F115" s="584"/>
      <c r="G115" s="584"/>
      <c r="H115" s="584"/>
      <c r="I115" s="584"/>
      <c r="J115" s="584"/>
      <c r="K115" s="585"/>
      <c r="L115" s="586"/>
      <c r="M115" s="587"/>
      <c r="N115" s="1154"/>
      <c r="O115" s="1154"/>
      <c r="P115" s="2681"/>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5"/>
      <c r="O116" s="1155"/>
      <c r="P116" s="2681"/>
      <c r="Q116" s="505"/>
    </row>
    <row r="117" spans="1:17" ht="15" thickTop="1">
      <c r="A117" s="600"/>
      <c r="B117" s="539" t="s">
        <v>2614</v>
      </c>
      <c r="C117" s="555"/>
      <c r="D117" s="555"/>
      <c r="E117" s="555"/>
      <c r="F117" s="555"/>
      <c r="G117" s="555"/>
      <c r="H117" s="584"/>
      <c r="I117" s="584"/>
      <c r="J117" s="584"/>
      <c r="K117" s="585"/>
      <c r="L117" s="586"/>
      <c r="M117" s="587"/>
      <c r="N117" s="1154"/>
      <c r="O117" s="1154"/>
      <c r="P117" s="2681"/>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5"/>
      <c r="O118" s="1155"/>
      <c r="P118" s="2681"/>
      <c r="Q118" s="505"/>
    </row>
    <row r="119" spans="1:17" ht="15" thickTop="1">
      <c r="A119" s="600"/>
      <c r="B119" s="636" t="s">
        <v>2696</v>
      </c>
      <c r="C119" s="584"/>
      <c r="D119" s="584"/>
      <c r="E119" s="584"/>
      <c r="F119" s="584"/>
      <c r="G119" s="584"/>
      <c r="H119" s="584"/>
      <c r="I119" s="584"/>
      <c r="J119" s="584"/>
      <c r="K119" s="584"/>
      <c r="L119" s="2686"/>
      <c r="M119" s="2687"/>
      <c r="N119" s="1155"/>
      <c r="O119" s="1155"/>
      <c r="P119" s="2688"/>
      <c r="Q119" s="638"/>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5"/>
      <c r="O120" s="1155"/>
      <c r="P120" s="2681"/>
      <c r="Q120" s="505"/>
    </row>
    <row r="121" spans="1:17" s="472" customFormat="1" ht="15" thickTop="1">
      <c r="A121" s="594"/>
      <c r="B121" s="539" t="s">
        <v>2679</v>
      </c>
      <c r="C121" s="555"/>
      <c r="D121" s="555"/>
      <c r="E121" s="555"/>
      <c r="F121" s="584"/>
      <c r="G121" s="556"/>
      <c r="H121" s="556"/>
      <c r="I121" s="556"/>
      <c r="J121" s="556"/>
      <c r="K121" s="556"/>
      <c r="L121" s="557"/>
      <c r="M121" s="558"/>
      <c r="N121" s="1156"/>
      <c r="O121" s="1156"/>
      <c r="P121" s="2682"/>
      <c r="Q121" s="560"/>
    </row>
    <row r="122" spans="1:17" s="472" customFormat="1" ht="15.75" thickBot="1">
      <c r="A122" s="554"/>
      <c r="B122" s="536"/>
      <c r="C122" s="561"/>
      <c r="D122" s="561"/>
      <c r="E122" s="561"/>
      <c r="F122" s="561"/>
      <c r="G122" s="561"/>
      <c r="H122" s="561"/>
      <c r="I122" s="561"/>
      <c r="J122" s="561"/>
      <c r="K122" s="561"/>
      <c r="L122" s="561"/>
      <c r="M122" s="561"/>
      <c r="N122" s="1156"/>
      <c r="O122" s="1156"/>
      <c r="P122" s="2682"/>
      <c r="Q122" s="560"/>
    </row>
    <row r="123" spans="1:17" ht="15" thickTop="1">
      <c r="A123" s="600"/>
      <c r="B123" s="539" t="s">
        <v>2616</v>
      </c>
      <c r="C123" s="555"/>
      <c r="D123" s="555"/>
      <c r="E123" s="555"/>
      <c r="F123" s="584"/>
      <c r="G123" s="584"/>
      <c r="H123" s="584"/>
      <c r="I123" s="584"/>
      <c r="J123" s="584"/>
      <c r="K123" s="585"/>
      <c r="L123" s="586"/>
      <c r="M123" s="587"/>
      <c r="N123" s="1154"/>
      <c r="O123" s="1154"/>
      <c r="P123" s="2681"/>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5"/>
      <c r="O124" s="1155"/>
      <c r="P124" s="2681"/>
      <c r="Q124" s="505"/>
    </row>
    <row r="125" spans="1:17" ht="15" thickTop="1">
      <c r="A125" s="600"/>
      <c r="B125" s="539" t="s">
        <v>2617</v>
      </c>
      <c r="C125" s="579" t="s">
        <v>2593</v>
      </c>
      <c r="D125" s="579" t="s">
        <v>2594</v>
      </c>
      <c r="E125" s="579" t="s">
        <v>2595</v>
      </c>
      <c r="F125" s="579" t="s">
        <v>2596</v>
      </c>
      <c r="G125" s="579" t="s">
        <v>2597</v>
      </c>
      <c r="H125" s="540"/>
      <c r="I125" s="540"/>
      <c r="J125" s="540"/>
      <c r="K125" s="541"/>
      <c r="L125" s="542"/>
      <c r="M125" s="543"/>
      <c r="N125" s="1154"/>
      <c r="O125" s="1154"/>
      <c r="P125" s="2682"/>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5"/>
      <c r="O126" s="1155"/>
      <c r="P126" s="2681"/>
      <c r="Q126" s="505"/>
    </row>
    <row r="127" spans="1:17" s="472" customFormat="1" ht="15" thickTop="1">
      <c r="A127" s="594"/>
      <c r="B127" s="539">
        <f>B45</f>
        <v>111</v>
      </c>
      <c r="C127" s="555"/>
      <c r="D127" s="555"/>
      <c r="E127" s="555"/>
      <c r="F127" s="555"/>
      <c r="G127" s="555"/>
      <c r="H127" s="556"/>
      <c r="I127" s="556"/>
      <c r="J127" s="556"/>
      <c r="K127" s="556"/>
      <c r="L127" s="557"/>
      <c r="M127" s="558"/>
      <c r="N127" s="1156"/>
      <c r="O127" s="1156"/>
      <c r="P127" s="2682"/>
      <c r="Q127" s="560"/>
    </row>
    <row r="128" spans="1:17" s="472" customFormat="1" ht="15.75" thickBot="1">
      <c r="A128" s="554"/>
      <c r="B128" s="544"/>
      <c r="C128" s="561"/>
      <c r="D128" s="537"/>
      <c r="E128" s="537"/>
      <c r="F128" s="537"/>
      <c r="G128" s="561"/>
      <c r="H128" s="563"/>
      <c r="I128" s="563"/>
      <c r="J128" s="563"/>
      <c r="K128" s="563"/>
      <c r="L128" s="563"/>
      <c r="M128" s="564"/>
      <c r="N128" s="1156"/>
      <c r="O128" s="1156"/>
      <c r="P128" s="2682"/>
      <c r="Q128" s="560"/>
    </row>
    <row r="129" spans="1:17" ht="15" thickTop="1">
      <c r="A129" s="600"/>
      <c r="B129" s="539">
        <f>B46</f>
        <v>111</v>
      </c>
      <c r="C129" s="555"/>
      <c r="D129" s="555"/>
      <c r="E129" s="555"/>
      <c r="F129" s="555"/>
      <c r="G129" s="584"/>
      <c r="H129" s="584"/>
      <c r="I129" s="584"/>
      <c r="J129" s="584"/>
      <c r="K129" s="585"/>
      <c r="L129" s="586"/>
      <c r="M129" s="587"/>
      <c r="N129" s="1154"/>
      <c r="O129" s="1154"/>
      <c r="P129" s="2681"/>
      <c r="Q129" s="505"/>
    </row>
    <row r="130" spans="1:17" ht="15.75" thickBot="1">
      <c r="A130" s="535"/>
      <c r="B130" s="544"/>
      <c r="C130" s="561"/>
      <c r="D130" s="561"/>
      <c r="E130" s="561"/>
      <c r="F130" s="561"/>
      <c r="G130" s="537"/>
      <c r="H130" s="537"/>
      <c r="I130" s="537"/>
      <c r="J130" s="537"/>
      <c r="K130" s="537"/>
      <c r="L130" s="537"/>
      <c r="M130" s="538"/>
      <c r="N130" s="1155"/>
      <c r="O130" s="1155"/>
      <c r="P130" s="2681"/>
      <c r="Q130" s="505"/>
    </row>
    <row r="131" spans="1:17" ht="15" thickTop="1">
      <c r="A131" s="600"/>
      <c r="B131" s="547">
        <f>B47</f>
        <v>111</v>
      </c>
      <c r="C131" s="524"/>
      <c r="D131" s="524"/>
      <c r="E131" s="524"/>
      <c r="F131" s="524"/>
      <c r="G131" s="588"/>
      <c r="H131" s="588"/>
      <c r="I131" s="588"/>
      <c r="J131" s="588"/>
      <c r="K131" s="524"/>
      <c r="L131" s="525"/>
      <c r="M131" s="591"/>
      <c r="N131" s="1154"/>
      <c r="O131" s="1154"/>
      <c r="P131" s="2681"/>
      <c r="Q131" s="505"/>
    </row>
    <row r="132" spans="1:17" ht="15.75" thickBot="1">
      <c r="A132" s="2633"/>
      <c r="B132" s="570"/>
      <c r="C132" s="571"/>
      <c r="D132" s="571"/>
      <c r="E132" s="571"/>
      <c r="F132" s="571"/>
      <c r="G132" s="592"/>
      <c r="H132" s="592"/>
      <c r="I132" s="592"/>
      <c r="J132" s="592"/>
      <c r="K132" s="592"/>
      <c r="L132" s="592"/>
      <c r="M132" s="593"/>
      <c r="N132" s="1155"/>
      <c r="O132" s="1155"/>
      <c r="P132" s="2681"/>
      <c r="Q132"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2" customFormat="1" ht="28.5" customHeight="1" thickBot="1">
      <c r="A1" s="1621" t="s">
        <v>2524</v>
      </c>
      <c r="B1" s="2666" t="s">
        <v>2697</v>
      </c>
      <c r="C1" s="1623" t="s">
        <v>2526</v>
      </c>
      <c r="D1" s="1624"/>
      <c r="E1" s="1633"/>
      <c r="F1" s="2581"/>
      <c r="G1" s="1634" t="s">
        <v>2639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9" customFormat="1" ht="28.5" customHeight="1" thickTop="1">
      <c r="A2" s="1620" t="s">
        <v>2326</v>
      </c>
      <c r="B2" s="1420" t="e">
        <f ca="1">IF(C2="——",ROUND(C43*D3/10000,0),ROUND(C43*D3/10000,0)-D2)</f>
        <v>#DIV/0!</v>
      </c>
      <c r="C2" s="2583"/>
      <c r="D2" s="1126" t="e">
        <f ca="1">SUMIF(INDIRECT("'"&amp;F2&amp;"'"&amp;"!A:A"),"承租人权益价值",INDIRECT("'"&amp;F2&amp;"'"&amp;"!c:c"))</f>
        <v>#REF!</v>
      </c>
      <c r="E2" s="2584" t="s">
        <v>2327</v>
      </c>
      <c r="F2" s="2585"/>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9" customFormat="1" ht="28.5" customHeight="1" thickBot="1">
      <c r="A3" s="248" t="s">
        <v>2328</v>
      </c>
      <c r="B3" s="610" t="e">
        <f ca="1">IF(C2="——",C43,ROUND(B2*10000/D3,0))</f>
        <v>#DIV/0!</v>
      </c>
      <c r="C3" s="401" t="s">
        <v>2640</v>
      </c>
      <c r="D3" s="400">
        <f>IF(D1="",'数据-汇总表'!E3,SUMIF('数据-汇总表'!$C19:$C33,D1,'数据-汇总表'!$E19:$E33))</f>
        <v>7765.3499999999995</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2" t="s">
        <v>2641</v>
      </c>
      <c r="B4" s="403"/>
      <c r="C4" s="3270" t="s">
        <v>2642</v>
      </c>
      <c r="D4" s="3283"/>
      <c r="E4" s="3284" t="s">
        <v>2643</v>
      </c>
      <c r="F4" s="3285"/>
      <c r="G4" s="3270" t="s">
        <v>2644</v>
      </c>
      <c r="H4" s="3283"/>
      <c r="I4" s="3270" t="s">
        <v>2645</v>
      </c>
      <c r="J4" s="3283"/>
      <c r="K4" s="611" t="s">
        <v>2646</v>
      </c>
      <c r="L4" s="1132"/>
      <c r="M4" s="1133"/>
      <c r="N4" s="1133"/>
      <c r="O4" s="1133"/>
      <c r="P4" s="3286" t="s">
        <v>2647</v>
      </c>
      <c r="Q4" s="3287"/>
      <c r="R4" s="3292" t="s">
        <v>2643</v>
      </c>
      <c r="S4" s="3293"/>
      <c r="T4" s="3292" t="s">
        <v>2644</v>
      </c>
      <c r="U4" s="3293"/>
      <c r="V4" s="3279" t="s">
        <v>2645</v>
      </c>
      <c r="W4" s="3279"/>
      <c r="X4" s="1816"/>
      <c r="Y4" s="3292" t="s">
        <v>2647</v>
      </c>
      <c r="Z4" s="3293"/>
      <c r="AA4" s="3280" t="s">
        <v>2643</v>
      </c>
      <c r="AB4" s="3281" t="s">
        <v>2644</v>
      </c>
      <c r="AC4" s="3280" t="s">
        <v>2645</v>
      </c>
    </row>
    <row r="5" spans="1:29" ht="15">
      <c r="A5" s="405"/>
      <c r="B5" s="406"/>
      <c r="C5" s="3348" t="s">
        <v>2538</v>
      </c>
      <c r="D5" s="3301"/>
      <c r="E5" s="3365" t="s">
        <v>2539</v>
      </c>
      <c r="F5" s="3310"/>
      <c r="G5" s="3348" t="s">
        <v>2540</v>
      </c>
      <c r="H5" s="3301"/>
      <c r="I5" s="3348" t="s">
        <v>2541</v>
      </c>
      <c r="J5" s="3301"/>
      <c r="K5" s="611"/>
      <c r="L5" s="1132"/>
      <c r="M5" s="1133"/>
      <c r="N5" s="1133"/>
      <c r="O5" s="1133"/>
      <c r="P5" s="3288"/>
      <c r="Q5" s="3289"/>
      <c r="R5" s="3294"/>
      <c r="S5" s="3295"/>
      <c r="T5" s="3294"/>
      <c r="U5" s="3295"/>
      <c r="V5" s="3279"/>
      <c r="W5" s="3279"/>
      <c r="X5" s="1816"/>
      <c r="Y5" s="3294"/>
      <c r="Z5" s="3295"/>
      <c r="AA5" s="3281"/>
      <c r="AB5" s="3281"/>
      <c r="AC5" s="3281"/>
    </row>
    <row r="6" spans="1:29" ht="15.75" thickBot="1">
      <c r="A6" s="407"/>
      <c r="B6" s="408"/>
      <c r="C6" s="3347" t="s">
        <v>2542</v>
      </c>
      <c r="D6" s="3299"/>
      <c r="E6" s="3363" t="s">
        <v>2542</v>
      </c>
      <c r="F6" s="3308"/>
      <c r="G6" s="3347" t="s">
        <v>2542</v>
      </c>
      <c r="H6" s="3299"/>
      <c r="I6" s="3347" t="s">
        <v>2542</v>
      </c>
      <c r="J6" s="3299"/>
      <c r="K6" s="611" t="s">
        <v>2543</v>
      </c>
      <c r="L6" s="1132"/>
      <c r="M6" s="1133"/>
      <c r="N6" s="1133"/>
      <c r="O6" s="1133"/>
      <c r="P6" s="3290"/>
      <c r="Q6" s="3291"/>
      <c r="R6" s="3294"/>
      <c r="S6" s="3295"/>
      <c r="T6" s="3296"/>
      <c r="U6" s="3297"/>
      <c r="V6" s="3279"/>
      <c r="W6" s="3279"/>
      <c r="X6" s="1816"/>
      <c r="Y6" s="3296"/>
      <c r="Z6" s="3297"/>
      <c r="AA6" s="3282"/>
      <c r="AB6" s="3282"/>
      <c r="AC6" s="3282"/>
    </row>
    <row r="7" spans="1:29" s="117" customFormat="1" ht="15.75" thickBot="1">
      <c r="A7" s="409" t="s">
        <v>2544</v>
      </c>
      <c r="B7" s="410"/>
      <c r="C7" s="411">
        <f>'数据-取费表'!B2</f>
        <v>43049</v>
      </c>
      <c r="D7" s="412">
        <v>100</v>
      </c>
      <c r="E7" s="413"/>
      <c r="F7" s="414">
        <f>SUMIF(52:52,YEAR(E7)&amp;"-"&amp;MONTH(E7),53:53)</f>
        <v>0</v>
      </c>
      <c r="G7" s="413"/>
      <c r="H7" s="412">
        <f>SUMIF(52:52,YEAR(G7)&amp;"-"&amp;MONTH(G7),53:53)</f>
        <v>0</v>
      </c>
      <c r="I7" s="413"/>
      <c r="J7" s="412">
        <f>SUMIF(52:52,YEAR(I7)&amp;"-"&amp;MONTH(I7),53:53)</f>
        <v>0</v>
      </c>
      <c r="K7" s="612"/>
      <c r="L7" s="1134"/>
      <c r="M7" s="1135"/>
      <c r="N7" s="1135"/>
      <c r="O7" s="1135"/>
      <c r="P7" s="3302" t="s">
        <v>2545</v>
      </c>
      <c r="Q7" s="3304"/>
      <c r="R7" s="769" t="s">
        <v>17</v>
      </c>
      <c r="S7" s="770">
        <f t="shared" ref="S7:S15" si="0">F7</f>
        <v>0</v>
      </c>
      <c r="T7" s="769" t="s">
        <v>17</v>
      </c>
      <c r="U7" s="770">
        <f t="shared" ref="U7:U15" si="1">H7</f>
        <v>0</v>
      </c>
      <c r="V7" s="769" t="s">
        <v>17</v>
      </c>
      <c r="W7" s="770">
        <f t="shared" ref="W7:W15" si="2">J7</f>
        <v>0</v>
      </c>
      <c r="X7" s="771"/>
      <c r="Y7" s="3302" t="s">
        <v>2545</v>
      </c>
      <c r="Z7" s="3303"/>
      <c r="AA7" s="772" t="e">
        <f>D7/F7</f>
        <v>#DIV/0!</v>
      </c>
      <c r="AB7" s="772" t="e">
        <f>D7/H7</f>
        <v>#DIV/0!</v>
      </c>
      <c r="AC7" s="772" t="e">
        <f>D7/J7</f>
        <v>#DIV/0!</v>
      </c>
    </row>
    <row r="8" spans="1:29" s="117" customFormat="1" ht="15.75" thickBot="1">
      <c r="A8" s="409" t="s">
        <v>2546</v>
      </c>
      <c r="B8" s="410"/>
      <c r="C8" s="415" t="s">
        <v>2547</v>
      </c>
      <c r="D8" s="412">
        <v>100</v>
      </c>
      <c r="E8" s="415"/>
      <c r="F8" s="414">
        <f>SUMIF(55:55,E8,56:56)-SUMIF(55:55,C8,56:56)+100</f>
        <v>0</v>
      </c>
      <c r="G8" s="415"/>
      <c r="H8" s="412">
        <f>SUMIF(55:55,G8,56:56)-SUMIF(55:55,C8,56:56)+100</f>
        <v>0</v>
      </c>
      <c r="I8" s="415"/>
      <c r="J8" s="412">
        <f>SUMIF(55:55,I8,56:56)-SUMIF(55:55,C8,56:56)+100</f>
        <v>0</v>
      </c>
      <c r="K8" s="612"/>
      <c r="L8" s="1134"/>
      <c r="M8" s="1135"/>
      <c r="N8" s="1135"/>
      <c r="O8" s="1135"/>
      <c r="P8" s="3302" t="s">
        <v>2548</v>
      </c>
      <c r="Q8" s="3303"/>
      <c r="R8" s="769" t="s">
        <v>17</v>
      </c>
      <c r="S8" s="770">
        <f t="shared" si="0"/>
        <v>0</v>
      </c>
      <c r="T8" s="769" t="s">
        <v>17</v>
      </c>
      <c r="U8" s="770">
        <f t="shared" si="1"/>
        <v>0</v>
      </c>
      <c r="V8" s="769" t="s">
        <v>17</v>
      </c>
      <c r="W8" s="770">
        <f t="shared" si="2"/>
        <v>0</v>
      </c>
      <c r="X8" s="771"/>
      <c r="Y8" s="3302" t="s">
        <v>2548</v>
      </c>
      <c r="Z8" s="3303"/>
      <c r="AA8" s="772" t="e">
        <f t="shared" ref="AA8:AA40" si="3">D8/F8</f>
        <v>#DIV/0!</v>
      </c>
      <c r="AB8" s="772" t="e">
        <f t="shared" ref="AB8:AB40" si="4">D8/H8</f>
        <v>#DIV/0!</v>
      </c>
      <c r="AC8" s="772" t="e">
        <f t="shared" ref="AC8:AC40" si="5">D8/J8</f>
        <v>#DIV/0!</v>
      </c>
    </row>
    <row r="9" spans="1:29" s="117" customFormat="1">
      <c r="A9" s="416" t="s">
        <v>2549</v>
      </c>
      <c r="B9" s="71" t="s">
        <v>2550</v>
      </c>
      <c r="C9" s="417"/>
      <c r="D9" s="135">
        <v>100</v>
      </c>
      <c r="E9" s="420"/>
      <c r="F9" s="135">
        <f>SUMIF(57:57,E9,58:58)-SUMIF(57:57,C9,58:58)+100</f>
        <v>100</v>
      </c>
      <c r="G9" s="418"/>
      <c r="H9" s="135">
        <f>SUMIF(57:57,G9,58:58)-SUMIF(57:57,C9,58:58)+100</f>
        <v>100</v>
      </c>
      <c r="I9" s="418"/>
      <c r="J9" s="135">
        <f>SUMIF(57:57,I9,58:58)-SUMIF(57:57,C9,58:58)+100</f>
        <v>100</v>
      </c>
      <c r="K9" s="612"/>
      <c r="L9" s="1134"/>
      <c r="M9" s="1135"/>
      <c r="N9" s="1135"/>
      <c r="O9" s="1136"/>
      <c r="P9" s="3273" t="s">
        <v>2551</v>
      </c>
      <c r="Q9" s="1798" t="str">
        <f t="shared" ref="Q9:Q15" si="6">B9</f>
        <v>用途</v>
      </c>
      <c r="R9" s="769" t="s">
        <v>17</v>
      </c>
      <c r="S9" s="770">
        <f t="shared" si="0"/>
        <v>100</v>
      </c>
      <c r="T9" s="769" t="s">
        <v>17</v>
      </c>
      <c r="U9" s="770">
        <f t="shared" si="1"/>
        <v>100</v>
      </c>
      <c r="V9" s="769" t="s">
        <v>17</v>
      </c>
      <c r="W9" s="770">
        <f t="shared" si="2"/>
        <v>100</v>
      </c>
      <c r="X9" s="771"/>
      <c r="Y9" s="3121" t="s">
        <v>2552</v>
      </c>
      <c r="Z9" s="55" t="str">
        <f t="shared" ref="Z9:Z15" si="7">Q9</f>
        <v>用途</v>
      </c>
      <c r="AA9" s="772">
        <f t="shared" si="3"/>
        <v>1</v>
      </c>
      <c r="AB9" s="772">
        <f t="shared" si="4"/>
        <v>1</v>
      </c>
      <c r="AC9" s="772">
        <f t="shared" si="5"/>
        <v>1</v>
      </c>
    </row>
    <row r="10" spans="1:29" s="428" customFormat="1" ht="27">
      <c r="A10" s="422"/>
      <c r="B10" s="423" t="s">
        <v>2553</v>
      </c>
      <c r="C10" s="424"/>
      <c r="D10" s="136">
        <v>100</v>
      </c>
      <c r="E10" s="424"/>
      <c r="F10" s="136">
        <f>SUMIF(59:59,E10,60:60)-SUMIF(59:59,C10,60:60)+100</f>
        <v>100</v>
      </c>
      <c r="G10" s="425"/>
      <c r="H10" s="136">
        <f>SUMIF(59:59,G10,60:60)-SUMIF(59:59,C10,60:60)+100</f>
        <v>100</v>
      </c>
      <c r="I10" s="424"/>
      <c r="J10" s="136">
        <f>SUMIF(59:59,I10,60:60)-SUMIF(59:59,C10,60:60)+100</f>
        <v>100</v>
      </c>
      <c r="K10" s="613"/>
      <c r="L10" s="1137"/>
      <c r="M10" s="1138"/>
      <c r="N10" s="1138"/>
      <c r="O10" s="1139"/>
      <c r="P10" s="3273"/>
      <c r="Q10" s="1798" t="str">
        <f t="shared" si="6"/>
        <v>土地使用年限（年）</v>
      </c>
      <c r="R10" s="769" t="s">
        <v>17</v>
      </c>
      <c r="S10" s="770">
        <f t="shared" si="0"/>
        <v>100</v>
      </c>
      <c r="T10" s="769" t="s">
        <v>17</v>
      </c>
      <c r="U10" s="770">
        <f t="shared" si="1"/>
        <v>100</v>
      </c>
      <c r="V10" s="769" t="s">
        <v>17</v>
      </c>
      <c r="W10" s="770">
        <f t="shared" si="2"/>
        <v>100</v>
      </c>
      <c r="X10" s="771"/>
      <c r="Y10" s="3121"/>
      <c r="Z10" s="55" t="str">
        <f t="shared" si="7"/>
        <v>土地使用年限（年）</v>
      </c>
      <c r="AA10" s="772">
        <f t="shared" si="3"/>
        <v>1</v>
      </c>
      <c r="AB10" s="772">
        <f t="shared" si="4"/>
        <v>1</v>
      </c>
      <c r="AC10" s="772">
        <f t="shared" si="5"/>
        <v>1</v>
      </c>
    </row>
    <row r="11" spans="1:29" ht="15">
      <c r="A11" s="429"/>
      <c r="B11" s="423" t="s">
        <v>2554</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0"/>
      <c r="M11" s="1133"/>
      <c r="N11" s="1133"/>
      <c r="O11" s="1141"/>
      <c r="P11" s="3273"/>
      <c r="Q11" s="1798" t="str">
        <f t="shared" si="6"/>
        <v>容积率</v>
      </c>
      <c r="R11" s="769" t="s">
        <v>17</v>
      </c>
      <c r="S11" s="770" t="e">
        <f t="shared" si="0"/>
        <v>#N/A</v>
      </c>
      <c r="T11" s="769" t="s">
        <v>17</v>
      </c>
      <c r="U11" s="770" t="e">
        <f t="shared" si="1"/>
        <v>#N/A</v>
      </c>
      <c r="V11" s="769" t="s">
        <v>17</v>
      </c>
      <c r="W11" s="770" t="e">
        <f t="shared" si="2"/>
        <v>#N/A</v>
      </c>
      <c r="X11" s="771"/>
      <c r="Y11" s="3121"/>
      <c r="Z11" s="55" t="str">
        <f t="shared" si="7"/>
        <v>容积率</v>
      </c>
      <c r="AA11" s="772" t="e">
        <f t="shared" si="3"/>
        <v>#N/A</v>
      </c>
      <c r="AB11" s="772" t="e">
        <f t="shared" si="4"/>
        <v>#N/A</v>
      </c>
      <c r="AC11" s="772" t="e">
        <f t="shared" si="5"/>
        <v>#N/A</v>
      </c>
    </row>
    <row r="12" spans="1:29" s="117" customFormat="1" ht="15">
      <c r="A12" s="432"/>
      <c r="B12" s="2597">
        <v>111</v>
      </c>
      <c r="C12" s="433"/>
      <c r="D12" s="434">
        <v>100</v>
      </c>
      <c r="E12" s="435"/>
      <c r="F12" s="136">
        <f>SUMIF(64:64,E12,65:65)-SUMIF(64:64,C12,65:65)+100</f>
        <v>100</v>
      </c>
      <c r="G12" s="2689"/>
      <c r="H12" s="136">
        <f>SUMIF(64:64,G12,65:65)-SUMIF(64:64,C12,65:65)+100</f>
        <v>100</v>
      </c>
      <c r="I12" s="470"/>
      <c r="J12" s="136">
        <f>SUMIF(64:64,I12,65:65)-SUMIF(64:64,C12,65:65)+100</f>
        <v>100</v>
      </c>
      <c r="K12" s="614"/>
      <c r="L12" s="1134"/>
      <c r="M12" s="1135"/>
      <c r="N12" s="1135"/>
      <c r="O12" s="1136"/>
      <c r="P12" s="3273"/>
      <c r="Q12" s="1798">
        <f t="shared" si="6"/>
        <v>111</v>
      </c>
      <c r="R12" s="769" t="s">
        <v>17</v>
      </c>
      <c r="S12" s="770">
        <f t="shared" si="0"/>
        <v>100</v>
      </c>
      <c r="T12" s="769" t="s">
        <v>17</v>
      </c>
      <c r="U12" s="770">
        <f t="shared" si="1"/>
        <v>100</v>
      </c>
      <c r="V12" s="769" t="s">
        <v>17</v>
      </c>
      <c r="W12" s="770">
        <f t="shared" si="2"/>
        <v>100</v>
      </c>
      <c r="X12" s="771"/>
      <c r="Y12" s="3121"/>
      <c r="Z12" s="55">
        <f t="shared" si="7"/>
        <v>111</v>
      </c>
      <c r="AA12" s="772">
        <f>D12/F12</f>
        <v>1</v>
      </c>
      <c r="AB12" s="772">
        <f>D12/H12</f>
        <v>1</v>
      </c>
      <c r="AC12" s="772">
        <f>D12/J12</f>
        <v>1</v>
      </c>
    </row>
    <row r="13" spans="1:29" ht="15">
      <c r="A13" s="429"/>
      <c r="B13" s="2597">
        <v>111</v>
      </c>
      <c r="C13" s="435"/>
      <c r="D13" s="436">
        <v>100</v>
      </c>
      <c r="E13" s="435"/>
      <c r="F13" s="136">
        <f>SUMIF(66:66,E13,67:67)-SUMIF(66:66,C13,67:67)+100</f>
        <v>100</v>
      </c>
      <c r="G13" s="2689"/>
      <c r="H13" s="436">
        <f>SUMIF(66:66,G13,67:67)-SUMIF(66:66,C13,67:67)+100</f>
        <v>100</v>
      </c>
      <c r="I13" s="470"/>
      <c r="J13" s="436">
        <f>SUMIF(66:66,I13,67:67)-SUMIF(66:66,C13,67:67)+100</f>
        <v>100</v>
      </c>
      <c r="K13" s="614"/>
      <c r="L13" s="1142"/>
      <c r="M13" s="1133"/>
      <c r="N13" s="1133"/>
      <c r="O13" s="1141"/>
      <c r="P13" s="3273"/>
      <c r="Q13" s="1798">
        <f t="shared" si="6"/>
        <v>111</v>
      </c>
      <c r="R13" s="769" t="s">
        <v>17</v>
      </c>
      <c r="S13" s="770">
        <f t="shared" si="0"/>
        <v>100</v>
      </c>
      <c r="T13" s="769" t="s">
        <v>17</v>
      </c>
      <c r="U13" s="770">
        <f t="shared" si="1"/>
        <v>100</v>
      </c>
      <c r="V13" s="769" t="s">
        <v>17</v>
      </c>
      <c r="W13" s="770">
        <f t="shared" si="2"/>
        <v>100</v>
      </c>
      <c r="X13" s="771"/>
      <c r="Y13" s="3121"/>
      <c r="Z13" s="55">
        <f t="shared" si="7"/>
        <v>111</v>
      </c>
      <c r="AA13" s="772">
        <f t="shared" si="3"/>
        <v>1</v>
      </c>
      <c r="AB13" s="772">
        <f t="shared" si="4"/>
        <v>1</v>
      </c>
      <c r="AC13" s="772">
        <f t="shared" si="5"/>
        <v>1</v>
      </c>
    </row>
    <row r="14" spans="1:29" ht="15.75" thickBot="1">
      <c r="A14" s="437"/>
      <c r="B14" s="2599">
        <v>111</v>
      </c>
      <c r="C14" s="438"/>
      <c r="D14" s="439">
        <v>100</v>
      </c>
      <c r="E14" s="438"/>
      <c r="F14" s="439">
        <f>SUMIF(68:68,E14,69:69)-SUMIF(68:68,C14,69:69)+100</f>
        <v>100</v>
      </c>
      <c r="G14" s="2689"/>
      <c r="H14" s="439">
        <f>SUMIF(68:68,G14,69:69)-SUMIF(68:68,C14,69:69)+100</f>
        <v>100</v>
      </c>
      <c r="I14" s="470"/>
      <c r="J14" s="439">
        <f>SUMIF(68:68,I14,69:69)-SUMIF(68:68,C14,69:69)+100</f>
        <v>100</v>
      </c>
      <c r="K14" s="614"/>
      <c r="L14" s="1142"/>
      <c r="M14" s="1133"/>
      <c r="N14" s="1133"/>
      <c r="O14" s="1141"/>
      <c r="P14" s="3273"/>
      <c r="Q14" s="1798">
        <f t="shared" si="6"/>
        <v>111</v>
      </c>
      <c r="R14" s="769" t="s">
        <v>17</v>
      </c>
      <c r="S14" s="770">
        <f t="shared" si="0"/>
        <v>100</v>
      </c>
      <c r="T14" s="769" t="s">
        <v>17</v>
      </c>
      <c r="U14" s="770">
        <f t="shared" si="1"/>
        <v>100</v>
      </c>
      <c r="V14" s="769" t="s">
        <v>17</v>
      </c>
      <c r="W14" s="770">
        <f t="shared" si="2"/>
        <v>100</v>
      </c>
      <c r="X14" s="771"/>
      <c r="Y14" s="3121"/>
      <c r="Z14" s="55">
        <f t="shared" si="7"/>
        <v>111</v>
      </c>
      <c r="AA14" s="772">
        <f t="shared" si="3"/>
        <v>1</v>
      </c>
      <c r="AB14" s="772">
        <f t="shared" si="4"/>
        <v>1</v>
      </c>
      <c r="AC14" s="772">
        <f t="shared" si="5"/>
        <v>1</v>
      </c>
    </row>
    <row r="15" spans="1:29" ht="57">
      <c r="A15" s="441" t="s">
        <v>2555</v>
      </c>
      <c r="B15" s="69" t="s">
        <v>2698</v>
      </c>
      <c r="C15" s="2690"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2"/>
      <c r="M15" s="1133"/>
      <c r="N15" s="1133"/>
      <c r="O15" s="1141"/>
      <c r="P15" s="3275" t="s">
        <v>2556</v>
      </c>
      <c r="Q15" s="1813" t="str">
        <f t="shared" si="6"/>
        <v>产业集聚程度</v>
      </c>
      <c r="R15" s="773" t="s">
        <v>17</v>
      </c>
      <c r="S15" s="774">
        <f t="shared" si="0"/>
        <v>100</v>
      </c>
      <c r="T15" s="773" t="s">
        <v>17</v>
      </c>
      <c r="U15" s="774">
        <f t="shared" si="1"/>
        <v>100</v>
      </c>
      <c r="V15" s="773" t="s">
        <v>17</v>
      </c>
      <c r="W15" s="774">
        <f t="shared" si="2"/>
        <v>100</v>
      </c>
      <c r="X15" s="1816"/>
      <c r="Y15" s="3275" t="s">
        <v>2556</v>
      </c>
      <c r="Z15" s="1817" t="str">
        <f t="shared" si="7"/>
        <v>产业集聚程度</v>
      </c>
      <c r="AA15" s="1814">
        <f t="shared" si="3"/>
        <v>1</v>
      </c>
      <c r="AB15" s="1814">
        <f t="shared" si="4"/>
        <v>1</v>
      </c>
      <c r="AC15" s="1814">
        <f t="shared" si="5"/>
        <v>1</v>
      </c>
    </row>
    <row r="16" spans="1:29" ht="15">
      <c r="A16" s="429"/>
      <c r="B16" s="447"/>
      <c r="C16" s="448"/>
      <c r="D16" s="449"/>
      <c r="E16" s="448"/>
      <c r="F16" s="450"/>
      <c r="G16" s="448"/>
      <c r="H16" s="451"/>
      <c r="I16" s="448"/>
      <c r="J16" s="449"/>
      <c r="K16" s="616"/>
      <c r="L16" s="1142"/>
      <c r="M16" s="1133"/>
      <c r="N16" s="1133"/>
      <c r="O16" s="1141"/>
      <c r="P16" s="3276"/>
      <c r="Q16" s="1813"/>
      <c r="R16" s="773"/>
      <c r="S16" s="774"/>
      <c r="T16" s="773"/>
      <c r="U16" s="774"/>
      <c r="V16" s="773"/>
      <c r="W16" s="774"/>
      <c r="X16" s="1816"/>
      <c r="Y16" s="3276"/>
      <c r="Z16" s="1817"/>
      <c r="AA16" s="1814">
        <v>1</v>
      </c>
      <c r="AB16" s="1814">
        <v>1</v>
      </c>
      <c r="AC16" s="1814">
        <v>1</v>
      </c>
    </row>
    <row r="17" spans="1:29" ht="85.5">
      <c r="A17" s="429"/>
      <c r="B17" s="452" t="s">
        <v>2095</v>
      </c>
      <c r="C17" s="2604"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2"/>
      <c r="M17" s="1133"/>
      <c r="N17" s="1133"/>
      <c r="O17" s="1141"/>
      <c r="P17" s="3276"/>
      <c r="Q17" s="1813" t="str">
        <f>B17</f>
        <v>交通便捷度</v>
      </c>
      <c r="R17" s="773" t="s">
        <v>17</v>
      </c>
      <c r="S17" s="774">
        <f>F17</f>
        <v>100</v>
      </c>
      <c r="T17" s="773" t="s">
        <v>17</v>
      </c>
      <c r="U17" s="774">
        <f>H17</f>
        <v>100</v>
      </c>
      <c r="V17" s="773" t="s">
        <v>17</v>
      </c>
      <c r="W17" s="774">
        <f>J17</f>
        <v>100</v>
      </c>
      <c r="X17" s="1816"/>
      <c r="Y17" s="3276"/>
      <c r="Z17" s="1817" t="str">
        <f>Q17</f>
        <v>交通便捷度</v>
      </c>
      <c r="AA17" s="1814">
        <f t="shared" si="3"/>
        <v>1</v>
      </c>
      <c r="AB17" s="1814">
        <f t="shared" si="4"/>
        <v>1</v>
      </c>
      <c r="AC17" s="1814">
        <f t="shared" si="5"/>
        <v>1</v>
      </c>
    </row>
    <row r="18" spans="1:29" ht="15">
      <c r="A18" s="429"/>
      <c r="B18" s="457"/>
      <c r="C18" s="2605"/>
      <c r="D18" s="451"/>
      <c r="E18" s="2607"/>
      <c r="F18" s="454"/>
      <c r="G18" s="2606"/>
      <c r="H18" s="449"/>
      <c r="I18" s="2607"/>
      <c r="J18" s="449"/>
      <c r="K18" s="616"/>
      <c r="L18" s="1142"/>
      <c r="M18" s="1133"/>
      <c r="N18" s="1133"/>
      <c r="O18" s="1141"/>
      <c r="P18" s="3276"/>
      <c r="Q18" s="1813"/>
      <c r="R18" s="773"/>
      <c r="S18" s="774"/>
      <c r="T18" s="773"/>
      <c r="U18" s="774"/>
      <c r="V18" s="773"/>
      <c r="W18" s="774"/>
      <c r="X18" s="1816"/>
      <c r="Y18" s="3276"/>
      <c r="Z18" s="1817"/>
      <c r="AA18" s="1814">
        <v>1</v>
      </c>
      <c r="AB18" s="1814">
        <v>1</v>
      </c>
      <c r="AC18" s="1814">
        <v>1</v>
      </c>
    </row>
    <row r="19" spans="1:29" ht="42.75">
      <c r="A19" s="429"/>
      <c r="B19" s="452" t="s">
        <v>2683</v>
      </c>
      <c r="C19" s="2604"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2"/>
      <c r="M19" s="1133"/>
      <c r="N19" s="1133"/>
      <c r="O19" s="1141"/>
      <c r="P19" s="3276"/>
      <c r="Q19" s="1813" t="str">
        <f>B19</f>
        <v>公共配套设施</v>
      </c>
      <c r="R19" s="773" t="s">
        <v>17</v>
      </c>
      <c r="S19" s="774">
        <f>F19</f>
        <v>100</v>
      </c>
      <c r="T19" s="773" t="s">
        <v>17</v>
      </c>
      <c r="U19" s="774">
        <f>H19</f>
        <v>100</v>
      </c>
      <c r="V19" s="773" t="s">
        <v>17</v>
      </c>
      <c r="W19" s="774">
        <f>J19</f>
        <v>100</v>
      </c>
      <c r="X19" s="1816"/>
      <c r="Y19" s="3276"/>
      <c r="Z19" s="1817" t="str">
        <f>Q19</f>
        <v>公共配套设施</v>
      </c>
      <c r="AA19" s="1814">
        <f t="shared" si="3"/>
        <v>1</v>
      </c>
      <c r="AB19" s="1814">
        <f t="shared" si="4"/>
        <v>1</v>
      </c>
      <c r="AC19" s="1814">
        <f t="shared" si="5"/>
        <v>1</v>
      </c>
    </row>
    <row r="20" spans="1:29" ht="15">
      <c r="A20" s="429"/>
      <c r="B20" s="457"/>
      <c r="C20" s="448"/>
      <c r="D20" s="449"/>
      <c r="E20" s="2602"/>
      <c r="F20" s="450"/>
      <c r="G20" s="2601"/>
      <c r="H20" s="449"/>
      <c r="I20" s="2602"/>
      <c r="J20" s="449"/>
      <c r="K20" s="616"/>
      <c r="L20" s="1142"/>
      <c r="M20" s="1133"/>
      <c r="N20" s="1133"/>
      <c r="O20" s="1141"/>
      <c r="P20" s="3276"/>
      <c r="Q20" s="1813"/>
      <c r="R20" s="773"/>
      <c r="S20" s="774"/>
      <c r="T20" s="773"/>
      <c r="U20" s="774"/>
      <c r="V20" s="773"/>
      <c r="W20" s="774"/>
      <c r="X20" s="1816"/>
      <c r="Y20" s="3276"/>
      <c r="Z20" s="1817"/>
      <c r="AA20" s="1814">
        <v>1</v>
      </c>
      <c r="AB20" s="1814">
        <v>1</v>
      </c>
      <c r="AC20" s="1814">
        <v>1</v>
      </c>
    </row>
    <row r="21" spans="1:29" ht="28.5">
      <c r="A21" s="429"/>
      <c r="B21" s="1386" t="s">
        <v>2684</v>
      </c>
      <c r="C21" s="2604"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2"/>
      <c r="M21" s="1133"/>
      <c r="N21" s="1133"/>
      <c r="O21" s="1141"/>
      <c r="P21" s="3276"/>
      <c r="Q21" s="1813" t="str">
        <f>B21</f>
        <v>基础设施水平</v>
      </c>
      <c r="R21" s="773" t="s">
        <v>17</v>
      </c>
      <c r="S21" s="774">
        <f>F21</f>
        <v>100</v>
      </c>
      <c r="T21" s="773" t="s">
        <v>17</v>
      </c>
      <c r="U21" s="774">
        <f>H21</f>
        <v>100</v>
      </c>
      <c r="V21" s="773" t="s">
        <v>17</v>
      </c>
      <c r="W21" s="774">
        <f>J21</f>
        <v>100</v>
      </c>
      <c r="X21" s="1816"/>
      <c r="Y21" s="3276"/>
      <c r="Z21" s="1817" t="str">
        <f>Q21</f>
        <v>基础设施水平</v>
      </c>
      <c r="AA21" s="1814">
        <f t="shared" ref="AA21" si="8">D21/F21</f>
        <v>1</v>
      </c>
      <c r="AB21" s="1814">
        <f t="shared" ref="AB21" si="9">D21/H21</f>
        <v>1</v>
      </c>
      <c r="AC21" s="1814">
        <f t="shared" ref="AC21" si="10">D21/J21</f>
        <v>1</v>
      </c>
    </row>
    <row r="22" spans="1:29" ht="15">
      <c r="A22" s="429"/>
      <c r="B22" s="1386"/>
      <c r="C22" s="2605"/>
      <c r="D22" s="449"/>
      <c r="E22" s="448"/>
      <c r="F22" s="450"/>
      <c r="G22" s="448"/>
      <c r="H22" s="449"/>
      <c r="I22" s="448"/>
      <c r="J22" s="449"/>
      <c r="K22" s="1385"/>
      <c r="L22" s="1142"/>
      <c r="M22" s="1133"/>
      <c r="N22" s="1133"/>
      <c r="O22" s="1141"/>
      <c r="P22" s="3276"/>
      <c r="Q22" s="1813"/>
      <c r="R22" s="773"/>
      <c r="S22" s="774"/>
      <c r="T22" s="773"/>
      <c r="U22" s="774"/>
      <c r="V22" s="773"/>
      <c r="W22" s="774"/>
      <c r="X22" s="1816"/>
      <c r="Y22" s="3276"/>
      <c r="Z22" s="1817"/>
      <c r="AA22" s="1814">
        <v>1</v>
      </c>
      <c r="AB22" s="1814">
        <v>1</v>
      </c>
      <c r="AC22" s="1814">
        <v>1</v>
      </c>
    </row>
    <row r="23" spans="1:29" ht="71.25">
      <c r="A23" s="429"/>
      <c r="B23" s="452" t="s">
        <v>2685</v>
      </c>
      <c r="C23" s="2604"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2"/>
      <c r="M23" s="1133"/>
      <c r="N23" s="1133"/>
      <c r="O23" s="1141"/>
      <c r="P23" s="3276"/>
      <c r="Q23" s="1813" t="str">
        <f>B23</f>
        <v>环境质量</v>
      </c>
      <c r="R23" s="773" t="s">
        <v>17</v>
      </c>
      <c r="S23" s="774">
        <f>F23</f>
        <v>100</v>
      </c>
      <c r="T23" s="773" t="s">
        <v>17</v>
      </c>
      <c r="U23" s="774">
        <f>H23</f>
        <v>100</v>
      </c>
      <c r="V23" s="773" t="s">
        <v>17</v>
      </c>
      <c r="W23" s="774">
        <f>J23</f>
        <v>100</v>
      </c>
      <c r="X23" s="1816"/>
      <c r="Y23" s="3276"/>
      <c r="Z23" s="1817" t="str">
        <f>Q23</f>
        <v>环境质量</v>
      </c>
      <c r="AA23" s="1814">
        <f t="shared" si="3"/>
        <v>1</v>
      </c>
      <c r="AB23" s="1814">
        <f t="shared" si="4"/>
        <v>1</v>
      </c>
      <c r="AC23" s="1814">
        <f t="shared" si="5"/>
        <v>1</v>
      </c>
    </row>
    <row r="24" spans="1:29" ht="15">
      <c r="A24" s="429"/>
      <c r="B24" s="1386"/>
      <c r="C24" s="448"/>
      <c r="D24" s="449"/>
      <c r="E24" s="2602"/>
      <c r="F24" s="450"/>
      <c r="G24" s="2601"/>
      <c r="H24" s="449"/>
      <c r="I24" s="2602"/>
      <c r="J24" s="449"/>
      <c r="K24" s="616"/>
      <c r="L24" s="1142"/>
      <c r="M24" s="1133"/>
      <c r="N24" s="1133"/>
      <c r="O24" s="1141"/>
      <c r="P24" s="3276"/>
      <c r="Q24" s="1813"/>
      <c r="R24" s="773"/>
      <c r="S24" s="774"/>
      <c r="T24" s="773"/>
      <c r="U24" s="774"/>
      <c r="V24" s="773"/>
      <c r="W24" s="774"/>
      <c r="X24" s="1816"/>
      <c r="Y24" s="3276"/>
      <c r="Z24" s="1817"/>
      <c r="AA24" s="1814">
        <v>1</v>
      </c>
      <c r="AB24" s="1814">
        <v>1</v>
      </c>
      <c r="AC24" s="1814">
        <v>1</v>
      </c>
    </row>
    <row r="25" spans="1:29" ht="15">
      <c r="A25" s="405"/>
      <c r="B25" s="1388">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2"/>
      <c r="M25" s="1133"/>
      <c r="N25" s="1133"/>
      <c r="O25" s="1141"/>
      <c r="P25" s="3276"/>
      <c r="Q25" s="1813">
        <f>B25</f>
        <v>111</v>
      </c>
      <c r="R25" s="773" t="s">
        <v>17</v>
      </c>
      <c r="S25" s="774">
        <f>F25</f>
        <v>100</v>
      </c>
      <c r="T25" s="773" t="s">
        <v>17</v>
      </c>
      <c r="U25" s="774">
        <f>H25</f>
        <v>100</v>
      </c>
      <c r="V25" s="773" t="s">
        <v>17</v>
      </c>
      <c r="W25" s="774">
        <f>J25</f>
        <v>100</v>
      </c>
      <c r="X25" s="1816"/>
      <c r="Y25" s="3276"/>
      <c r="Z25" s="1817">
        <f>Q25</f>
        <v>111</v>
      </c>
      <c r="AA25" s="1814">
        <f t="shared" si="3"/>
        <v>1</v>
      </c>
      <c r="AB25" s="1814">
        <f t="shared" si="4"/>
        <v>1</v>
      </c>
      <c r="AC25" s="1814">
        <f t="shared" si="5"/>
        <v>1</v>
      </c>
    </row>
    <row r="26" spans="1:29" ht="15">
      <c r="A26" s="429"/>
      <c r="B26" s="1388">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2"/>
      <c r="M26" s="1133"/>
      <c r="N26" s="1133"/>
      <c r="O26" s="1141"/>
      <c r="P26" s="3276"/>
      <c r="Q26" s="1813">
        <f t="shared" ref="Q26:Q40" si="11">B26</f>
        <v>111</v>
      </c>
      <c r="R26" s="773" t="s">
        <v>17</v>
      </c>
      <c r="S26" s="774">
        <f>F26</f>
        <v>100</v>
      </c>
      <c r="T26" s="773" t="s">
        <v>17</v>
      </c>
      <c r="U26" s="774">
        <f>H26</f>
        <v>100</v>
      </c>
      <c r="V26" s="773" t="s">
        <v>17</v>
      </c>
      <c r="W26" s="774">
        <f>J26</f>
        <v>100</v>
      </c>
      <c r="X26" s="1816"/>
      <c r="Y26" s="3276"/>
      <c r="Z26" s="1817">
        <f>Q26</f>
        <v>111</v>
      </c>
      <c r="AA26" s="1814">
        <f t="shared" si="3"/>
        <v>1</v>
      </c>
      <c r="AB26" s="1814">
        <f t="shared" si="4"/>
        <v>1</v>
      </c>
      <c r="AC26" s="1814">
        <f t="shared" si="5"/>
        <v>1</v>
      </c>
    </row>
    <row r="27" spans="1:29" s="117" customFormat="1" ht="15">
      <c r="A27" s="432"/>
      <c r="B27" s="1388">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4"/>
      <c r="M27" s="1135"/>
      <c r="N27" s="1135"/>
      <c r="O27" s="1136"/>
      <c r="P27" s="3276"/>
      <c r="Q27" s="1798">
        <f t="shared" si="11"/>
        <v>111</v>
      </c>
      <c r="R27" s="769" t="s">
        <v>17</v>
      </c>
      <c r="S27" s="770">
        <f>F27</f>
        <v>100</v>
      </c>
      <c r="T27" s="769" t="s">
        <v>17</v>
      </c>
      <c r="U27" s="770">
        <f>H27</f>
        <v>100</v>
      </c>
      <c r="V27" s="769" t="s">
        <v>17</v>
      </c>
      <c r="W27" s="770">
        <f>J27</f>
        <v>100</v>
      </c>
      <c r="X27" s="771"/>
      <c r="Y27" s="3276"/>
      <c r="Z27" s="55">
        <f>Q27</f>
        <v>111</v>
      </c>
      <c r="AA27" s="1814">
        <f>D27/F27</f>
        <v>1</v>
      </c>
      <c r="AB27" s="1814">
        <f>D27/H27</f>
        <v>1</v>
      </c>
      <c r="AC27" s="1814">
        <f>D27/J27</f>
        <v>1</v>
      </c>
    </row>
    <row r="28" spans="1:29" ht="15.75" thickBot="1">
      <c r="A28" s="437"/>
      <c r="B28" s="1388">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2"/>
      <c r="M28" s="1133"/>
      <c r="N28" s="1133"/>
      <c r="O28" s="1141"/>
      <c r="P28" s="3276"/>
      <c r="Q28" s="1813">
        <f t="shared" si="11"/>
        <v>111</v>
      </c>
      <c r="R28" s="773" t="s">
        <v>17</v>
      </c>
      <c r="S28" s="774">
        <f t="shared" ref="S28:S40" si="12">F28</f>
        <v>100</v>
      </c>
      <c r="T28" s="773" t="s">
        <v>17</v>
      </c>
      <c r="U28" s="774">
        <f t="shared" ref="U28:U40" si="13">H28</f>
        <v>100</v>
      </c>
      <c r="V28" s="773" t="s">
        <v>17</v>
      </c>
      <c r="W28" s="774">
        <f t="shared" ref="W28:W40" si="14">J28</f>
        <v>100</v>
      </c>
      <c r="X28" s="1816"/>
      <c r="Y28" s="3276"/>
      <c r="Z28" s="1817">
        <f t="shared" ref="Z28:Z40" si="15">Q28</f>
        <v>111</v>
      </c>
      <c r="AA28" s="1814">
        <f t="shared" si="3"/>
        <v>1</v>
      </c>
      <c r="AB28" s="1814">
        <f t="shared" si="4"/>
        <v>1</v>
      </c>
      <c r="AC28" s="1814">
        <f t="shared" si="5"/>
        <v>1</v>
      </c>
    </row>
    <row r="29" spans="1:29" ht="15">
      <c r="A29" s="467" t="s">
        <v>2559</v>
      </c>
      <c r="B29" s="71" t="s">
        <v>2688</v>
      </c>
      <c r="C29" s="2676"/>
      <c r="D29" s="468">
        <v>100</v>
      </c>
      <c r="E29" s="2676"/>
      <c r="F29" s="462">
        <f>SUMIF(88:88,E29,89:89)-SUMIF(88:88,C29,89:89)+100</f>
        <v>100</v>
      </c>
      <c r="G29" s="2676"/>
      <c r="H29" s="436">
        <f>SUMIF(88:88,G29,89:89)-SUMIF(88:88,C29,89:89)+100</f>
        <v>100</v>
      </c>
      <c r="I29" s="2676"/>
      <c r="J29" s="468">
        <f>SUMIF(88:88,I29,89:89)-SUMIF(88:88,C29,89:89)+100</f>
        <v>100</v>
      </c>
      <c r="K29" s="613"/>
      <c r="L29" s="1142"/>
      <c r="M29" s="1133"/>
      <c r="N29" s="1133"/>
      <c r="O29" s="1141"/>
      <c r="P29" s="3277" t="s">
        <v>2561</v>
      </c>
      <c r="Q29" s="1813" t="str">
        <f t="shared" si="11"/>
        <v>建筑类型</v>
      </c>
      <c r="R29" s="773" t="s">
        <v>17</v>
      </c>
      <c r="S29" s="774">
        <f t="shared" si="12"/>
        <v>100</v>
      </c>
      <c r="T29" s="773" t="s">
        <v>17</v>
      </c>
      <c r="U29" s="774">
        <f t="shared" si="13"/>
        <v>100</v>
      </c>
      <c r="V29" s="773" t="s">
        <v>17</v>
      </c>
      <c r="W29" s="774">
        <f t="shared" si="14"/>
        <v>100</v>
      </c>
      <c r="X29" s="1816"/>
      <c r="Y29" s="3278" t="s">
        <v>2561</v>
      </c>
      <c r="Z29" s="1817" t="str">
        <f t="shared" si="15"/>
        <v>建筑类型</v>
      </c>
      <c r="AA29" s="1814">
        <f t="shared" si="3"/>
        <v>1</v>
      </c>
      <c r="AB29" s="1814">
        <f t="shared" si="4"/>
        <v>1</v>
      </c>
      <c r="AC29" s="1814">
        <f t="shared" si="5"/>
        <v>1</v>
      </c>
    </row>
    <row r="30" spans="1:29" s="472" customFormat="1" ht="15">
      <c r="A30" s="469"/>
      <c r="B30" s="423" t="s">
        <v>2562</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0"/>
      <c r="M30" s="1143"/>
      <c r="N30" s="1143"/>
      <c r="O30" s="1144"/>
      <c r="P30" s="3278"/>
      <c r="Q30" s="775" t="str">
        <f t="shared" si="11"/>
        <v>项目建筑规模</v>
      </c>
      <c r="R30" s="776" t="s">
        <v>17</v>
      </c>
      <c r="S30" s="777" t="e">
        <f t="shared" si="12"/>
        <v>#N/A</v>
      </c>
      <c r="T30" s="776" t="s">
        <v>17</v>
      </c>
      <c r="U30" s="777" t="e">
        <f t="shared" si="13"/>
        <v>#N/A</v>
      </c>
      <c r="V30" s="776" t="s">
        <v>17</v>
      </c>
      <c r="W30" s="777" t="e">
        <f t="shared" si="14"/>
        <v>#N/A</v>
      </c>
      <c r="X30" s="778"/>
      <c r="Y30" s="3278"/>
      <c r="Z30" s="779" t="str">
        <f t="shared" si="15"/>
        <v>项目建筑规模</v>
      </c>
      <c r="AA30" s="1814" t="e">
        <f t="shared" si="3"/>
        <v>#N/A</v>
      </c>
      <c r="AB30" s="1814" t="e">
        <f t="shared" si="4"/>
        <v>#N/A</v>
      </c>
      <c r="AC30" s="1814" t="e">
        <f t="shared" si="5"/>
        <v>#N/A</v>
      </c>
    </row>
    <row r="31" spans="1:29" ht="15">
      <c r="A31" s="473"/>
      <c r="B31" s="423" t="s">
        <v>2563</v>
      </c>
      <c r="C31" s="461"/>
      <c r="D31" s="436">
        <v>100</v>
      </c>
      <c r="E31" s="461"/>
      <c r="F31" s="462">
        <f>SUMIF(93:93,E31,94:94)-SUMIF(93:93,C31,94:94)+100</f>
        <v>100</v>
      </c>
      <c r="G31" s="461"/>
      <c r="H31" s="436">
        <f>SUMIF(93:93,G31,94:94)-SUMIF(93:93,C31,94:94)+100</f>
        <v>100</v>
      </c>
      <c r="I31" s="461"/>
      <c r="J31" s="436">
        <f>SUMIF(93:93,I31,94:94)-SUMIF(93:93,C31,94:94)+100</f>
        <v>100</v>
      </c>
      <c r="K31" s="613"/>
      <c r="L31" s="1142"/>
      <c r="M31" s="1133"/>
      <c r="N31" s="1133"/>
      <c r="O31" s="1141"/>
      <c r="P31" s="3278"/>
      <c r="Q31" s="1813" t="str">
        <f t="shared" si="11"/>
        <v>建筑结构</v>
      </c>
      <c r="R31" s="773" t="s">
        <v>17</v>
      </c>
      <c r="S31" s="774">
        <f t="shared" si="12"/>
        <v>100</v>
      </c>
      <c r="T31" s="773" t="s">
        <v>17</v>
      </c>
      <c r="U31" s="774">
        <f t="shared" si="13"/>
        <v>100</v>
      </c>
      <c r="V31" s="773" t="s">
        <v>17</v>
      </c>
      <c r="W31" s="774">
        <f t="shared" si="14"/>
        <v>100</v>
      </c>
      <c r="X31" s="1816"/>
      <c r="Y31" s="3278"/>
      <c r="Z31" s="1817" t="str">
        <f t="shared" si="15"/>
        <v>建筑结构</v>
      </c>
      <c r="AA31" s="1814">
        <f t="shared" si="3"/>
        <v>1</v>
      </c>
      <c r="AB31" s="1814">
        <f t="shared" si="4"/>
        <v>1</v>
      </c>
      <c r="AC31" s="1814">
        <f t="shared" si="5"/>
        <v>1</v>
      </c>
    </row>
    <row r="32" spans="1:29" ht="15">
      <c r="A32" s="473"/>
      <c r="B32" s="423" t="s">
        <v>2656</v>
      </c>
      <c r="C32" s="461"/>
      <c r="D32" s="436">
        <v>100</v>
      </c>
      <c r="E32" s="461"/>
      <c r="F32" s="462">
        <f>SUMIF(95:95,E32,96:96)-SUMIF(95:95,C32,96:96)+100</f>
        <v>100</v>
      </c>
      <c r="G32" s="461"/>
      <c r="H32" s="436">
        <f>SUMIF(95:95,G32,96:96)-SUMIF(95:95,C32,96:96)+100</f>
        <v>100</v>
      </c>
      <c r="I32" s="461"/>
      <c r="J32" s="436">
        <f>SUMIF(95:95,I32,96:96)-SUMIF(95:95,C32,96:96)+100</f>
        <v>100</v>
      </c>
      <c r="K32" s="613"/>
      <c r="L32" s="1142"/>
      <c r="M32" s="1133"/>
      <c r="N32" s="1133"/>
      <c r="O32" s="1141"/>
      <c r="P32" s="3278"/>
      <c r="Q32" s="1813" t="str">
        <f t="shared" si="11"/>
        <v>公共部分装修</v>
      </c>
      <c r="R32" s="773" t="s">
        <v>17</v>
      </c>
      <c r="S32" s="774">
        <f t="shared" si="12"/>
        <v>100</v>
      </c>
      <c r="T32" s="773" t="s">
        <v>17</v>
      </c>
      <c r="U32" s="774">
        <f t="shared" si="13"/>
        <v>100</v>
      </c>
      <c r="V32" s="773" t="s">
        <v>17</v>
      </c>
      <c r="W32" s="774">
        <f t="shared" si="14"/>
        <v>100</v>
      </c>
      <c r="X32" s="1816"/>
      <c r="Y32" s="3278"/>
      <c r="Z32" s="1817" t="str">
        <f t="shared" si="15"/>
        <v>公共部分装修</v>
      </c>
      <c r="AA32" s="1814">
        <f t="shared" si="3"/>
        <v>1</v>
      </c>
      <c r="AB32" s="1814">
        <f t="shared" si="4"/>
        <v>1</v>
      </c>
      <c r="AC32" s="1814">
        <f t="shared" si="5"/>
        <v>1</v>
      </c>
    </row>
    <row r="33" spans="1:29" ht="15">
      <c r="A33" s="473"/>
      <c r="B33" s="423" t="s">
        <v>2657</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2"/>
      <c r="M33" s="1133"/>
      <c r="N33" s="1133"/>
      <c r="O33" s="1141"/>
      <c r="P33" s="3278"/>
      <c r="Q33" s="1813" t="str">
        <f t="shared" si="11"/>
        <v>成新度</v>
      </c>
      <c r="R33" s="773" t="s">
        <v>17</v>
      </c>
      <c r="S33" s="774" t="e">
        <f t="shared" si="12"/>
        <v>#N/A</v>
      </c>
      <c r="T33" s="773" t="s">
        <v>17</v>
      </c>
      <c r="U33" s="774" t="e">
        <f t="shared" si="13"/>
        <v>#N/A</v>
      </c>
      <c r="V33" s="773" t="s">
        <v>17</v>
      </c>
      <c r="W33" s="774" t="e">
        <f t="shared" si="14"/>
        <v>#N/A</v>
      </c>
      <c r="X33" s="1816"/>
      <c r="Y33" s="3278"/>
      <c r="Z33" s="1817" t="str">
        <f t="shared" si="15"/>
        <v>成新度</v>
      </c>
      <c r="AA33" s="1814" t="e">
        <f t="shared" si="3"/>
        <v>#N/A</v>
      </c>
      <c r="AB33" s="1814" t="e">
        <f t="shared" si="4"/>
        <v>#N/A</v>
      </c>
      <c r="AC33" s="1814" t="e">
        <f t="shared" si="5"/>
        <v>#N/A</v>
      </c>
    </row>
    <row r="34" spans="1:29" s="117" customFormat="1" ht="15">
      <c r="A34" s="474"/>
      <c r="B34" s="423" t="s">
        <v>2690</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4"/>
      <c r="M34" s="1135"/>
      <c r="N34" s="1135"/>
      <c r="O34" s="1136"/>
      <c r="P34" s="3278"/>
      <c r="Q34" s="1798" t="str">
        <f t="shared" si="11"/>
        <v>物业管理</v>
      </c>
      <c r="R34" s="769" t="s">
        <v>17</v>
      </c>
      <c r="S34" s="770">
        <f t="shared" si="12"/>
        <v>100</v>
      </c>
      <c r="T34" s="769" t="s">
        <v>17</v>
      </c>
      <c r="U34" s="770">
        <f t="shared" si="13"/>
        <v>100</v>
      </c>
      <c r="V34" s="769" t="s">
        <v>17</v>
      </c>
      <c r="W34" s="770">
        <f t="shared" si="14"/>
        <v>100</v>
      </c>
      <c r="X34" s="771"/>
      <c r="Y34" s="3278"/>
      <c r="Z34" s="55" t="str">
        <f t="shared" si="15"/>
        <v>物业管理</v>
      </c>
      <c r="AA34" s="772">
        <f t="shared" si="3"/>
        <v>1</v>
      </c>
      <c r="AB34" s="772">
        <f t="shared" si="4"/>
        <v>1</v>
      </c>
      <c r="AC34" s="772">
        <f t="shared" si="5"/>
        <v>1</v>
      </c>
    </row>
    <row r="35" spans="1:29" ht="15">
      <c r="A35" s="473"/>
      <c r="B35" s="423" t="s">
        <v>2658</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2"/>
      <c r="M35" s="1133"/>
      <c r="N35" s="1133"/>
      <c r="O35" s="1141"/>
      <c r="P35" s="3278" t="s">
        <v>2561</v>
      </c>
      <c r="Q35" s="1813" t="str">
        <f t="shared" si="11"/>
        <v>市政基础设施</v>
      </c>
      <c r="R35" s="773" t="s">
        <v>17</v>
      </c>
      <c r="S35" s="774">
        <f t="shared" si="12"/>
        <v>100</v>
      </c>
      <c r="T35" s="773" t="s">
        <v>17</v>
      </c>
      <c r="U35" s="774">
        <f t="shared" si="13"/>
        <v>100</v>
      </c>
      <c r="V35" s="773" t="s">
        <v>17</v>
      </c>
      <c r="W35" s="774">
        <f t="shared" si="14"/>
        <v>100</v>
      </c>
      <c r="X35" s="1816"/>
      <c r="Y35" s="3278" t="s">
        <v>2561</v>
      </c>
      <c r="Z35" s="1817" t="str">
        <f t="shared" si="15"/>
        <v>市政基础设施</v>
      </c>
      <c r="AA35" s="1814">
        <f t="shared" si="3"/>
        <v>1</v>
      </c>
      <c r="AB35" s="1814">
        <f t="shared" si="4"/>
        <v>1</v>
      </c>
      <c r="AC35" s="1814">
        <f t="shared" si="5"/>
        <v>1</v>
      </c>
    </row>
    <row r="36" spans="1:29" ht="15">
      <c r="A36" s="473"/>
      <c r="B36" s="423" t="s">
        <v>2663</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2"/>
      <c r="M36" s="1133"/>
      <c r="N36" s="1133"/>
      <c r="O36" s="1141"/>
      <c r="P36" s="3278"/>
      <c r="Q36" s="1813" t="str">
        <f t="shared" si="11"/>
        <v>内部装修</v>
      </c>
      <c r="R36" s="773" t="s">
        <v>17</v>
      </c>
      <c r="S36" s="774">
        <f t="shared" si="12"/>
        <v>100</v>
      </c>
      <c r="T36" s="773" t="s">
        <v>17</v>
      </c>
      <c r="U36" s="774">
        <f t="shared" si="13"/>
        <v>100</v>
      </c>
      <c r="V36" s="773" t="s">
        <v>17</v>
      </c>
      <c r="W36" s="774">
        <f t="shared" si="14"/>
        <v>100</v>
      </c>
      <c r="X36" s="1816"/>
      <c r="Y36" s="3278"/>
      <c r="Z36" s="1817" t="str">
        <f t="shared" si="15"/>
        <v>内部装修</v>
      </c>
      <c r="AA36" s="1814">
        <f t="shared" si="3"/>
        <v>1</v>
      </c>
      <c r="AB36" s="1814">
        <f t="shared" si="4"/>
        <v>1</v>
      </c>
      <c r="AC36" s="1814">
        <f t="shared" si="5"/>
        <v>1</v>
      </c>
    </row>
    <row r="37" spans="1:29" ht="15">
      <c r="A37" s="473"/>
      <c r="B37" s="423" t="s">
        <v>2699</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2"/>
      <c r="M37" s="1133"/>
      <c r="N37" s="1133"/>
      <c r="O37" s="1141"/>
      <c r="P37" s="3278"/>
      <c r="Q37" s="1813" t="str">
        <f t="shared" si="11"/>
        <v>内部装修状况</v>
      </c>
      <c r="R37" s="773" t="s">
        <v>17</v>
      </c>
      <c r="S37" s="774">
        <f t="shared" si="12"/>
        <v>100</v>
      </c>
      <c r="T37" s="773" t="s">
        <v>17</v>
      </c>
      <c r="U37" s="774">
        <f t="shared" si="13"/>
        <v>100</v>
      </c>
      <c r="V37" s="773" t="s">
        <v>17</v>
      </c>
      <c r="W37" s="774">
        <f t="shared" si="14"/>
        <v>100</v>
      </c>
      <c r="X37" s="1816"/>
      <c r="Y37" s="3278"/>
      <c r="Z37" s="1817" t="str">
        <f t="shared" si="15"/>
        <v>内部装修状况</v>
      </c>
      <c r="AA37" s="1814">
        <f t="shared" si="3"/>
        <v>1</v>
      </c>
      <c r="AB37" s="1814">
        <f t="shared" si="4"/>
        <v>1</v>
      </c>
      <c r="AC37" s="1814">
        <f t="shared" si="5"/>
        <v>1</v>
      </c>
    </row>
    <row r="38" spans="1:29" s="472" customFormat="1" ht="15">
      <c r="A38" s="469"/>
      <c r="B38" s="1388">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0"/>
      <c r="M38" s="1143"/>
      <c r="N38" s="1143"/>
      <c r="O38" s="1144"/>
      <c r="P38" s="3278"/>
      <c r="Q38" s="775">
        <f t="shared" si="11"/>
        <v>111</v>
      </c>
      <c r="R38" s="776" t="s">
        <v>17</v>
      </c>
      <c r="S38" s="777">
        <f t="shared" si="12"/>
        <v>100</v>
      </c>
      <c r="T38" s="776" t="s">
        <v>17</v>
      </c>
      <c r="U38" s="777">
        <f t="shared" si="13"/>
        <v>100</v>
      </c>
      <c r="V38" s="776" t="s">
        <v>17</v>
      </c>
      <c r="W38" s="777">
        <f t="shared" si="14"/>
        <v>100</v>
      </c>
      <c r="X38" s="778"/>
      <c r="Y38" s="3278"/>
      <c r="Z38" s="779">
        <f t="shared" si="15"/>
        <v>111</v>
      </c>
      <c r="AA38" s="1814">
        <f t="shared" si="3"/>
        <v>1</v>
      </c>
      <c r="AB38" s="1814">
        <f t="shared" si="4"/>
        <v>1</v>
      </c>
      <c r="AC38" s="1814">
        <f t="shared" si="5"/>
        <v>1</v>
      </c>
    </row>
    <row r="39" spans="1:29" ht="15">
      <c r="A39" s="473"/>
      <c r="B39" s="1388">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2"/>
      <c r="M39" s="1133"/>
      <c r="N39" s="1133"/>
      <c r="O39" s="1141"/>
      <c r="P39" s="3278"/>
      <c r="Q39" s="1813">
        <f t="shared" si="11"/>
        <v>111</v>
      </c>
      <c r="R39" s="773" t="s">
        <v>17</v>
      </c>
      <c r="S39" s="774">
        <f t="shared" si="12"/>
        <v>100</v>
      </c>
      <c r="T39" s="773" t="s">
        <v>17</v>
      </c>
      <c r="U39" s="774">
        <f t="shared" si="13"/>
        <v>100</v>
      </c>
      <c r="V39" s="773" t="s">
        <v>17</v>
      </c>
      <c r="W39" s="774">
        <f t="shared" si="14"/>
        <v>100</v>
      </c>
      <c r="X39" s="1816"/>
      <c r="Y39" s="3278"/>
      <c r="Z39" s="1817">
        <f t="shared" si="15"/>
        <v>111</v>
      </c>
      <c r="AA39" s="1814">
        <f t="shared" si="3"/>
        <v>1</v>
      </c>
      <c r="AB39" s="1814">
        <f t="shared" si="4"/>
        <v>1</v>
      </c>
      <c r="AC39" s="1814">
        <f t="shared" si="5"/>
        <v>1</v>
      </c>
    </row>
    <row r="40" spans="1:29" ht="15.75" thickBot="1">
      <c r="A40" s="479"/>
      <c r="B40" s="2599">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2"/>
      <c r="M40" s="1133"/>
      <c r="N40" s="1133"/>
      <c r="O40" s="1141"/>
      <c r="P40" s="3344"/>
      <c r="Q40" s="1813">
        <f t="shared" si="11"/>
        <v>111</v>
      </c>
      <c r="R40" s="773" t="s">
        <v>17</v>
      </c>
      <c r="S40" s="774">
        <f t="shared" si="12"/>
        <v>100</v>
      </c>
      <c r="T40" s="773" t="s">
        <v>17</v>
      </c>
      <c r="U40" s="774">
        <f t="shared" si="13"/>
        <v>100</v>
      </c>
      <c r="V40" s="773" t="s">
        <v>17</v>
      </c>
      <c r="W40" s="774">
        <f t="shared" si="14"/>
        <v>100</v>
      </c>
      <c r="X40" s="1816"/>
      <c r="Y40" s="3344"/>
      <c r="Z40" s="1817">
        <f t="shared" si="15"/>
        <v>111</v>
      </c>
      <c r="AA40" s="1814">
        <f t="shared" si="3"/>
        <v>1</v>
      </c>
      <c r="AB40" s="1814">
        <f t="shared" si="4"/>
        <v>1</v>
      </c>
      <c r="AC40" s="1814">
        <f t="shared" si="5"/>
        <v>1</v>
      </c>
    </row>
    <row r="41" spans="1:29" ht="15">
      <c r="A41" s="480" t="s">
        <v>2573</v>
      </c>
      <c r="B41" s="481"/>
      <c r="C41" s="1409" t="s">
        <v>1</v>
      </c>
      <c r="D41" s="1410"/>
      <c r="E41" s="1411"/>
      <c r="F41" s="1412"/>
      <c r="G41" s="1413"/>
      <c r="H41" s="1414"/>
      <c r="I41" s="1411"/>
      <c r="J41" s="1414"/>
      <c r="K41" s="782"/>
      <c r="L41" s="1145"/>
      <c r="M41" s="1146"/>
      <c r="N41" s="1133"/>
      <c r="O41" s="1146"/>
      <c r="P41" s="3273" t="str">
        <f>A41</f>
        <v>成交单价（元/平方米）</v>
      </c>
      <c r="Q41" s="3273"/>
      <c r="R41" s="3340">
        <f>E41</f>
        <v>0</v>
      </c>
      <c r="S41" s="3340"/>
      <c r="T41" s="3340">
        <f>G41</f>
        <v>0</v>
      </c>
      <c r="U41" s="3340"/>
      <c r="V41" s="3340">
        <f>I41</f>
        <v>0</v>
      </c>
      <c r="W41" s="3340"/>
      <c r="X41" s="758"/>
      <c r="Y41" s="780"/>
      <c r="Z41" s="758"/>
      <c r="AA41" s="758"/>
      <c r="AB41" s="758"/>
      <c r="AC41" s="758"/>
    </row>
    <row r="42" spans="1:29" ht="15.75" thickBot="1">
      <c r="A42" s="487" t="s">
        <v>2664</v>
      </c>
      <c r="B42" s="488"/>
      <c r="C42" s="1415" t="e">
        <f>R43</f>
        <v>#DIV/0!</v>
      </c>
      <c r="D42" s="1416"/>
      <c r="E42" s="1417" t="e">
        <f>R42</f>
        <v>#DIV/0!</v>
      </c>
      <c r="F42" s="1417"/>
      <c r="G42" s="1415" t="e">
        <f>T42</f>
        <v>#DIV/0!</v>
      </c>
      <c r="H42" s="1416"/>
      <c r="I42" s="1417" t="e">
        <f>V42</f>
        <v>#DIV/0!</v>
      </c>
      <c r="J42" s="1416"/>
      <c r="K42" s="783"/>
      <c r="L42" s="1145"/>
      <c r="M42" s="1146"/>
      <c r="N42" s="1133"/>
      <c r="O42" s="1146"/>
      <c r="P42" s="3273" t="str">
        <f>A42</f>
        <v>比较价值（元/平方米）</v>
      </c>
      <c r="Q42" s="3273"/>
      <c r="R42" s="3340" t="e">
        <f>IF(F1="售价",ROUND(PRODUCT(R41,AA7:AA40),0),ROUND(PRODUCT(R41,AA7:AA40),1))</f>
        <v>#DIV/0!</v>
      </c>
      <c r="S42" s="3340"/>
      <c r="T42" s="3340" t="e">
        <f>IF(F1="售价",ROUND(PRODUCT(T41,AB7:AB40),0),ROUND(PRODUCT(T41,AB7:AB40),1))</f>
        <v>#DIV/0!</v>
      </c>
      <c r="U42" s="3340"/>
      <c r="V42" s="3340" t="e">
        <f>IF(F1="售价",ROUND(PRODUCT(V41,AC7:AC40),0),ROUND(PRODUCT(V41,AC7:AC40),1))</f>
        <v>#DIV/0!</v>
      </c>
      <c r="W42" s="3340"/>
      <c r="X42" s="758"/>
      <c r="Y42" s="758"/>
      <c r="Z42" s="758"/>
      <c r="AA42" s="758"/>
      <c r="AB42" s="758"/>
      <c r="AC42" s="758"/>
    </row>
    <row r="43" spans="1:29" ht="15.75" thickBot="1">
      <c r="A43" s="493" t="s">
        <v>2665</v>
      </c>
      <c r="B43" s="494"/>
      <c r="C43" s="1419" t="e">
        <f>R43</f>
        <v>#DIV/0!</v>
      </c>
      <c r="D43" s="1419"/>
      <c r="E43" s="1419"/>
      <c r="F43" s="1419"/>
      <c r="G43" s="1419"/>
      <c r="H43" s="1419"/>
      <c r="I43" s="1419"/>
      <c r="J43" s="1419"/>
      <c r="K43" s="784"/>
      <c r="L43" s="1145"/>
      <c r="M43" s="1146"/>
      <c r="N43" s="1146"/>
      <c r="O43" s="1146"/>
      <c r="P43" s="3267" t="str">
        <f>A43</f>
        <v>估价对象XX用房的比较价值（楼面单价，元/平方米）</v>
      </c>
      <c r="Q43" s="3268"/>
      <c r="R43" s="3339" t="e">
        <f>IF(F1="售价",ROUND(AVERAGE(R42:V42),0),ROUND(AVERAGE(R42:V42),1))</f>
        <v>#DIV/0!</v>
      </c>
      <c r="S43" s="3339"/>
      <c r="T43" s="3339"/>
      <c r="U43" s="3339"/>
      <c r="V43" s="3339"/>
      <c r="W43" s="3339"/>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8" t="s">
        <v>2666</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7"/>
      <c r="L46" s="1108"/>
      <c r="M46" s="1146"/>
      <c r="N46" s="1146"/>
      <c r="O46" s="1146"/>
    </row>
    <row r="47" spans="1:29" ht="13.5" customHeight="1">
      <c r="A47" s="1146"/>
      <c r="B47" s="1146"/>
      <c r="C47" s="498" t="s">
        <v>2667</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7"/>
      <c r="L47" s="1108"/>
      <c r="M47" s="1146"/>
      <c r="N47" s="1146"/>
      <c r="O47" s="1146"/>
    </row>
    <row r="48" spans="1:29" s="503" customFormat="1" ht="13.5" customHeight="1">
      <c r="A48" s="1147"/>
      <c r="B48" s="1147"/>
      <c r="C48" s="498" t="s">
        <v>2668</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0"/>
      <c r="L48" s="1151"/>
      <c r="M48" s="1147"/>
      <c r="N48" s="1147"/>
      <c r="O48" s="1147"/>
    </row>
    <row r="49" spans="1:17" s="503"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2669</v>
      </c>
      <c r="B51" s="758"/>
      <c r="C51" s="763"/>
      <c r="D51" s="763"/>
      <c r="E51" s="763"/>
      <c r="F51" s="764"/>
      <c r="G51" s="764"/>
      <c r="H51" s="763"/>
      <c r="I51" s="763"/>
      <c r="J51" s="763"/>
      <c r="K51" s="1162"/>
      <c r="L51" s="1163"/>
      <c r="M51" s="1161"/>
      <c r="N51" s="1161"/>
      <c r="O51" s="1161"/>
      <c r="P51" s="504"/>
      <c r="Q51" s="505"/>
    </row>
    <row r="52" spans="1:17" s="509" customFormat="1" ht="15">
      <c r="A52" s="506" t="s">
        <v>2544</v>
      </c>
      <c r="B52" s="507"/>
      <c r="C52" s="1577" t="str">
        <f>YEAR(C7)&amp;"-"&amp;MONTH(C7)</f>
        <v>2017-11</v>
      </c>
      <c r="D52" s="1578">
        <f>EDATE(C52,-1)</f>
        <v>43009</v>
      </c>
      <c r="E52" s="1578">
        <f t="shared" ref="E52:O52" si="16">EDATE(D52,-1)</f>
        <v>42979</v>
      </c>
      <c r="F52" s="1578">
        <f t="shared" si="16"/>
        <v>42948</v>
      </c>
      <c r="G52" s="1578">
        <f t="shared" si="16"/>
        <v>42917</v>
      </c>
      <c r="H52" s="1578">
        <f t="shared" si="16"/>
        <v>42887</v>
      </c>
      <c r="I52" s="1578">
        <f t="shared" si="16"/>
        <v>42856</v>
      </c>
      <c r="J52" s="1578">
        <f t="shared" si="16"/>
        <v>42826</v>
      </c>
      <c r="K52" s="1578">
        <f t="shared" si="16"/>
        <v>42795</v>
      </c>
      <c r="L52" s="1578">
        <f t="shared" si="16"/>
        <v>42767</v>
      </c>
      <c r="M52" s="1578">
        <f t="shared" si="16"/>
        <v>42736</v>
      </c>
      <c r="N52" s="1578">
        <f t="shared" si="16"/>
        <v>42705</v>
      </c>
      <c r="O52" s="1578">
        <f t="shared" si="16"/>
        <v>42675</v>
      </c>
      <c r="P52" s="508"/>
    </row>
    <row r="53" spans="1:17" s="117" customFormat="1" ht="15">
      <c r="A53" s="510"/>
      <c r="B53" s="511"/>
      <c r="C53" s="1576">
        <v>100</v>
      </c>
      <c r="D53" s="513"/>
      <c r="E53" s="513"/>
      <c r="F53" s="513"/>
      <c r="G53" s="513"/>
      <c r="H53" s="513"/>
      <c r="I53" s="513"/>
      <c r="J53" s="513"/>
      <c r="K53" s="513"/>
      <c r="L53" s="513"/>
      <c r="M53" s="514"/>
      <c r="N53" s="513"/>
      <c r="O53" s="515"/>
      <c r="P53" s="505"/>
    </row>
    <row r="54" spans="1:17" s="117" customFormat="1" ht="15.75" thickBot="1">
      <c r="A54" s="516" t="s">
        <v>2581</v>
      </c>
      <c r="B54" s="517"/>
      <c r="C54" s="518"/>
      <c r="D54" s="519"/>
      <c r="E54" s="519"/>
      <c r="F54" s="519"/>
      <c r="G54" s="519"/>
      <c r="H54" s="519"/>
      <c r="I54" s="519"/>
      <c r="J54" s="519"/>
      <c r="K54" s="519"/>
      <c r="L54" s="519"/>
      <c r="M54" s="520"/>
      <c r="N54" s="519"/>
      <c r="O54" s="521"/>
      <c r="P54" s="505"/>
      <c r="Q54" s="505"/>
    </row>
    <row r="55" spans="1:17" s="117" customFormat="1" ht="15">
      <c r="A55" s="522" t="s">
        <v>2546</v>
      </c>
      <c r="B55" s="511"/>
      <c r="C55" s="523" t="s">
        <v>2648</v>
      </c>
      <c r="D55" s="524"/>
      <c r="E55" s="524"/>
      <c r="F55" s="524"/>
      <c r="G55" s="524"/>
      <c r="H55" s="524"/>
      <c r="I55" s="524"/>
      <c r="J55" s="524"/>
      <c r="K55" s="524"/>
      <c r="L55" s="525"/>
      <c r="M55" s="526"/>
      <c r="N55" s="1153"/>
      <c r="O55" s="1153"/>
      <c r="P55" s="527"/>
      <c r="Q55" s="505"/>
    </row>
    <row r="56" spans="1:17" s="117" customFormat="1" ht="15.75" thickBot="1">
      <c r="A56" s="522"/>
      <c r="B56" s="511"/>
      <c r="C56" s="639">
        <v>100</v>
      </c>
      <c r="D56" s="513"/>
      <c r="E56" s="513"/>
      <c r="F56" s="513"/>
      <c r="G56" s="513"/>
      <c r="H56" s="513"/>
      <c r="I56" s="513"/>
      <c r="J56" s="513"/>
      <c r="K56" s="513"/>
      <c r="L56" s="513"/>
      <c r="M56" s="515"/>
      <c r="N56" s="1153"/>
      <c r="O56" s="1153"/>
      <c r="P56" s="505"/>
      <c r="Q56" s="505"/>
    </row>
    <row r="57" spans="1:17">
      <c r="A57" s="528" t="s">
        <v>2584</v>
      </c>
      <c r="B57" s="529" t="s">
        <v>2550</v>
      </c>
      <c r="C57" s="530">
        <f>C9</f>
        <v>0</v>
      </c>
      <c r="D57" s="531"/>
      <c r="E57" s="531"/>
      <c r="F57" s="531"/>
      <c r="G57" s="531"/>
      <c r="H57" s="531"/>
      <c r="I57" s="531"/>
      <c r="J57" s="531"/>
      <c r="K57" s="532"/>
      <c r="L57" s="533"/>
      <c r="M57" s="534"/>
      <c r="N57" s="1154"/>
      <c r="O57" s="1154"/>
      <c r="P57" s="45"/>
      <c r="Q57" s="505"/>
    </row>
    <row r="58" spans="1:17" ht="15.75" thickBot="1">
      <c r="A58" s="535"/>
      <c r="B58" s="536"/>
      <c r="C58" s="537">
        <v>100</v>
      </c>
      <c r="D58" s="537"/>
      <c r="E58" s="537"/>
      <c r="F58" s="537"/>
      <c r="G58" s="537"/>
      <c r="H58" s="537"/>
      <c r="I58" s="537"/>
      <c r="J58" s="537"/>
      <c r="K58" s="537"/>
      <c r="L58" s="537"/>
      <c r="M58" s="538"/>
      <c r="N58" s="1155"/>
      <c r="O58" s="1155"/>
      <c r="P58" s="45"/>
      <c r="Q58" s="505"/>
    </row>
    <row r="59" spans="1:17" ht="27.75" thickTop="1">
      <c r="A59" s="535"/>
      <c r="B59" s="539" t="s">
        <v>2553</v>
      </c>
      <c r="C59" s="540" t="s">
        <v>2585</v>
      </c>
      <c r="D59" s="540" t="s">
        <v>2586</v>
      </c>
      <c r="E59" s="540" t="s">
        <v>2587</v>
      </c>
      <c r="F59" s="540" t="s">
        <v>2588</v>
      </c>
      <c r="G59" s="540" t="s">
        <v>2589</v>
      </c>
      <c r="H59" s="540" t="s">
        <v>2590</v>
      </c>
      <c r="I59" s="540" t="s">
        <v>2591</v>
      </c>
      <c r="J59" s="540"/>
      <c r="K59" s="541"/>
      <c r="L59" s="542"/>
      <c r="M59" s="543"/>
      <c r="N59" s="1154"/>
      <c r="O59" s="1154"/>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5"/>
      <c r="O60" s="1155"/>
      <c r="P60" s="45"/>
      <c r="Q60" s="505"/>
    </row>
    <row r="61" spans="1:17" ht="15.75" thickTop="1">
      <c r="A61" s="535"/>
      <c r="B61" s="547" t="s">
        <v>2554</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5"/>
      <c r="O61" s="1155"/>
      <c r="P61" s="45"/>
      <c r="Q61" s="505"/>
    </row>
    <row r="62" spans="1:17" ht="15">
      <c r="A62" s="535"/>
      <c r="B62" s="549"/>
      <c r="C62" s="550"/>
      <c r="D62" s="550"/>
      <c r="E62" s="550"/>
      <c r="F62" s="550"/>
      <c r="G62" s="550"/>
      <c r="H62" s="550"/>
      <c r="I62" s="550"/>
      <c r="J62" s="550"/>
      <c r="K62" s="551"/>
      <c r="L62" s="552"/>
      <c r="M62" s="553"/>
      <c r="N62" s="1154"/>
      <c r="O62" s="1154"/>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5"/>
      <c r="O63" s="1155"/>
      <c r="P63" s="45"/>
      <c r="Q63" s="505"/>
    </row>
    <row r="64" spans="1:17" s="472" customFormat="1" ht="15.75" thickTop="1">
      <c r="A64" s="554"/>
      <c r="B64" s="539">
        <f>B12</f>
        <v>111</v>
      </c>
      <c r="C64" s="555"/>
      <c r="D64" s="555"/>
      <c r="E64" s="555"/>
      <c r="F64" s="555"/>
      <c r="G64" s="555"/>
      <c r="H64" s="556"/>
      <c r="I64" s="556"/>
      <c r="J64" s="556"/>
      <c r="K64" s="556"/>
      <c r="L64" s="557"/>
      <c r="M64" s="558"/>
      <c r="N64" s="1156"/>
      <c r="O64" s="1156"/>
      <c r="P64" s="559"/>
      <c r="Q64" s="560"/>
    </row>
    <row r="65" spans="1:17" s="472" customFormat="1" ht="15.75" thickBot="1">
      <c r="A65" s="554"/>
      <c r="B65" s="544"/>
      <c r="C65" s="561"/>
      <c r="D65" s="537"/>
      <c r="E65" s="537"/>
      <c r="F65" s="537"/>
      <c r="G65" s="537"/>
      <c r="H65" s="537"/>
      <c r="I65" s="537"/>
      <c r="J65" s="537"/>
      <c r="K65" s="537"/>
      <c r="L65" s="537"/>
      <c r="M65" s="538"/>
      <c r="N65" s="1155"/>
      <c r="O65" s="1155"/>
      <c r="P65" s="559"/>
      <c r="Q65" s="560"/>
    </row>
    <row r="66" spans="1:17" s="472" customFormat="1" ht="15.75" thickTop="1">
      <c r="A66" s="554"/>
      <c r="B66" s="539">
        <f>B13</f>
        <v>111</v>
      </c>
      <c r="C66" s="555"/>
      <c r="D66" s="555"/>
      <c r="E66" s="555"/>
      <c r="F66" s="555"/>
      <c r="G66" s="555"/>
      <c r="H66" s="556"/>
      <c r="I66" s="556"/>
      <c r="J66" s="556"/>
      <c r="K66" s="556"/>
      <c r="L66" s="557"/>
      <c r="M66" s="558"/>
      <c r="N66" s="1156"/>
      <c r="O66" s="1156"/>
      <c r="P66" s="471"/>
      <c r="Q66" s="562"/>
    </row>
    <row r="67" spans="1:17" s="472" customFormat="1" ht="15.75" thickBot="1">
      <c r="A67" s="554"/>
      <c r="B67" s="544"/>
      <c r="C67" s="561"/>
      <c r="D67" s="537"/>
      <c r="E67" s="537"/>
      <c r="F67" s="537"/>
      <c r="G67" s="561"/>
      <c r="H67" s="563"/>
      <c r="I67" s="563"/>
      <c r="J67" s="563"/>
      <c r="K67" s="563"/>
      <c r="L67" s="563"/>
      <c r="M67" s="564"/>
      <c r="N67" s="1156"/>
      <c r="O67" s="1156"/>
      <c r="P67" s="559"/>
      <c r="Q67" s="560"/>
    </row>
    <row r="68" spans="1:17" s="472" customFormat="1" ht="15.75" thickTop="1">
      <c r="A68" s="554"/>
      <c r="B68" s="547">
        <f>B14</f>
        <v>111</v>
      </c>
      <c r="C68" s="524"/>
      <c r="D68" s="524"/>
      <c r="E68" s="524"/>
      <c r="F68" s="524"/>
      <c r="G68" s="524"/>
      <c r="H68" s="565"/>
      <c r="I68" s="565"/>
      <c r="J68" s="565"/>
      <c r="K68" s="565"/>
      <c r="L68" s="566"/>
      <c r="M68" s="567"/>
      <c r="N68" s="1156"/>
      <c r="O68" s="1156"/>
      <c r="P68" s="568"/>
      <c r="Q68" s="560"/>
    </row>
    <row r="69" spans="1:17" s="472" customFormat="1" ht="15.75" thickBot="1">
      <c r="A69" s="569"/>
      <c r="B69" s="570"/>
      <c r="C69" s="571"/>
      <c r="D69" s="571"/>
      <c r="E69" s="571"/>
      <c r="F69" s="571"/>
      <c r="G69" s="571"/>
      <c r="H69" s="572"/>
      <c r="I69" s="572"/>
      <c r="J69" s="572"/>
      <c r="K69" s="572"/>
      <c r="L69" s="572"/>
      <c r="M69" s="573"/>
      <c r="N69" s="1156"/>
      <c r="O69" s="1156"/>
      <c r="P69" s="559"/>
      <c r="Q69" s="560"/>
    </row>
    <row r="70" spans="1:17">
      <c r="A70" s="528" t="s">
        <v>2555</v>
      </c>
      <c r="B70" s="529" t="s">
        <v>2700</v>
      </c>
      <c r="C70" s="574" t="s">
        <v>2593</v>
      </c>
      <c r="D70" s="574" t="s">
        <v>2594</v>
      </c>
      <c r="E70" s="574" t="s">
        <v>2595</v>
      </c>
      <c r="F70" s="574" t="s">
        <v>2596</v>
      </c>
      <c r="G70" s="574" t="s">
        <v>2597</v>
      </c>
      <c r="H70" s="530"/>
      <c r="I70" s="530"/>
      <c r="J70" s="530"/>
      <c r="K70" s="575"/>
      <c r="L70" s="576"/>
      <c r="M70" s="577"/>
      <c r="N70" s="1154"/>
      <c r="O70" s="1154"/>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5"/>
      <c r="O71" s="1155"/>
      <c r="P71" s="45"/>
      <c r="Q71" s="505"/>
    </row>
    <row r="72" spans="1:17" ht="15.75" thickTop="1">
      <c r="A72" s="535"/>
      <c r="B72" s="539" t="s">
        <v>2598</v>
      </c>
      <c r="C72" s="579" t="s">
        <v>2593</v>
      </c>
      <c r="D72" s="579" t="s">
        <v>2594</v>
      </c>
      <c r="E72" s="579" t="s">
        <v>2595</v>
      </c>
      <c r="F72" s="579" t="s">
        <v>2596</v>
      </c>
      <c r="G72" s="579" t="s">
        <v>2597</v>
      </c>
      <c r="H72" s="540"/>
      <c r="I72" s="540"/>
      <c r="J72" s="540"/>
      <c r="K72" s="541"/>
      <c r="L72" s="542"/>
      <c r="M72" s="543"/>
      <c r="N72" s="1154"/>
      <c r="O72" s="1154"/>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5"/>
      <c r="O73" s="1155"/>
      <c r="P73" s="45"/>
      <c r="Q73" s="505"/>
    </row>
    <row r="74" spans="1:17" ht="15.75" thickTop="1">
      <c r="A74" s="535"/>
      <c r="B74" s="539" t="s">
        <v>2599</v>
      </c>
      <c r="C74" s="579" t="s">
        <v>2593</v>
      </c>
      <c r="D74" s="579" t="s">
        <v>2594</v>
      </c>
      <c r="E74" s="579" t="s">
        <v>2595</v>
      </c>
      <c r="F74" s="579" t="s">
        <v>2596</v>
      </c>
      <c r="G74" s="579" t="s">
        <v>2597</v>
      </c>
      <c r="H74" s="540"/>
      <c r="I74" s="540"/>
      <c r="J74" s="540"/>
      <c r="K74" s="541"/>
      <c r="L74" s="542"/>
      <c r="M74" s="543"/>
      <c r="N74" s="1154"/>
      <c r="O74" s="1154"/>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5"/>
      <c r="O75" s="1155"/>
      <c r="P75" s="45"/>
      <c r="Q75" s="505"/>
    </row>
    <row r="76" spans="1:17" ht="15.75" thickTop="1">
      <c r="A76" s="535"/>
      <c r="B76" s="547" t="s">
        <v>2684</v>
      </c>
      <c r="C76" s="660" t="s">
        <v>2670</v>
      </c>
      <c r="D76" s="660" t="s">
        <v>2671</v>
      </c>
      <c r="E76" s="660" t="s">
        <v>2672</v>
      </c>
      <c r="F76" s="660" t="s">
        <v>2673</v>
      </c>
      <c r="G76" s="660" t="s">
        <v>2674</v>
      </c>
      <c r="H76" s="540"/>
      <c r="I76" s="540"/>
      <c r="J76" s="540"/>
      <c r="K76" s="540"/>
      <c r="L76" s="540"/>
      <c r="M76" s="1384"/>
      <c r="N76" s="1155"/>
      <c r="O76" s="1155"/>
      <c r="P76" s="45"/>
      <c r="Q76" s="505"/>
    </row>
    <row r="77" spans="1:17" ht="15.75" thickBot="1">
      <c r="A77" s="535"/>
      <c r="B77" s="547"/>
      <c r="C77" s="545">
        <v>100</v>
      </c>
      <c r="D77" s="545">
        <f>C77-$K21</f>
        <v>100</v>
      </c>
      <c r="E77" s="545">
        <f>D77-$K21</f>
        <v>100</v>
      </c>
      <c r="F77" s="545">
        <f>E77-$K21</f>
        <v>100</v>
      </c>
      <c r="G77" s="545">
        <f>F77-$K21</f>
        <v>100</v>
      </c>
      <c r="H77" s="660"/>
      <c r="I77" s="660"/>
      <c r="J77" s="660"/>
      <c r="K77" s="660"/>
      <c r="L77" s="660"/>
      <c r="M77" s="451"/>
      <c r="N77" s="1155"/>
      <c r="O77" s="1155"/>
      <c r="P77" s="45"/>
      <c r="Q77" s="505"/>
    </row>
    <row r="78" spans="1:17" ht="15.75" thickTop="1">
      <c r="A78" s="535"/>
      <c r="B78" s="539" t="s">
        <v>2693</v>
      </c>
      <c r="C78" s="579" t="s">
        <v>2593</v>
      </c>
      <c r="D78" s="579" t="s">
        <v>2594</v>
      </c>
      <c r="E78" s="579" t="s">
        <v>2595</v>
      </c>
      <c r="F78" s="579" t="s">
        <v>2596</v>
      </c>
      <c r="G78" s="579" t="s">
        <v>2597</v>
      </c>
      <c r="H78" s="540"/>
      <c r="I78" s="540"/>
      <c r="J78" s="540"/>
      <c r="K78" s="541"/>
      <c r="L78" s="542"/>
      <c r="M78" s="543"/>
      <c r="N78" s="1154"/>
      <c r="O78" s="1154"/>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5"/>
      <c r="O79" s="1155"/>
      <c r="P79" s="45"/>
      <c r="Q79" s="505"/>
    </row>
    <row r="80" spans="1:17" s="117" customFormat="1" ht="15.75" thickTop="1">
      <c r="A80" s="580"/>
      <c r="B80" s="539">
        <f>B25</f>
        <v>111</v>
      </c>
      <c r="C80" s="555"/>
      <c r="D80" s="555"/>
      <c r="E80" s="555"/>
      <c r="F80" s="555"/>
      <c r="G80" s="555"/>
      <c r="H80" s="555"/>
      <c r="I80" s="555"/>
      <c r="J80" s="555"/>
      <c r="K80" s="555"/>
      <c r="L80" s="581"/>
      <c r="M80" s="582"/>
      <c r="N80" s="1153"/>
      <c r="O80" s="1153"/>
      <c r="P80" s="45"/>
      <c r="Q80" s="505"/>
    </row>
    <row r="81" spans="1:17" s="117" customFormat="1" ht="15.75" thickBot="1">
      <c r="A81" s="580"/>
      <c r="B81" s="544"/>
      <c r="C81" s="561"/>
      <c r="D81" s="537"/>
      <c r="E81" s="537"/>
      <c r="F81" s="537"/>
      <c r="G81" s="537"/>
      <c r="H81" s="537"/>
      <c r="I81" s="537"/>
      <c r="J81" s="537"/>
      <c r="K81" s="537"/>
      <c r="L81" s="537"/>
      <c r="M81" s="538"/>
      <c r="N81" s="1155"/>
      <c r="O81" s="1155"/>
      <c r="P81" s="45"/>
      <c r="Q81" s="505"/>
    </row>
    <row r="82" spans="1:17" s="117" customFormat="1" ht="15.75" thickTop="1">
      <c r="A82" s="580"/>
      <c r="B82" s="539">
        <f>B26</f>
        <v>111</v>
      </c>
      <c r="C82" s="555"/>
      <c r="D82" s="555"/>
      <c r="E82" s="555"/>
      <c r="F82" s="555"/>
      <c r="G82" s="555"/>
      <c r="H82" s="555"/>
      <c r="I82" s="555"/>
      <c r="J82" s="555"/>
      <c r="K82" s="555"/>
      <c r="L82" s="581"/>
      <c r="M82" s="582"/>
      <c r="N82" s="1153"/>
      <c r="O82" s="1153"/>
      <c r="P82" s="45"/>
      <c r="Q82" s="505"/>
    </row>
    <row r="83" spans="1:17" s="117" customFormat="1" ht="15.75" thickBot="1">
      <c r="A83" s="580"/>
      <c r="B83" s="544"/>
      <c r="C83" s="561"/>
      <c r="D83" s="537"/>
      <c r="E83" s="537"/>
      <c r="F83" s="537"/>
      <c r="G83" s="537"/>
      <c r="H83" s="537"/>
      <c r="I83" s="537"/>
      <c r="J83" s="537"/>
      <c r="K83" s="537"/>
      <c r="L83" s="537"/>
      <c r="M83" s="538"/>
      <c r="N83" s="1155"/>
      <c r="O83" s="1155"/>
      <c r="P83" s="45"/>
      <c r="Q83" s="505"/>
    </row>
    <row r="84" spans="1:17" s="472" customFormat="1" ht="15.75" thickTop="1">
      <c r="A84" s="554"/>
      <c r="B84" s="539">
        <f>B27</f>
        <v>111</v>
      </c>
      <c r="C84" s="555"/>
      <c r="D84" s="555"/>
      <c r="E84" s="555"/>
      <c r="F84" s="555"/>
      <c r="G84" s="555"/>
      <c r="H84" s="555"/>
      <c r="I84" s="555"/>
      <c r="J84" s="555"/>
      <c r="K84" s="555"/>
      <c r="L84" s="581"/>
      <c r="M84" s="582"/>
      <c r="N84" s="1156"/>
      <c r="O84" s="1156"/>
      <c r="P84" s="559"/>
      <c r="Q84" s="560"/>
    </row>
    <row r="85" spans="1:17" s="472" customFormat="1" ht="15.75" thickBot="1">
      <c r="A85" s="554"/>
      <c r="B85" s="544"/>
      <c r="C85" s="561"/>
      <c r="D85" s="537"/>
      <c r="E85" s="537"/>
      <c r="F85" s="537"/>
      <c r="G85" s="537"/>
      <c r="H85" s="537"/>
      <c r="I85" s="537"/>
      <c r="J85" s="537"/>
      <c r="K85" s="537"/>
      <c r="L85" s="537"/>
      <c r="M85" s="538"/>
      <c r="N85" s="1156"/>
      <c r="O85" s="1156"/>
      <c r="P85" s="559"/>
      <c r="Q85" s="560"/>
    </row>
    <row r="86" spans="1:17" ht="15.75" thickTop="1">
      <c r="A86" s="535"/>
      <c r="B86" s="547">
        <f>B28</f>
        <v>111</v>
      </c>
      <c r="C86" s="524"/>
      <c r="D86" s="524"/>
      <c r="E86" s="524"/>
      <c r="F86" s="524"/>
      <c r="G86" s="588"/>
      <c r="H86" s="588"/>
      <c r="I86" s="588"/>
      <c r="J86" s="588"/>
      <c r="K86" s="589"/>
      <c r="L86" s="590"/>
      <c r="M86" s="591"/>
      <c r="N86" s="1154"/>
      <c r="O86" s="1154"/>
      <c r="P86" s="45"/>
      <c r="Q86" s="505"/>
    </row>
    <row r="87" spans="1:17" ht="15.75" thickBot="1">
      <c r="A87" s="2633"/>
      <c r="B87" s="570"/>
      <c r="C87" s="571"/>
      <c r="D87" s="571"/>
      <c r="E87" s="571"/>
      <c r="F87" s="571"/>
      <c r="G87" s="592"/>
      <c r="H87" s="592"/>
      <c r="I87" s="592"/>
      <c r="J87" s="592"/>
      <c r="K87" s="592"/>
      <c r="L87" s="592"/>
      <c r="M87" s="593"/>
      <c r="N87" s="1155"/>
      <c r="O87" s="1155"/>
      <c r="P87" s="45"/>
      <c r="Q87" s="505"/>
    </row>
    <row r="88" spans="1:17">
      <c r="A88" s="528" t="s">
        <v>2559</v>
      </c>
      <c r="B88" s="529" t="s">
        <v>2608</v>
      </c>
      <c r="C88" s="531"/>
      <c r="D88" s="531"/>
      <c r="E88" s="531"/>
      <c r="F88" s="531"/>
      <c r="G88" s="531"/>
      <c r="H88" s="531"/>
      <c r="I88" s="531"/>
      <c r="J88" s="531"/>
      <c r="K88" s="532"/>
      <c r="L88" s="533"/>
      <c r="M88" s="534"/>
      <c r="N88" s="1154"/>
      <c r="O88" s="1154"/>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5"/>
      <c r="O89" s="1155"/>
      <c r="P89" s="45"/>
      <c r="Q89" s="505"/>
    </row>
    <row r="90" spans="1:17" ht="15.75" thickTop="1">
      <c r="A90" s="535"/>
      <c r="B90" s="539" t="s">
        <v>2609</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2" t="str">
        <f>M91&amp;"(含)"&amp;"-"&amp;P91</f>
        <v>(含)-</v>
      </c>
      <c r="N90" s="1153"/>
      <c r="O90" s="1153"/>
      <c r="P90" s="45"/>
      <c r="Q90" s="505"/>
    </row>
    <row r="91" spans="1:17" s="472" customFormat="1">
      <c r="A91" s="594"/>
      <c r="B91" s="595"/>
      <c r="C91" s="596"/>
      <c r="D91" s="596"/>
      <c r="E91" s="596"/>
      <c r="F91" s="596"/>
      <c r="G91" s="596"/>
      <c r="H91" s="596"/>
      <c r="I91" s="596"/>
      <c r="J91" s="597"/>
      <c r="K91" s="597"/>
      <c r="L91" s="598"/>
      <c r="M91" s="599"/>
      <c r="N91" s="1156"/>
      <c r="O91" s="1156"/>
      <c r="P91" s="559"/>
      <c r="Q91" s="560"/>
    </row>
    <row r="92" spans="1:17" s="472" customFormat="1" ht="15.75" thickBot="1">
      <c r="A92" s="554"/>
      <c r="B92" s="544"/>
      <c r="C92" s="561"/>
      <c r="D92" s="537"/>
      <c r="E92" s="537"/>
      <c r="F92" s="537"/>
      <c r="G92" s="537"/>
      <c r="H92" s="537"/>
      <c r="I92" s="537"/>
      <c r="J92" s="537"/>
      <c r="K92" s="537"/>
      <c r="L92" s="537"/>
      <c r="M92" s="538"/>
      <c r="N92" s="1155"/>
      <c r="O92" s="1155"/>
      <c r="P92" s="559"/>
      <c r="Q92" s="560"/>
    </row>
    <row r="93" spans="1:17" ht="15" thickTop="1">
      <c r="A93" s="600"/>
      <c r="B93" s="539" t="s">
        <v>2610</v>
      </c>
      <c r="C93" s="555"/>
      <c r="D93" s="555"/>
      <c r="E93" s="584"/>
      <c r="F93" s="584"/>
      <c r="G93" s="584"/>
      <c r="H93" s="584"/>
      <c r="I93" s="584"/>
      <c r="J93" s="584"/>
      <c r="K93" s="585"/>
      <c r="L93" s="586"/>
      <c r="M93" s="587"/>
      <c r="N93" s="1154"/>
      <c r="O93" s="1154"/>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5"/>
      <c r="O94" s="1155"/>
      <c r="P94" s="45"/>
      <c r="Q94" s="505"/>
    </row>
    <row r="95" spans="1:17" ht="15" thickTop="1">
      <c r="A95" s="600"/>
      <c r="B95" s="539" t="s">
        <v>2612</v>
      </c>
      <c r="C95" s="555"/>
      <c r="D95" s="555"/>
      <c r="E95" s="555"/>
      <c r="F95" s="584"/>
      <c r="G95" s="584"/>
      <c r="H95" s="584"/>
      <c r="I95" s="584"/>
      <c r="J95" s="584"/>
      <c r="K95" s="585"/>
      <c r="L95" s="586"/>
      <c r="M95" s="587"/>
      <c r="N95" s="1154"/>
      <c r="O95" s="1154"/>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5"/>
      <c r="O96" s="1155"/>
      <c r="P96" s="45"/>
      <c r="Q96" s="505"/>
    </row>
    <row r="97" spans="1:17" ht="15" thickTop="1">
      <c r="A97" s="600"/>
      <c r="B97" s="539" t="s">
        <v>1995</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4"/>
      <c r="O97" s="1154"/>
      <c r="P97" s="45"/>
      <c r="Q97" s="505"/>
    </row>
    <row r="98" spans="1:17">
      <c r="A98" s="600"/>
      <c r="B98" s="547"/>
      <c r="C98" s="604">
        <v>0.5</v>
      </c>
      <c r="D98" s="604">
        <v>0.6</v>
      </c>
      <c r="E98" s="604">
        <v>0.7</v>
      </c>
      <c r="F98" s="604">
        <v>0.8</v>
      </c>
      <c r="G98" s="604">
        <v>0.9</v>
      </c>
      <c r="H98" s="604">
        <v>1.0001</v>
      </c>
      <c r="I98" s="623"/>
      <c r="J98" s="623"/>
      <c r="K98" s="624"/>
      <c r="L98" s="625"/>
      <c r="M98" s="626"/>
      <c r="N98" s="1154"/>
      <c r="O98" s="1154"/>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5"/>
      <c r="O99" s="1155"/>
      <c r="P99" s="45"/>
      <c r="Q99" s="505"/>
    </row>
    <row r="100" spans="1:17" s="472" customFormat="1" ht="15" thickTop="1">
      <c r="A100" s="594"/>
      <c r="B100" s="539" t="s">
        <v>2613</v>
      </c>
      <c r="C100" s="555"/>
      <c r="D100" s="555"/>
      <c r="E100" s="555"/>
      <c r="F100" s="555"/>
      <c r="G100" s="555"/>
      <c r="H100" s="584"/>
      <c r="I100" s="584"/>
      <c r="J100" s="584"/>
      <c r="K100" s="585"/>
      <c r="L100" s="586"/>
      <c r="M100" s="587"/>
      <c r="N100" s="1156"/>
      <c r="O100" s="1156"/>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6"/>
      <c r="O101" s="1156"/>
      <c r="P101" s="559"/>
      <c r="Q101" s="560"/>
    </row>
    <row r="102" spans="1:17" ht="15" thickTop="1">
      <c r="A102" s="600"/>
      <c r="B102" s="539" t="s">
        <v>2614</v>
      </c>
      <c r="C102" s="555"/>
      <c r="D102" s="555"/>
      <c r="E102" s="555"/>
      <c r="F102" s="555"/>
      <c r="G102" s="555"/>
      <c r="H102" s="584"/>
      <c r="I102" s="584"/>
      <c r="J102" s="584"/>
      <c r="K102" s="585"/>
      <c r="L102" s="586"/>
      <c r="M102" s="587"/>
      <c r="N102" s="1154"/>
      <c r="O102" s="1154"/>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5"/>
      <c r="O103" s="1155"/>
      <c r="P103" s="45"/>
      <c r="Q103" s="505"/>
    </row>
    <row r="104" spans="1:17" ht="15" thickTop="1">
      <c r="A104" s="600"/>
      <c r="B104" s="539" t="s">
        <v>2616</v>
      </c>
      <c r="C104" s="555"/>
      <c r="D104" s="555"/>
      <c r="E104" s="555"/>
      <c r="F104" s="555"/>
      <c r="G104" s="555"/>
      <c r="H104" s="584"/>
      <c r="I104" s="584"/>
      <c r="J104" s="584"/>
      <c r="K104" s="585"/>
      <c r="L104" s="586"/>
      <c r="M104" s="587"/>
      <c r="N104" s="1154"/>
      <c r="O104" s="1154"/>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5"/>
      <c r="O105" s="1155"/>
      <c r="P105" s="45"/>
      <c r="Q105" s="505"/>
    </row>
    <row r="106" spans="1:17" ht="15" thickTop="1">
      <c r="A106" s="600"/>
      <c r="B106" s="636" t="s">
        <v>2701</v>
      </c>
      <c r="C106" s="579" t="s">
        <v>2593</v>
      </c>
      <c r="D106" s="579" t="s">
        <v>2594</v>
      </c>
      <c r="E106" s="579" t="s">
        <v>2595</v>
      </c>
      <c r="F106" s="579" t="s">
        <v>2596</v>
      </c>
      <c r="G106" s="579" t="s">
        <v>2597</v>
      </c>
      <c r="H106" s="540"/>
      <c r="I106" s="540"/>
      <c r="J106" s="540"/>
      <c r="K106" s="541"/>
      <c r="L106" s="542"/>
      <c r="M106" s="543"/>
      <c r="N106" s="1155"/>
      <c r="O106" s="1155"/>
      <c r="P106" s="637"/>
      <c r="Q106" s="638"/>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5"/>
      <c r="O107" s="1155"/>
      <c r="P107" s="45"/>
      <c r="Q107" s="505"/>
    </row>
    <row r="108" spans="1:17" s="472" customFormat="1" ht="15" thickTop="1">
      <c r="A108" s="594"/>
      <c r="B108" s="539">
        <f>B38</f>
        <v>111</v>
      </c>
      <c r="C108" s="555"/>
      <c r="D108" s="555"/>
      <c r="E108" s="555"/>
      <c r="F108" s="555"/>
      <c r="G108" s="555"/>
      <c r="H108" s="556"/>
      <c r="I108" s="556"/>
      <c r="J108" s="556"/>
      <c r="K108" s="556"/>
      <c r="L108" s="557"/>
      <c r="M108" s="558"/>
      <c r="N108" s="1156"/>
      <c r="O108" s="1156"/>
      <c r="P108" s="559"/>
      <c r="Q108" s="560"/>
    </row>
    <row r="109" spans="1:17" s="472" customFormat="1" ht="15.75" thickBot="1">
      <c r="A109" s="554"/>
      <c r="B109" s="536"/>
      <c r="C109" s="561"/>
      <c r="D109" s="537"/>
      <c r="E109" s="537"/>
      <c r="F109" s="537"/>
      <c r="G109" s="561"/>
      <c r="H109" s="563"/>
      <c r="I109" s="563"/>
      <c r="J109" s="563"/>
      <c r="K109" s="563"/>
      <c r="L109" s="563"/>
      <c r="M109" s="564"/>
      <c r="N109" s="1156"/>
      <c r="O109" s="1156"/>
      <c r="P109" s="559"/>
      <c r="Q109" s="560"/>
    </row>
    <row r="110" spans="1:17" ht="15" thickTop="1">
      <c r="A110" s="600"/>
      <c r="B110" s="539">
        <f>B39</f>
        <v>111</v>
      </c>
      <c r="C110" s="555"/>
      <c r="D110" s="555"/>
      <c r="E110" s="555"/>
      <c r="F110" s="555"/>
      <c r="G110" s="555"/>
      <c r="H110" s="556"/>
      <c r="I110" s="556"/>
      <c r="J110" s="556"/>
      <c r="K110" s="556"/>
      <c r="L110" s="557"/>
      <c r="M110" s="558"/>
      <c r="N110" s="1154"/>
      <c r="O110" s="1154"/>
      <c r="P110" s="45"/>
      <c r="Q110" s="505"/>
    </row>
    <row r="111" spans="1:17" ht="15.75" thickBot="1">
      <c r="A111" s="535"/>
      <c r="B111" s="544"/>
      <c r="C111" s="561"/>
      <c r="D111" s="537"/>
      <c r="E111" s="537"/>
      <c r="F111" s="537"/>
      <c r="G111" s="561"/>
      <c r="H111" s="563"/>
      <c r="I111" s="563"/>
      <c r="J111" s="563"/>
      <c r="K111" s="563"/>
      <c r="L111" s="563"/>
      <c r="M111" s="564"/>
      <c r="N111" s="1155"/>
      <c r="O111" s="1155"/>
      <c r="P111" s="45"/>
      <c r="Q111" s="505"/>
    </row>
    <row r="112" spans="1:17" ht="15" thickTop="1">
      <c r="A112" s="600"/>
      <c r="B112" s="547">
        <f>B40</f>
        <v>111</v>
      </c>
      <c r="C112" s="524"/>
      <c r="D112" s="524"/>
      <c r="E112" s="524"/>
      <c r="F112" s="524"/>
      <c r="G112" s="588"/>
      <c r="H112" s="588"/>
      <c r="I112" s="588"/>
      <c r="J112" s="588"/>
      <c r="K112" s="524"/>
      <c r="L112" s="525"/>
      <c r="M112" s="591"/>
      <c r="N112" s="1154"/>
      <c r="O112" s="1154"/>
      <c r="P112" s="45"/>
      <c r="Q112" s="505"/>
    </row>
    <row r="113" spans="1:17" ht="15.75" thickBot="1">
      <c r="A113" s="2633"/>
      <c r="B113" s="570"/>
      <c r="C113" s="571"/>
      <c r="D113" s="571"/>
      <c r="E113" s="571"/>
      <c r="F113" s="571"/>
      <c r="G113" s="592"/>
      <c r="H113" s="592"/>
      <c r="I113" s="592"/>
      <c r="J113" s="592"/>
      <c r="K113" s="592"/>
      <c r="L113" s="592"/>
      <c r="M113" s="593"/>
      <c r="N113" s="1155"/>
      <c r="O113" s="1155"/>
      <c r="P113" s="45"/>
      <c r="Q113"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5"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2" customFormat="1" ht="28.5" customHeight="1" thickBot="1">
      <c r="A1" s="1621" t="s">
        <v>2702</v>
      </c>
      <c r="B1" s="1622"/>
      <c r="C1" s="1623" t="s">
        <v>2526</v>
      </c>
      <c r="D1" s="1624"/>
      <c r="E1" s="1625"/>
      <c r="F1" s="2581"/>
      <c r="G1" s="1626" t="s">
        <v>2639</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9" customFormat="1" ht="28.5" customHeight="1" thickTop="1">
      <c r="A2" s="1620" t="s">
        <v>2326</v>
      </c>
      <c r="B2" s="1420" t="e">
        <f ca="1">IF(C2="——",IF(B37="元/平方米",ROUND(C39*D3/10000,0),ROUND(F3*C39/10000,0)),IF(B37="元/平方米",ROUND(C39*D3/10000,0),ROUND(F3*C39/10000,0))-D2)</f>
        <v>#DIV/0!</v>
      </c>
      <c r="C2" s="2583"/>
      <c r="D2" s="1126" t="e">
        <f ca="1">SUMIF(INDIRECT("'"&amp;F2&amp;"'"&amp;"!A:A"),"承租人权益价值",INDIRECT("'"&amp;F2&amp;"'"&amp;"!c:c"))</f>
        <v>#REF!</v>
      </c>
      <c r="E2" s="2584" t="s">
        <v>2327</v>
      </c>
      <c r="F2" s="2585"/>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9" customFormat="1" ht="28.5" customHeight="1" thickBot="1">
      <c r="A3" s="248" t="s">
        <v>2328</v>
      </c>
      <c r="B3" s="610" t="e">
        <f ca="1">IF(AND(C2="——",B37="元/平方米"),C39,ROUND(B2*10000/D3,0))</f>
        <v>#DIV/0!</v>
      </c>
      <c r="C3" s="401" t="s">
        <v>2640</v>
      </c>
      <c r="D3" s="400">
        <f>SUMIF('数据-汇总表'!$C19:$C33,D1,'数据-汇总表'!$E19:$E33)</f>
        <v>0</v>
      </c>
      <c r="E3" s="401" t="s">
        <v>2703</v>
      </c>
      <c r="F3" s="400">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2" t="s">
        <v>2641</v>
      </c>
      <c r="B4" s="403"/>
      <c r="C4" s="3270" t="s">
        <v>2642</v>
      </c>
      <c r="D4" s="3283"/>
      <c r="E4" s="3284" t="s">
        <v>2643</v>
      </c>
      <c r="F4" s="3285"/>
      <c r="G4" s="3270" t="s">
        <v>2644</v>
      </c>
      <c r="H4" s="3283"/>
      <c r="I4" s="3270" t="s">
        <v>2645</v>
      </c>
      <c r="J4" s="3283"/>
      <c r="K4" s="611" t="s">
        <v>2646</v>
      </c>
      <c r="L4" s="1132"/>
      <c r="M4" s="1133"/>
      <c r="N4" s="1133"/>
      <c r="O4" s="1133"/>
      <c r="P4" s="3286" t="s">
        <v>2647</v>
      </c>
      <c r="Q4" s="3287"/>
      <c r="R4" s="3292" t="s">
        <v>2643</v>
      </c>
      <c r="S4" s="3293"/>
      <c r="T4" s="3292" t="s">
        <v>2644</v>
      </c>
      <c r="U4" s="3293"/>
      <c r="V4" s="3279" t="s">
        <v>2645</v>
      </c>
      <c r="W4" s="3279"/>
      <c r="X4" s="1816"/>
      <c r="Y4" s="3292" t="s">
        <v>2647</v>
      </c>
      <c r="Z4" s="3293"/>
      <c r="AA4" s="3280" t="s">
        <v>2643</v>
      </c>
      <c r="AB4" s="3281" t="s">
        <v>2644</v>
      </c>
      <c r="AC4" s="3280" t="s">
        <v>2645</v>
      </c>
    </row>
    <row r="5" spans="1:29" ht="15">
      <c r="A5" s="405"/>
      <c r="B5" s="406"/>
      <c r="C5" s="3348" t="s">
        <v>2538</v>
      </c>
      <c r="D5" s="3301"/>
      <c r="E5" s="3365" t="s">
        <v>2539</v>
      </c>
      <c r="F5" s="3310"/>
      <c r="G5" s="3348" t="s">
        <v>2540</v>
      </c>
      <c r="H5" s="3301"/>
      <c r="I5" s="3348" t="s">
        <v>2541</v>
      </c>
      <c r="J5" s="3301"/>
      <c r="K5" s="611"/>
      <c r="L5" s="1132"/>
      <c r="M5" s="1133"/>
      <c r="N5" s="1133"/>
      <c r="O5" s="1133"/>
      <c r="P5" s="3288"/>
      <c r="Q5" s="3289"/>
      <c r="R5" s="3294"/>
      <c r="S5" s="3295"/>
      <c r="T5" s="3294"/>
      <c r="U5" s="3295"/>
      <c r="V5" s="3279"/>
      <c r="W5" s="3279"/>
      <c r="X5" s="1816"/>
      <c r="Y5" s="3294"/>
      <c r="Z5" s="3295"/>
      <c r="AA5" s="3281"/>
      <c r="AB5" s="3281"/>
      <c r="AC5" s="3281"/>
    </row>
    <row r="6" spans="1:29" ht="15.75" thickBot="1">
      <c r="A6" s="407"/>
      <c r="B6" s="408"/>
      <c r="C6" s="3347" t="s">
        <v>2542</v>
      </c>
      <c r="D6" s="3299"/>
      <c r="E6" s="3363" t="s">
        <v>2542</v>
      </c>
      <c r="F6" s="3308"/>
      <c r="G6" s="3347" t="s">
        <v>2542</v>
      </c>
      <c r="H6" s="3299"/>
      <c r="I6" s="3347" t="s">
        <v>2542</v>
      </c>
      <c r="J6" s="3299"/>
      <c r="K6" s="611" t="s">
        <v>2543</v>
      </c>
      <c r="L6" s="1132"/>
      <c r="M6" s="1133"/>
      <c r="N6" s="1133"/>
      <c r="O6" s="1133"/>
      <c r="P6" s="3290"/>
      <c r="Q6" s="3291"/>
      <c r="R6" s="3294"/>
      <c r="S6" s="3295"/>
      <c r="T6" s="3296"/>
      <c r="U6" s="3297"/>
      <c r="V6" s="3279"/>
      <c r="W6" s="3279"/>
      <c r="X6" s="1816"/>
      <c r="Y6" s="3296"/>
      <c r="Z6" s="3297"/>
      <c r="AA6" s="3282"/>
      <c r="AB6" s="3282"/>
      <c r="AC6" s="3282"/>
    </row>
    <row r="7" spans="1:29" s="117" customFormat="1" ht="15.75" thickBot="1">
      <c r="A7" s="409" t="s">
        <v>2544</v>
      </c>
      <c r="B7" s="410"/>
      <c r="C7" s="411">
        <f>'数据-取费表'!B2</f>
        <v>43049</v>
      </c>
      <c r="D7" s="412">
        <v>100</v>
      </c>
      <c r="E7" s="413"/>
      <c r="F7" s="414">
        <f>SUMIF(48:48,YEAR(E7)&amp;"-"&amp;MONTH(E7),49:49)</f>
        <v>0</v>
      </c>
      <c r="G7" s="413"/>
      <c r="H7" s="412">
        <f>SUMIF(48:48,YEAR(G7)&amp;"-"&amp;MONTH(G7),49:49)</f>
        <v>0</v>
      </c>
      <c r="I7" s="413"/>
      <c r="J7" s="412">
        <f>SUMIF(48:48,YEAR(I7)&amp;"-"&amp;MONTH(I7),49:49)</f>
        <v>0</v>
      </c>
      <c r="K7" s="612"/>
      <c r="L7" s="1134"/>
      <c r="M7" s="1135"/>
      <c r="N7" s="1135"/>
      <c r="O7" s="1135"/>
      <c r="P7" s="3302" t="s">
        <v>2545</v>
      </c>
      <c r="Q7" s="3304"/>
      <c r="R7" s="769" t="s">
        <v>17</v>
      </c>
      <c r="S7" s="770">
        <f t="shared" ref="S7:S14" si="0">F7</f>
        <v>0</v>
      </c>
      <c r="T7" s="769" t="s">
        <v>17</v>
      </c>
      <c r="U7" s="770">
        <f t="shared" ref="U7:U14" si="1">H7</f>
        <v>0</v>
      </c>
      <c r="V7" s="769" t="s">
        <v>17</v>
      </c>
      <c r="W7" s="770">
        <f t="shared" ref="W7:W14" si="2">J7</f>
        <v>0</v>
      </c>
      <c r="X7" s="771"/>
      <c r="Y7" s="3302" t="s">
        <v>2545</v>
      </c>
      <c r="Z7" s="3303"/>
      <c r="AA7" s="772" t="e">
        <f>D7/F7</f>
        <v>#DIV/0!</v>
      </c>
      <c r="AB7" s="772" t="e">
        <f>D7/H7</f>
        <v>#DIV/0!</v>
      </c>
      <c r="AC7" s="772" t="e">
        <f>D7/J7</f>
        <v>#DIV/0!</v>
      </c>
    </row>
    <row r="8" spans="1:29" s="117" customFormat="1" ht="15.75" thickBot="1">
      <c r="A8" s="409" t="s">
        <v>2546</v>
      </c>
      <c r="B8" s="410"/>
      <c r="C8" s="415" t="s">
        <v>2648</v>
      </c>
      <c r="D8" s="412">
        <v>100</v>
      </c>
      <c r="E8" s="415"/>
      <c r="F8" s="414">
        <f>SUMIF(51:51,E8,52:52)-SUMIF(51:51,C8,52:52)+100</f>
        <v>0</v>
      </c>
      <c r="G8" s="415"/>
      <c r="H8" s="412">
        <f>SUMIF(51:51,G8,52:52)-SUMIF(51:51,C8,52:52)+100</f>
        <v>0</v>
      </c>
      <c r="I8" s="415"/>
      <c r="J8" s="412">
        <f>SUMIF(51:51,I8,52:52)-SUMIF(51:51,C8,52:52)+100</f>
        <v>0</v>
      </c>
      <c r="K8" s="612"/>
      <c r="L8" s="1134"/>
      <c r="M8" s="1135"/>
      <c r="N8" s="1135"/>
      <c r="O8" s="1135"/>
      <c r="P8" s="3302" t="s">
        <v>2548</v>
      </c>
      <c r="Q8" s="3303"/>
      <c r="R8" s="769" t="s">
        <v>17</v>
      </c>
      <c r="S8" s="770">
        <f t="shared" si="0"/>
        <v>0</v>
      </c>
      <c r="T8" s="769" t="s">
        <v>17</v>
      </c>
      <c r="U8" s="770">
        <f t="shared" si="1"/>
        <v>0</v>
      </c>
      <c r="V8" s="769" t="s">
        <v>17</v>
      </c>
      <c r="W8" s="770">
        <f t="shared" si="2"/>
        <v>0</v>
      </c>
      <c r="X8" s="771"/>
      <c r="Y8" s="3302" t="s">
        <v>2548</v>
      </c>
      <c r="Z8" s="3303"/>
      <c r="AA8" s="772" t="e">
        <f t="shared" ref="AA8:AA36" si="3">D8/F8</f>
        <v>#DIV/0!</v>
      </c>
      <c r="AB8" s="772" t="e">
        <f t="shared" ref="AB8:AB36" si="4">D8/H8</f>
        <v>#DIV/0!</v>
      </c>
      <c r="AC8" s="772" t="e">
        <f t="shared" ref="AC8:AC36" si="5">D8/J8</f>
        <v>#DIV/0!</v>
      </c>
    </row>
    <row r="9" spans="1:29" s="117" customFormat="1">
      <c r="A9" s="68" t="s">
        <v>2549</v>
      </c>
      <c r="B9" s="640" t="s">
        <v>2550</v>
      </c>
      <c r="C9" s="417"/>
      <c r="D9" s="135">
        <v>100</v>
      </c>
      <c r="E9" s="420"/>
      <c r="F9" s="135">
        <f>SUMIF(53:53,E9,54:54)-SUMIF(53:53,C9,54:54)+100</f>
        <v>100</v>
      </c>
      <c r="G9" s="418"/>
      <c r="H9" s="135">
        <f>SUMIF(53:53,G9,54:54)-SUMIF(53:53,C9,54:54)+100</f>
        <v>100</v>
      </c>
      <c r="I9" s="418"/>
      <c r="J9" s="135">
        <f>SUMIF(53:53,I9,54:54)-SUMIF(53:53,C9,54:54)+100</f>
        <v>100</v>
      </c>
      <c r="K9" s="612"/>
      <c r="L9" s="1134"/>
      <c r="M9" s="1135"/>
      <c r="N9" s="1135"/>
      <c r="O9" s="1135"/>
      <c r="P9" s="3273" t="s">
        <v>2551</v>
      </c>
      <c r="Q9" s="1798" t="str">
        <f t="shared" ref="Q9:Q14" si="6">B9</f>
        <v>用途</v>
      </c>
      <c r="R9" s="769" t="s">
        <v>17</v>
      </c>
      <c r="S9" s="770">
        <f t="shared" si="0"/>
        <v>100</v>
      </c>
      <c r="T9" s="769" t="s">
        <v>17</v>
      </c>
      <c r="U9" s="770">
        <f t="shared" si="1"/>
        <v>100</v>
      </c>
      <c r="V9" s="769" t="s">
        <v>17</v>
      </c>
      <c r="W9" s="770">
        <f t="shared" si="2"/>
        <v>100</v>
      </c>
      <c r="X9" s="771"/>
      <c r="Y9" s="3121" t="s">
        <v>2552</v>
      </c>
      <c r="Z9" s="55" t="str">
        <f t="shared" ref="Z9:Z14" si="7">Q9</f>
        <v>用途</v>
      </c>
      <c r="AA9" s="772">
        <f t="shared" si="3"/>
        <v>1</v>
      </c>
      <c r="AB9" s="772">
        <f t="shared" si="4"/>
        <v>1</v>
      </c>
      <c r="AC9" s="772">
        <f t="shared" si="5"/>
        <v>1</v>
      </c>
    </row>
    <row r="10" spans="1:29" s="428" customFormat="1" ht="27">
      <c r="A10" s="641"/>
      <c r="B10" s="642" t="s">
        <v>2553</v>
      </c>
      <c r="C10" s="424"/>
      <c r="D10" s="136">
        <v>100</v>
      </c>
      <c r="E10" s="424"/>
      <c r="F10" s="136">
        <f>SUMIF(55:55,E10,56:56)-SUMIF(55:55,C10,56:56)+100</f>
        <v>100</v>
      </c>
      <c r="G10" s="425"/>
      <c r="H10" s="136">
        <f>SUMIF(55:55,G10,56:56)-SUMIF(55:55,C10,56:56)+100</f>
        <v>100</v>
      </c>
      <c r="I10" s="424"/>
      <c r="J10" s="136">
        <f>SUMIF(55:55,I10,56:56)-SUMIF(55:55,C10,56:56)+100</f>
        <v>100</v>
      </c>
      <c r="K10" s="613"/>
      <c r="L10" s="1137"/>
      <c r="M10" s="1138"/>
      <c r="N10" s="1138"/>
      <c r="O10" s="1138"/>
      <c r="P10" s="3273"/>
      <c r="Q10" s="1798" t="str">
        <f t="shared" si="6"/>
        <v>土地使用年限（年）</v>
      </c>
      <c r="R10" s="769" t="s">
        <v>17</v>
      </c>
      <c r="S10" s="770">
        <f t="shared" si="0"/>
        <v>100</v>
      </c>
      <c r="T10" s="769" t="s">
        <v>17</v>
      </c>
      <c r="U10" s="770">
        <f t="shared" si="1"/>
        <v>100</v>
      </c>
      <c r="V10" s="769" t="s">
        <v>17</v>
      </c>
      <c r="W10" s="770">
        <f t="shared" si="2"/>
        <v>100</v>
      </c>
      <c r="X10" s="771"/>
      <c r="Y10" s="3121"/>
      <c r="Z10" s="55" t="str">
        <f t="shared" si="7"/>
        <v>土地使用年限（年）</v>
      </c>
      <c r="AA10" s="772">
        <f t="shared" si="3"/>
        <v>1</v>
      </c>
      <c r="AB10" s="772">
        <f t="shared" si="4"/>
        <v>1</v>
      </c>
      <c r="AC10" s="772">
        <f t="shared" si="5"/>
        <v>1</v>
      </c>
    </row>
    <row r="11" spans="1:29" ht="15">
      <c r="A11" s="643"/>
      <c r="B11" s="644">
        <v>111</v>
      </c>
      <c r="C11" s="433"/>
      <c r="D11" s="136">
        <v>100</v>
      </c>
      <c r="E11" s="433"/>
      <c r="F11" s="136">
        <f>SUMIF(57:57,E11,58:58)-SUMIF(57:57,C11,58:58)+100</f>
        <v>100</v>
      </c>
      <c r="G11" s="433"/>
      <c r="H11" s="136">
        <f>SUMIF(57:57,G11,58:58)-SUMIF(57:57,C11,58:58)+100</f>
        <v>100</v>
      </c>
      <c r="I11" s="433"/>
      <c r="J11" s="136">
        <f>SUMIF(57:57,I11,58:58)-SUMIF(57:57,C11,58:58)+100</f>
        <v>100</v>
      </c>
      <c r="K11" s="614"/>
      <c r="L11" s="1140"/>
      <c r="M11" s="1133"/>
      <c r="N11" s="1133"/>
      <c r="O11" s="1133"/>
      <c r="P11" s="3273"/>
      <c r="Q11" s="1798">
        <f t="shared" si="6"/>
        <v>111</v>
      </c>
      <c r="R11" s="769" t="s">
        <v>17</v>
      </c>
      <c r="S11" s="770">
        <f t="shared" si="0"/>
        <v>100</v>
      </c>
      <c r="T11" s="769" t="s">
        <v>17</v>
      </c>
      <c r="U11" s="770">
        <f t="shared" si="1"/>
        <v>100</v>
      </c>
      <c r="V11" s="769" t="s">
        <v>17</v>
      </c>
      <c r="W11" s="770">
        <f t="shared" si="2"/>
        <v>100</v>
      </c>
      <c r="X11" s="771"/>
      <c r="Y11" s="3121"/>
      <c r="Z11" s="55">
        <f t="shared" si="7"/>
        <v>111</v>
      </c>
      <c r="AA11" s="772">
        <f t="shared" si="3"/>
        <v>1</v>
      </c>
      <c r="AB11" s="772">
        <f t="shared" si="4"/>
        <v>1</v>
      </c>
      <c r="AC11" s="772">
        <f t="shared" si="5"/>
        <v>1</v>
      </c>
    </row>
    <row r="12" spans="1:29" s="117" customFormat="1" ht="15">
      <c r="A12" s="645"/>
      <c r="B12" s="644">
        <v>111</v>
      </c>
      <c r="C12" s="433"/>
      <c r="D12" s="434">
        <v>100</v>
      </c>
      <c r="E12" s="433"/>
      <c r="F12" s="136">
        <f>SUMIF(59:59,E12,60:60)-SUMIF(59:59,C12,60:60)+100</f>
        <v>100</v>
      </c>
      <c r="G12" s="433"/>
      <c r="H12" s="136">
        <f>SUMIF(59:59,G12,60:60)-SUMIF(59:59,C12,60:60)+100</f>
        <v>100</v>
      </c>
      <c r="I12" s="433"/>
      <c r="J12" s="136">
        <f>SUMIF(59:59,I12,60:60)-SUMIF(59:59,C12,60:60)+100</f>
        <v>100</v>
      </c>
      <c r="K12" s="614"/>
      <c r="L12" s="1134"/>
      <c r="M12" s="1135"/>
      <c r="N12" s="1135"/>
      <c r="O12" s="1135"/>
      <c r="P12" s="3273"/>
      <c r="Q12" s="1798">
        <f t="shared" si="6"/>
        <v>111</v>
      </c>
      <c r="R12" s="769" t="s">
        <v>17</v>
      </c>
      <c r="S12" s="770">
        <f t="shared" si="0"/>
        <v>100</v>
      </c>
      <c r="T12" s="769" t="s">
        <v>17</v>
      </c>
      <c r="U12" s="770">
        <f t="shared" si="1"/>
        <v>100</v>
      </c>
      <c r="V12" s="769" t="s">
        <v>17</v>
      </c>
      <c r="W12" s="770">
        <f t="shared" si="2"/>
        <v>100</v>
      </c>
      <c r="X12" s="771"/>
      <c r="Y12" s="3121"/>
      <c r="Z12" s="55">
        <f t="shared" si="7"/>
        <v>111</v>
      </c>
      <c r="AA12" s="772">
        <f>D12/F12</f>
        <v>1</v>
      </c>
      <c r="AB12" s="772">
        <f>D12/H12</f>
        <v>1</v>
      </c>
      <c r="AC12" s="772">
        <f>D12/J12</f>
        <v>1</v>
      </c>
    </row>
    <row r="13" spans="1:29" ht="15.75" thickBot="1">
      <c r="A13" s="646"/>
      <c r="B13" s="644">
        <v>111</v>
      </c>
      <c r="C13" s="435"/>
      <c r="D13" s="436">
        <v>100</v>
      </c>
      <c r="E13" s="433"/>
      <c r="F13" s="136">
        <f>SUMIF(61:61,E13,62:62)-SUMIF(61:61,C13,62:62)+100</f>
        <v>100</v>
      </c>
      <c r="G13" s="433"/>
      <c r="H13" s="436">
        <f>SUMIF(61:61,G13,62:62)-SUMIF(61:61,C13,62:62)+100</f>
        <v>100</v>
      </c>
      <c r="I13" s="433"/>
      <c r="J13" s="436">
        <f>SUMIF(61:61,I13,62:62)-SUMIF(61:61,C13,62:62)+100</f>
        <v>100</v>
      </c>
      <c r="K13" s="614"/>
      <c r="L13" s="1142"/>
      <c r="M13" s="1133"/>
      <c r="N13" s="1133"/>
      <c r="O13" s="1133"/>
      <c r="P13" s="3273"/>
      <c r="Q13" s="1798">
        <f t="shared" si="6"/>
        <v>111</v>
      </c>
      <c r="R13" s="769" t="s">
        <v>17</v>
      </c>
      <c r="S13" s="770">
        <f t="shared" si="0"/>
        <v>100</v>
      </c>
      <c r="T13" s="769" t="s">
        <v>17</v>
      </c>
      <c r="U13" s="770">
        <f t="shared" si="1"/>
        <v>100</v>
      </c>
      <c r="V13" s="769" t="s">
        <v>17</v>
      </c>
      <c r="W13" s="770">
        <f t="shared" si="2"/>
        <v>100</v>
      </c>
      <c r="X13" s="771"/>
      <c r="Y13" s="3121"/>
      <c r="Z13" s="55">
        <f t="shared" si="7"/>
        <v>111</v>
      </c>
      <c r="AA13" s="772">
        <f t="shared" si="3"/>
        <v>1</v>
      </c>
      <c r="AB13" s="772">
        <f t="shared" si="4"/>
        <v>1</v>
      </c>
      <c r="AC13" s="772">
        <f t="shared" si="5"/>
        <v>1</v>
      </c>
    </row>
    <row r="14" spans="1:29" ht="85.5">
      <c r="A14" s="402" t="s">
        <v>2555</v>
      </c>
      <c r="B14" s="629" t="s">
        <v>2704</v>
      </c>
      <c r="C14" s="2690" t="str">
        <f>IF(B1="工业",估价对象房地状况!G4,估价对象房地状况!C6)</f>
        <v>估价对象周边道路状况、公共交通通达情况、停车便捷程度，综合评价交通便捷度较好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2"/>
      <c r="M14" s="1133"/>
      <c r="N14" s="1133"/>
      <c r="O14" s="1133"/>
      <c r="P14" s="3275" t="s">
        <v>2556</v>
      </c>
      <c r="Q14" s="1813" t="str">
        <f t="shared" si="6"/>
        <v>交通便捷度</v>
      </c>
      <c r="R14" s="773" t="s">
        <v>17</v>
      </c>
      <c r="S14" s="774">
        <f t="shared" si="0"/>
        <v>100</v>
      </c>
      <c r="T14" s="773" t="s">
        <v>17</v>
      </c>
      <c r="U14" s="774">
        <f t="shared" si="1"/>
        <v>100</v>
      </c>
      <c r="V14" s="773" t="s">
        <v>17</v>
      </c>
      <c r="W14" s="774">
        <f t="shared" si="2"/>
        <v>100</v>
      </c>
      <c r="X14" s="1816"/>
      <c r="Y14" s="3275" t="s">
        <v>2556</v>
      </c>
      <c r="Z14" s="1817" t="str">
        <f t="shared" si="7"/>
        <v>交通便捷度</v>
      </c>
      <c r="AA14" s="1814">
        <f t="shared" si="3"/>
        <v>1</v>
      </c>
      <c r="AB14" s="1814">
        <f t="shared" si="4"/>
        <v>1</v>
      </c>
      <c r="AC14" s="1814">
        <f t="shared" si="5"/>
        <v>1</v>
      </c>
    </row>
    <row r="15" spans="1:29" ht="15">
      <c r="A15" s="405"/>
      <c r="B15" s="647"/>
      <c r="C15" s="448"/>
      <c r="D15" s="449"/>
      <c r="E15" s="448"/>
      <c r="F15" s="450"/>
      <c r="G15" s="448"/>
      <c r="H15" s="451"/>
      <c r="I15" s="448"/>
      <c r="J15" s="449"/>
      <c r="K15" s="616"/>
      <c r="L15" s="1142"/>
      <c r="M15" s="1133"/>
      <c r="N15" s="1133"/>
      <c r="O15" s="1133"/>
      <c r="P15" s="3276"/>
      <c r="Q15" s="1813"/>
      <c r="R15" s="773"/>
      <c r="S15" s="774"/>
      <c r="T15" s="773"/>
      <c r="U15" s="774"/>
      <c r="V15" s="773"/>
      <c r="W15" s="774"/>
      <c r="X15" s="1816"/>
      <c r="Y15" s="3276"/>
      <c r="Z15" s="1817"/>
      <c r="AA15" s="1814">
        <v>1</v>
      </c>
      <c r="AB15" s="1814">
        <v>1</v>
      </c>
      <c r="AC15" s="1814">
        <v>1</v>
      </c>
    </row>
    <row r="16" spans="1:29" ht="42.75">
      <c r="A16" s="405"/>
      <c r="B16" s="631" t="s">
        <v>2683</v>
      </c>
      <c r="C16" s="2604" t="str">
        <f>IF(B1="工业",估价对象房地状况!G5,估价对象房地状况!C7)</f>
        <v>估价对象所在区域公共配套设施齐备情况</v>
      </c>
      <c r="D16" s="456">
        <v>100</v>
      </c>
      <c r="E16" s="458"/>
      <c r="F16" s="459">
        <f>SUMIF(65:65,E17,66:66)-SUMIF(65:65,C17,66:66)+100</f>
        <v>100</v>
      </c>
      <c r="G16" s="460"/>
      <c r="H16" s="456">
        <f>SUMIF(65:65,G17,66:66)-SUMIF(65:65,C17,66:66)+100</f>
        <v>100</v>
      </c>
      <c r="I16" s="458"/>
      <c r="J16" s="456">
        <f>SUMIF(65:65,I17,66:66)-SUMIF(65:65,C17,66:66)+100</f>
        <v>100</v>
      </c>
      <c r="K16" s="615"/>
      <c r="L16" s="1142"/>
      <c r="M16" s="1133"/>
      <c r="N16" s="1133"/>
      <c r="O16" s="1133"/>
      <c r="P16" s="3276"/>
      <c r="Q16" s="1813" t="str">
        <f>B16</f>
        <v>公共配套设施</v>
      </c>
      <c r="R16" s="773" t="s">
        <v>17</v>
      </c>
      <c r="S16" s="774">
        <f>F16</f>
        <v>100</v>
      </c>
      <c r="T16" s="773" t="s">
        <v>17</v>
      </c>
      <c r="U16" s="774">
        <f>H16</f>
        <v>100</v>
      </c>
      <c r="V16" s="773" t="s">
        <v>17</v>
      </c>
      <c r="W16" s="774">
        <f>J16</f>
        <v>100</v>
      </c>
      <c r="X16" s="1816"/>
      <c r="Y16" s="3276"/>
      <c r="Z16" s="1817" t="str">
        <f>Q16</f>
        <v>公共配套设施</v>
      </c>
      <c r="AA16" s="1814">
        <f t="shared" si="3"/>
        <v>1</v>
      </c>
      <c r="AB16" s="1814">
        <f t="shared" si="4"/>
        <v>1</v>
      </c>
      <c r="AC16" s="1814">
        <f t="shared" si="5"/>
        <v>1</v>
      </c>
    </row>
    <row r="17" spans="1:29" ht="15">
      <c r="A17" s="405"/>
      <c r="B17" s="632"/>
      <c r="C17" s="2605"/>
      <c r="D17" s="449"/>
      <c r="E17" s="448"/>
      <c r="F17" s="450"/>
      <c r="G17" s="448"/>
      <c r="H17" s="449"/>
      <c r="I17" s="448"/>
      <c r="J17" s="449"/>
      <c r="K17" s="616"/>
      <c r="L17" s="1142"/>
      <c r="M17" s="1133"/>
      <c r="N17" s="1133"/>
      <c r="O17" s="1133"/>
      <c r="P17" s="3276"/>
      <c r="Q17" s="1813"/>
      <c r="R17" s="773"/>
      <c r="S17" s="774"/>
      <c r="T17" s="773"/>
      <c r="U17" s="774"/>
      <c r="V17" s="773"/>
      <c r="W17" s="774"/>
      <c r="X17" s="1816"/>
      <c r="Y17" s="3276"/>
      <c r="Z17" s="1817"/>
      <c r="AA17" s="1814">
        <v>1</v>
      </c>
      <c r="AB17" s="1814">
        <v>1</v>
      </c>
      <c r="AC17" s="1814">
        <v>1</v>
      </c>
    </row>
    <row r="18" spans="1:29" ht="28.5">
      <c r="A18" s="405"/>
      <c r="B18" s="633" t="s">
        <v>2684</v>
      </c>
      <c r="C18" s="2604" t="str">
        <f>IF(B1="工业",估价对象房地状况!G6,估价对象房地状况!C8)</f>
        <v>估价对象所在区域基础设施水平</v>
      </c>
      <c r="D18" s="451">
        <v>100</v>
      </c>
      <c r="E18" s="453"/>
      <c r="F18" s="459">
        <f>SUMIF(67:67,E19,68:68)-SUMIF(67:67,C19,68:68)+100</f>
        <v>100</v>
      </c>
      <c r="G18" s="455"/>
      <c r="H18" s="456">
        <f>SUMIF(67:67,G19,68:68)-SUMIF(67:67,C19,68:68)+100</f>
        <v>100</v>
      </c>
      <c r="I18" s="453"/>
      <c r="J18" s="456">
        <f>SUMIF(67:67,I19,68:68)-SUMIF(67:67,C19,68:68)+100</f>
        <v>100</v>
      </c>
      <c r="K18" s="615"/>
      <c r="L18" s="1142"/>
      <c r="M18" s="1133"/>
      <c r="N18" s="1133"/>
      <c r="O18" s="1133"/>
      <c r="P18" s="3276"/>
      <c r="Q18" s="1813" t="str">
        <f>B18</f>
        <v>基础设施水平</v>
      </c>
      <c r="R18" s="773" t="s">
        <v>17</v>
      </c>
      <c r="S18" s="774">
        <f>F18</f>
        <v>100</v>
      </c>
      <c r="T18" s="773" t="s">
        <v>17</v>
      </c>
      <c r="U18" s="774">
        <f>H18</f>
        <v>100</v>
      </c>
      <c r="V18" s="773" t="s">
        <v>17</v>
      </c>
      <c r="W18" s="774">
        <f>J18</f>
        <v>100</v>
      </c>
      <c r="X18" s="1816"/>
      <c r="Y18" s="3276"/>
      <c r="Z18" s="1817" t="str">
        <f>Q18</f>
        <v>基础设施水平</v>
      </c>
      <c r="AA18" s="1814">
        <f t="shared" ref="AA18" si="8">D18/F18</f>
        <v>1</v>
      </c>
      <c r="AB18" s="1814">
        <f t="shared" ref="AB18" si="9">D18/H18</f>
        <v>1</v>
      </c>
      <c r="AC18" s="1814">
        <f t="shared" ref="AC18" si="10">D18/J18</f>
        <v>1</v>
      </c>
    </row>
    <row r="19" spans="1:29" ht="15">
      <c r="A19" s="405"/>
      <c r="B19" s="633"/>
      <c r="C19" s="2605"/>
      <c r="D19" s="451"/>
      <c r="E19" s="2605"/>
      <c r="F19" s="454"/>
      <c r="G19" s="2605"/>
      <c r="H19" s="449"/>
      <c r="I19" s="448"/>
      <c r="J19" s="449"/>
      <c r="K19" s="1385"/>
      <c r="L19" s="1142"/>
      <c r="M19" s="1133"/>
      <c r="N19" s="1133"/>
      <c r="O19" s="1133"/>
      <c r="P19" s="3276"/>
      <c r="Q19" s="1813"/>
      <c r="R19" s="773"/>
      <c r="S19" s="774"/>
      <c r="T19" s="773"/>
      <c r="U19" s="774"/>
      <c r="V19" s="773"/>
      <c r="W19" s="774"/>
      <c r="X19" s="1816"/>
      <c r="Y19" s="3276"/>
      <c r="Z19" s="1817"/>
      <c r="AA19" s="1814">
        <v>1</v>
      </c>
      <c r="AB19" s="1814">
        <v>1</v>
      </c>
      <c r="AC19" s="1814">
        <v>1</v>
      </c>
    </row>
    <row r="20" spans="1:29" ht="57">
      <c r="A20" s="405"/>
      <c r="B20" s="631" t="s">
        <v>2705</v>
      </c>
      <c r="C20" s="2604" t="str">
        <f>IF(B1="工业",估价对象房地状况!G7,估价对象房地状况!C9)</f>
        <v>区域自然环境：；人文环境；综合评价环境状况一般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2"/>
      <c r="M20" s="1133"/>
      <c r="N20" s="1133"/>
      <c r="O20" s="1133"/>
      <c r="P20" s="3276"/>
      <c r="Q20" s="1813" t="str">
        <f>B20</f>
        <v>自然及人文环境</v>
      </c>
      <c r="R20" s="773" t="s">
        <v>17</v>
      </c>
      <c r="S20" s="774">
        <f>F20</f>
        <v>100</v>
      </c>
      <c r="T20" s="773" t="s">
        <v>17</v>
      </c>
      <c r="U20" s="774">
        <f>H20</f>
        <v>100</v>
      </c>
      <c r="V20" s="773" t="s">
        <v>17</v>
      </c>
      <c r="W20" s="774">
        <f>J20</f>
        <v>100</v>
      </c>
      <c r="X20" s="1816"/>
      <c r="Y20" s="3276"/>
      <c r="Z20" s="1817" t="str">
        <f>Q20</f>
        <v>自然及人文环境</v>
      </c>
      <c r="AA20" s="1814">
        <f t="shared" si="3"/>
        <v>1</v>
      </c>
      <c r="AB20" s="1814">
        <f t="shared" si="4"/>
        <v>1</v>
      </c>
      <c r="AC20" s="1814">
        <f t="shared" si="5"/>
        <v>1</v>
      </c>
    </row>
    <row r="21" spans="1:29" ht="15">
      <c r="A21" s="405"/>
      <c r="B21" s="632"/>
      <c r="C21" s="448"/>
      <c r="D21" s="449"/>
      <c r="E21" s="448"/>
      <c r="F21" s="450"/>
      <c r="G21" s="448"/>
      <c r="H21" s="449"/>
      <c r="I21" s="448"/>
      <c r="J21" s="449"/>
      <c r="K21" s="616"/>
      <c r="L21" s="1142"/>
      <c r="M21" s="1133"/>
      <c r="N21" s="1133"/>
      <c r="O21" s="1133"/>
      <c r="P21" s="3276"/>
      <c r="Q21" s="1813"/>
      <c r="R21" s="773"/>
      <c r="S21" s="774"/>
      <c r="T21" s="773"/>
      <c r="U21" s="774"/>
      <c r="V21" s="773"/>
      <c r="W21" s="774"/>
      <c r="X21" s="1816"/>
      <c r="Y21" s="3276"/>
      <c r="Z21" s="1817"/>
      <c r="AA21" s="1814">
        <v>1</v>
      </c>
      <c r="AB21" s="1814">
        <v>1</v>
      </c>
      <c r="AC21" s="1814">
        <v>1</v>
      </c>
    </row>
    <row r="22" spans="1:29" ht="15">
      <c r="A22" s="405"/>
      <c r="B22" s="631" t="s">
        <v>2706</v>
      </c>
      <c r="C22" s="617"/>
      <c r="D22" s="451">
        <v>100</v>
      </c>
      <c r="E22" s="617"/>
      <c r="F22" s="462">
        <f>SUMIF(71:71,E22,72:72)-SUMIF(71:71,C22,72:72)+100</f>
        <v>100</v>
      </c>
      <c r="G22" s="617"/>
      <c r="H22" s="436">
        <f>SUMIF(71:71,G22,72:72)-SUMIF(71:71,C22,72:72)+100</f>
        <v>100</v>
      </c>
      <c r="I22" s="617"/>
      <c r="J22" s="436">
        <f>SUMIF(71:71,I22,72:72)-SUMIF(71:71,C22,72:72)+100</f>
        <v>100</v>
      </c>
      <c r="K22" s="613"/>
      <c r="L22" s="1142"/>
      <c r="M22" s="1133"/>
      <c r="N22" s="1133"/>
      <c r="O22" s="1133"/>
      <c r="P22" s="3276"/>
      <c r="Q22" s="1813" t="str">
        <f>B22</f>
        <v>楼层</v>
      </c>
      <c r="R22" s="773" t="s">
        <v>17</v>
      </c>
      <c r="S22" s="774">
        <f>F22</f>
        <v>100</v>
      </c>
      <c r="T22" s="773" t="s">
        <v>17</v>
      </c>
      <c r="U22" s="774">
        <f>H22</f>
        <v>100</v>
      </c>
      <c r="V22" s="773" t="s">
        <v>17</v>
      </c>
      <c r="W22" s="774">
        <f>J22</f>
        <v>100</v>
      </c>
      <c r="X22" s="1816"/>
      <c r="Y22" s="3276"/>
      <c r="Z22" s="1817" t="str">
        <f>Q22</f>
        <v>楼层</v>
      </c>
      <c r="AA22" s="1814">
        <f t="shared" si="3"/>
        <v>1</v>
      </c>
      <c r="AB22" s="1814">
        <f t="shared" si="4"/>
        <v>1</v>
      </c>
      <c r="AC22" s="1814">
        <f t="shared" si="5"/>
        <v>1</v>
      </c>
    </row>
    <row r="23" spans="1:29" ht="15">
      <c r="A23" s="405"/>
      <c r="B23" s="648">
        <v>111</v>
      </c>
      <c r="C23" s="433"/>
      <c r="D23" s="436">
        <v>100</v>
      </c>
      <c r="E23" s="433"/>
      <c r="F23" s="462">
        <f>SUMIF(73:73,E23,74:74)-SUMIF(73:73,C23,74:74)+100</f>
        <v>100</v>
      </c>
      <c r="G23" s="433"/>
      <c r="H23" s="436">
        <f>SUMIF(73:73,G23,74:74)-SUMIF(73:73,C23,74:74)+100</f>
        <v>100</v>
      </c>
      <c r="I23" s="433"/>
      <c r="J23" s="436">
        <f>SUMIF(73:73,I23,74:74)-SUMIF(73:73,C23,74:74)+100</f>
        <v>100</v>
      </c>
      <c r="K23" s="614"/>
      <c r="L23" s="1142"/>
      <c r="M23" s="1133"/>
      <c r="N23" s="1133"/>
      <c r="O23" s="1133"/>
      <c r="P23" s="3276"/>
      <c r="Q23" s="1813">
        <f>B23</f>
        <v>111</v>
      </c>
      <c r="R23" s="773" t="s">
        <v>17</v>
      </c>
      <c r="S23" s="774">
        <f>F23</f>
        <v>100</v>
      </c>
      <c r="T23" s="773" t="s">
        <v>17</v>
      </c>
      <c r="U23" s="774">
        <f>H23</f>
        <v>100</v>
      </c>
      <c r="V23" s="773" t="s">
        <v>17</v>
      </c>
      <c r="W23" s="774">
        <f>J23</f>
        <v>100</v>
      </c>
      <c r="X23" s="1816"/>
      <c r="Y23" s="3276"/>
      <c r="Z23" s="1817">
        <f>Q23</f>
        <v>111</v>
      </c>
      <c r="AA23" s="1814">
        <f t="shared" si="3"/>
        <v>1</v>
      </c>
      <c r="AB23" s="1814">
        <f t="shared" si="4"/>
        <v>1</v>
      </c>
      <c r="AC23" s="1814">
        <f t="shared" si="5"/>
        <v>1</v>
      </c>
    </row>
    <row r="24" spans="1:29" ht="15">
      <c r="A24" s="405"/>
      <c r="B24" s="648">
        <v>111</v>
      </c>
      <c r="C24" s="433"/>
      <c r="D24" s="436">
        <v>100</v>
      </c>
      <c r="E24" s="433"/>
      <c r="F24" s="462">
        <f>SUMIF(75:75,E24,76:76)-SUMIF(75:75,C24,76:76)+100</f>
        <v>100</v>
      </c>
      <c r="G24" s="433"/>
      <c r="H24" s="436">
        <f>SUMIF(75:75,G24,76:76)-SUMIF(75:75,C24,76:76)+100</f>
        <v>100</v>
      </c>
      <c r="I24" s="433"/>
      <c r="J24" s="436">
        <f>SUMIF(75:75,I24,76:76)-SUMIF(75:75,C24,76:76)+100</f>
        <v>100</v>
      </c>
      <c r="K24" s="614"/>
      <c r="L24" s="1142"/>
      <c r="M24" s="1133"/>
      <c r="N24" s="1133"/>
      <c r="O24" s="1133"/>
      <c r="P24" s="3276"/>
      <c r="Q24" s="1813">
        <f t="shared" ref="Q24:Q36" si="11">B24</f>
        <v>111</v>
      </c>
      <c r="R24" s="773" t="s">
        <v>17</v>
      </c>
      <c r="S24" s="774">
        <f>F24</f>
        <v>100</v>
      </c>
      <c r="T24" s="773" t="s">
        <v>17</v>
      </c>
      <c r="U24" s="774">
        <f>H24</f>
        <v>100</v>
      </c>
      <c r="V24" s="773" t="s">
        <v>17</v>
      </c>
      <c r="W24" s="774">
        <f>J24</f>
        <v>100</v>
      </c>
      <c r="X24" s="1816"/>
      <c r="Y24" s="3276"/>
      <c r="Z24" s="1817">
        <f>Q24</f>
        <v>111</v>
      </c>
      <c r="AA24" s="1814">
        <f t="shared" si="3"/>
        <v>1</v>
      </c>
      <c r="AB24" s="1814">
        <f t="shared" si="4"/>
        <v>1</v>
      </c>
      <c r="AC24" s="1814">
        <f t="shared" si="5"/>
        <v>1</v>
      </c>
    </row>
    <row r="25" spans="1:29" s="117" customFormat="1" ht="15.75" thickBot="1">
      <c r="A25" s="649"/>
      <c r="B25" s="635">
        <v>111</v>
      </c>
      <c r="C25" s="438"/>
      <c r="D25" s="650">
        <v>100</v>
      </c>
      <c r="E25" s="628"/>
      <c r="F25" s="651">
        <f>SUMIF(77:77,E25,78:78)-SUMIF(77:77,C25,78:78)+100</f>
        <v>100</v>
      </c>
      <c r="G25" s="628"/>
      <c r="H25" s="650">
        <f>SUMIF(77:77,G25,78:78)-SUMIF(77:77,C25,78:78)+100</f>
        <v>100</v>
      </c>
      <c r="I25" s="628"/>
      <c r="J25" s="650">
        <f>SUMIF(77:77,I25,78:78)-SUMIF(77:77,C25,78:78)+100</f>
        <v>100</v>
      </c>
      <c r="K25" s="614"/>
      <c r="L25" s="1134"/>
      <c r="M25" s="1135"/>
      <c r="N25" s="1135"/>
      <c r="O25" s="1135"/>
      <c r="P25" s="3276"/>
      <c r="Q25" s="1798">
        <f t="shared" si="11"/>
        <v>111</v>
      </c>
      <c r="R25" s="769" t="s">
        <v>17</v>
      </c>
      <c r="S25" s="770">
        <f>F25</f>
        <v>100</v>
      </c>
      <c r="T25" s="769" t="s">
        <v>17</v>
      </c>
      <c r="U25" s="770">
        <f>H25</f>
        <v>100</v>
      </c>
      <c r="V25" s="769" t="s">
        <v>17</v>
      </c>
      <c r="W25" s="770">
        <f>J25</f>
        <v>100</v>
      </c>
      <c r="X25" s="771"/>
      <c r="Y25" s="3276"/>
      <c r="Z25" s="55">
        <f>Q25</f>
        <v>111</v>
      </c>
      <c r="AA25" s="1814">
        <f>D25/F25</f>
        <v>1</v>
      </c>
      <c r="AB25" s="1814">
        <f>D25/H25</f>
        <v>1</v>
      </c>
      <c r="AC25" s="1814">
        <f>D25/J25</f>
        <v>1</v>
      </c>
    </row>
    <row r="26" spans="1:29" ht="15">
      <c r="A26" s="652" t="s">
        <v>2559</v>
      </c>
      <c r="B26" s="70" t="s">
        <v>2707</v>
      </c>
      <c r="C26" s="2691">
        <f>B1</f>
        <v>0</v>
      </c>
      <c r="D26" s="449">
        <v>100</v>
      </c>
      <c r="E26" s="448"/>
      <c r="F26" s="450">
        <f>SUMIF(79:79,E26,80:80)-SUMIF(79:79,C26,80:80)+100</f>
        <v>100</v>
      </c>
      <c r="G26" s="448"/>
      <c r="H26" s="449">
        <f>SUMIF(79:79,G26,80:80)-SUMIF(79:79,C26,80:80)+100</f>
        <v>100</v>
      </c>
      <c r="I26" s="448"/>
      <c r="J26" s="449">
        <f>SUMIF(79:79,I26,80:80)-SUMIF(79:79,C26,80:80)+100</f>
        <v>100</v>
      </c>
      <c r="K26" s="613"/>
      <c r="L26" s="1142"/>
      <c r="M26" s="1133"/>
      <c r="N26" s="1133"/>
      <c r="O26" s="1133"/>
      <c r="P26" s="3277" t="s">
        <v>2561</v>
      </c>
      <c r="Q26" s="1813" t="str">
        <f t="shared" si="11"/>
        <v>配套类型</v>
      </c>
      <c r="R26" s="773" t="s">
        <v>17</v>
      </c>
      <c r="S26" s="774">
        <f t="shared" ref="S26:S36" si="12">F26</f>
        <v>100</v>
      </c>
      <c r="T26" s="773" t="s">
        <v>17</v>
      </c>
      <c r="U26" s="774">
        <f t="shared" ref="U26:U36" si="13">H26</f>
        <v>100</v>
      </c>
      <c r="V26" s="773" t="s">
        <v>17</v>
      </c>
      <c r="W26" s="774">
        <f t="shared" ref="W26:W36" si="14">J26</f>
        <v>100</v>
      </c>
      <c r="X26" s="1816"/>
      <c r="Y26" s="3278" t="s">
        <v>2561</v>
      </c>
      <c r="Z26" s="1817" t="str">
        <f t="shared" ref="Z26:Z36" si="15">Q26</f>
        <v>配套类型</v>
      </c>
      <c r="AA26" s="1814">
        <f t="shared" si="3"/>
        <v>1</v>
      </c>
      <c r="AB26" s="1814">
        <f t="shared" si="4"/>
        <v>1</v>
      </c>
      <c r="AC26" s="1814">
        <f t="shared" si="5"/>
        <v>1</v>
      </c>
    </row>
    <row r="27" spans="1:29" s="472" customFormat="1" ht="15">
      <c r="A27" s="653"/>
      <c r="B27" s="654" t="s">
        <v>2708</v>
      </c>
      <c r="C27" s="655"/>
      <c r="D27" s="136">
        <v>100</v>
      </c>
      <c r="E27" s="655"/>
      <c r="F27" s="462">
        <f>SUMIF(81:81,E27,82:82)-SUMIF(81:81,C27,82:82)+100</f>
        <v>100</v>
      </c>
      <c r="G27" s="655"/>
      <c r="H27" s="436">
        <f>SUMIF(81:81,G27,82:82)-SUMIF(81:81,C27,82:82)+100</f>
        <v>100</v>
      </c>
      <c r="I27" s="655"/>
      <c r="J27" s="436">
        <f>SUMIF(81:81,I27,82:82)-SUMIF(81:81,C27,82:82)+100</f>
        <v>100</v>
      </c>
      <c r="K27" s="614"/>
      <c r="L27" s="1140"/>
      <c r="M27" s="1143"/>
      <c r="N27" s="1143"/>
      <c r="O27" s="1143"/>
      <c r="P27" s="3278"/>
      <c r="Q27" s="775" t="str">
        <f t="shared" si="11"/>
        <v>项目停车位配比</v>
      </c>
      <c r="R27" s="776" t="s">
        <v>17</v>
      </c>
      <c r="S27" s="777">
        <f t="shared" si="12"/>
        <v>100</v>
      </c>
      <c r="T27" s="776" t="s">
        <v>17</v>
      </c>
      <c r="U27" s="777">
        <f t="shared" si="13"/>
        <v>100</v>
      </c>
      <c r="V27" s="776" t="s">
        <v>17</v>
      </c>
      <c r="W27" s="777">
        <f t="shared" si="14"/>
        <v>100</v>
      </c>
      <c r="X27" s="778"/>
      <c r="Y27" s="3278"/>
      <c r="Z27" s="779" t="str">
        <f t="shared" si="15"/>
        <v>项目停车位配比</v>
      </c>
      <c r="AA27" s="1814">
        <f t="shared" si="3"/>
        <v>1</v>
      </c>
      <c r="AB27" s="1814">
        <f t="shared" si="4"/>
        <v>1</v>
      </c>
      <c r="AC27" s="1814">
        <f t="shared" si="5"/>
        <v>1</v>
      </c>
    </row>
    <row r="28" spans="1:29" ht="15">
      <c r="A28" s="656"/>
      <c r="B28" s="654" t="s">
        <v>2709</v>
      </c>
      <c r="C28" s="461"/>
      <c r="D28" s="436">
        <v>100</v>
      </c>
      <c r="E28" s="461"/>
      <c r="F28" s="462">
        <f>SUMIF(83:83,E28,84:84)-SUMIF(83:83,C28,84:84)+100</f>
        <v>100</v>
      </c>
      <c r="G28" s="461"/>
      <c r="H28" s="436">
        <f>SUMIF(83:83,G28,84:84)-SUMIF(83:83,C28,84:84)+100</f>
        <v>100</v>
      </c>
      <c r="I28" s="461"/>
      <c r="J28" s="436">
        <f>SUMIF(83:83,I28,84:84)-SUMIF(83:83,C28,84:84)+100</f>
        <v>100</v>
      </c>
      <c r="K28" s="613"/>
      <c r="L28" s="1142"/>
      <c r="M28" s="1133"/>
      <c r="N28" s="1133"/>
      <c r="O28" s="1133"/>
      <c r="P28" s="3278"/>
      <c r="Q28" s="1813" t="str">
        <f t="shared" si="11"/>
        <v>公共部分装修</v>
      </c>
      <c r="R28" s="773" t="s">
        <v>17</v>
      </c>
      <c r="S28" s="774">
        <f t="shared" si="12"/>
        <v>100</v>
      </c>
      <c r="T28" s="773" t="s">
        <v>17</v>
      </c>
      <c r="U28" s="774">
        <f t="shared" si="13"/>
        <v>100</v>
      </c>
      <c r="V28" s="773" t="s">
        <v>17</v>
      </c>
      <c r="W28" s="774">
        <f t="shared" si="14"/>
        <v>100</v>
      </c>
      <c r="X28" s="1816"/>
      <c r="Y28" s="3278"/>
      <c r="Z28" s="1817" t="str">
        <f t="shared" si="15"/>
        <v>公共部分装修</v>
      </c>
      <c r="AA28" s="1814">
        <f t="shared" si="3"/>
        <v>1</v>
      </c>
      <c r="AB28" s="1814">
        <f t="shared" si="4"/>
        <v>1</v>
      </c>
      <c r="AC28" s="1814">
        <f t="shared" si="5"/>
        <v>1</v>
      </c>
    </row>
    <row r="29" spans="1:29" ht="15">
      <c r="A29" s="656"/>
      <c r="B29" s="654" t="s">
        <v>2710</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2"/>
      <c r="M29" s="1133"/>
      <c r="N29" s="1133"/>
      <c r="O29" s="1133"/>
      <c r="P29" s="3278"/>
      <c r="Q29" s="1813" t="str">
        <f t="shared" si="11"/>
        <v>成新率</v>
      </c>
      <c r="R29" s="773" t="s">
        <v>17</v>
      </c>
      <c r="S29" s="774" t="e">
        <f t="shared" si="12"/>
        <v>#N/A</v>
      </c>
      <c r="T29" s="773" t="s">
        <v>17</v>
      </c>
      <c r="U29" s="774" t="e">
        <f t="shared" si="13"/>
        <v>#N/A</v>
      </c>
      <c r="V29" s="773" t="s">
        <v>17</v>
      </c>
      <c r="W29" s="774" t="e">
        <f t="shared" si="14"/>
        <v>#N/A</v>
      </c>
      <c r="X29" s="1816"/>
      <c r="Y29" s="3278"/>
      <c r="Z29" s="1817" t="str">
        <f t="shared" si="15"/>
        <v>成新率</v>
      </c>
      <c r="AA29" s="1814" t="e">
        <f t="shared" si="3"/>
        <v>#N/A</v>
      </c>
      <c r="AB29" s="1814" t="e">
        <f t="shared" si="4"/>
        <v>#N/A</v>
      </c>
      <c r="AC29" s="1814" t="e">
        <f t="shared" si="5"/>
        <v>#N/A</v>
      </c>
    </row>
    <row r="30" spans="1:29" ht="15">
      <c r="A30" s="656"/>
      <c r="B30" s="654" t="s">
        <v>2711</v>
      </c>
      <c r="C30" s="657"/>
      <c r="D30" s="436">
        <v>100</v>
      </c>
      <c r="E30" s="657"/>
      <c r="F30" s="462">
        <f>SUMIF(88:88,E30,89:89)-SUMIF(88:88,C30,89:89)+100</f>
        <v>100</v>
      </c>
      <c r="G30" s="657"/>
      <c r="H30" s="436">
        <f>SUMIF(88:88,E30,89:89)-SUMIF(88:88,C30,89:89)+100</f>
        <v>100</v>
      </c>
      <c r="I30" s="657"/>
      <c r="J30" s="436">
        <f>SUMIF(88:88,E30,89:89)-SUMIF(88:88,C30,89:89)+100</f>
        <v>100</v>
      </c>
      <c r="K30" s="613"/>
      <c r="L30" s="1142"/>
      <c r="M30" s="1133"/>
      <c r="N30" s="1133"/>
      <c r="O30" s="1133"/>
      <c r="P30" s="3278"/>
      <c r="Q30" s="1813" t="str">
        <f t="shared" si="11"/>
        <v>物业等级</v>
      </c>
      <c r="R30" s="773" t="s">
        <v>17</v>
      </c>
      <c r="S30" s="774">
        <f t="shared" si="12"/>
        <v>100</v>
      </c>
      <c r="T30" s="773" t="s">
        <v>17</v>
      </c>
      <c r="U30" s="774">
        <f t="shared" si="13"/>
        <v>100</v>
      </c>
      <c r="V30" s="773" t="s">
        <v>17</v>
      </c>
      <c r="W30" s="774">
        <f t="shared" si="14"/>
        <v>100</v>
      </c>
      <c r="X30" s="1816"/>
      <c r="Y30" s="3278"/>
      <c r="Z30" s="1817" t="str">
        <f t="shared" si="15"/>
        <v>物业等级</v>
      </c>
      <c r="AA30" s="1814">
        <f t="shared" si="3"/>
        <v>1</v>
      </c>
      <c r="AB30" s="1814">
        <f t="shared" si="4"/>
        <v>1</v>
      </c>
      <c r="AC30" s="1814">
        <f t="shared" si="5"/>
        <v>1</v>
      </c>
    </row>
    <row r="31" spans="1:29" s="117" customFormat="1" ht="15">
      <c r="A31" s="658"/>
      <c r="B31" s="654" t="s">
        <v>2712</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4"/>
      <c r="M31" s="1135"/>
      <c r="N31" s="1135"/>
      <c r="O31" s="1135"/>
      <c r="P31" s="3278"/>
      <c r="Q31" s="1798" t="str">
        <f t="shared" si="11"/>
        <v>停车位面积</v>
      </c>
      <c r="R31" s="769" t="s">
        <v>17</v>
      </c>
      <c r="S31" s="770" t="e">
        <f t="shared" si="12"/>
        <v>#N/A</v>
      </c>
      <c r="T31" s="769" t="s">
        <v>17</v>
      </c>
      <c r="U31" s="770" t="e">
        <f t="shared" si="13"/>
        <v>#N/A</v>
      </c>
      <c r="V31" s="769" t="s">
        <v>17</v>
      </c>
      <c r="W31" s="770" t="e">
        <f t="shared" si="14"/>
        <v>#N/A</v>
      </c>
      <c r="X31" s="771"/>
      <c r="Y31" s="3278"/>
      <c r="Z31" s="55" t="str">
        <f t="shared" si="15"/>
        <v>停车位面积</v>
      </c>
      <c r="AA31" s="772" t="e">
        <f t="shared" si="3"/>
        <v>#N/A</v>
      </c>
      <c r="AB31" s="772" t="e">
        <f t="shared" si="4"/>
        <v>#N/A</v>
      </c>
      <c r="AC31" s="772" t="e">
        <f t="shared" si="5"/>
        <v>#N/A</v>
      </c>
    </row>
    <row r="32" spans="1:29" ht="15">
      <c r="A32" s="656"/>
      <c r="B32" s="654" t="s">
        <v>2713</v>
      </c>
      <c r="C32" s="461"/>
      <c r="D32" s="436">
        <v>100</v>
      </c>
      <c r="E32" s="461"/>
      <c r="F32" s="462">
        <f>SUMIF(93:93,E32,94:94)-SUMIF(93:93,C32,94:94)+100</f>
        <v>100</v>
      </c>
      <c r="G32" s="461"/>
      <c r="H32" s="436">
        <f>SUMIF(93:93,G32,94:94)-SUMIF(93:93,C32,94:94)+100</f>
        <v>100</v>
      </c>
      <c r="I32" s="461"/>
      <c r="J32" s="436">
        <f>SUMIF(93:93,I32,94:94)-SUMIF(93:93,C32,94:94)+100</f>
        <v>100</v>
      </c>
      <c r="K32" s="613"/>
      <c r="L32" s="1142"/>
      <c r="M32" s="1133"/>
      <c r="N32" s="1133"/>
      <c r="O32" s="1133"/>
      <c r="P32" s="3278" t="s">
        <v>2561</v>
      </c>
      <c r="Q32" s="1813" t="str">
        <f t="shared" si="11"/>
        <v>车位类型</v>
      </c>
      <c r="R32" s="773" t="s">
        <v>17</v>
      </c>
      <c r="S32" s="774">
        <f t="shared" si="12"/>
        <v>100</v>
      </c>
      <c r="T32" s="773" t="s">
        <v>17</v>
      </c>
      <c r="U32" s="774">
        <f t="shared" si="13"/>
        <v>100</v>
      </c>
      <c r="V32" s="773" t="s">
        <v>17</v>
      </c>
      <c r="W32" s="774">
        <f t="shared" si="14"/>
        <v>100</v>
      </c>
      <c r="X32" s="1816"/>
      <c r="Y32" s="3278" t="s">
        <v>2561</v>
      </c>
      <c r="Z32" s="1817" t="str">
        <f t="shared" si="15"/>
        <v>车位类型</v>
      </c>
      <c r="AA32" s="1814">
        <f t="shared" si="3"/>
        <v>1</v>
      </c>
      <c r="AB32" s="1814">
        <f t="shared" si="4"/>
        <v>1</v>
      </c>
      <c r="AC32" s="1814">
        <f t="shared" si="5"/>
        <v>1</v>
      </c>
    </row>
    <row r="33" spans="1:29" ht="15">
      <c r="A33" s="656"/>
      <c r="B33" s="654" t="s">
        <v>2714</v>
      </c>
      <c r="C33" s="461"/>
      <c r="D33" s="436">
        <v>100</v>
      </c>
      <c r="E33" s="461"/>
      <c r="F33" s="462">
        <f>SUMIF(95:95,E33,96:96)-SUMIF(95:95,C33,96:96)+100</f>
        <v>100</v>
      </c>
      <c r="G33" s="461"/>
      <c r="H33" s="436">
        <f>SUMIF(95:95,G33,96:96)-SUMIF(95:95,C33,96:96)+100</f>
        <v>100</v>
      </c>
      <c r="I33" s="461"/>
      <c r="J33" s="436">
        <f>SUMIF(95:95,I33,96:96)-SUMIF(95:95,C33,96:96)+100</f>
        <v>100</v>
      </c>
      <c r="K33" s="613"/>
      <c r="L33" s="1142"/>
      <c r="M33" s="1133"/>
      <c r="N33" s="1133"/>
      <c r="O33" s="1133"/>
      <c r="P33" s="3278"/>
      <c r="Q33" s="1813" t="str">
        <f t="shared" si="11"/>
        <v>是否直接入户</v>
      </c>
      <c r="R33" s="773" t="s">
        <v>17</v>
      </c>
      <c r="S33" s="774">
        <f t="shared" si="12"/>
        <v>100</v>
      </c>
      <c r="T33" s="773" t="s">
        <v>17</v>
      </c>
      <c r="U33" s="774">
        <f t="shared" si="13"/>
        <v>100</v>
      </c>
      <c r="V33" s="773" t="s">
        <v>17</v>
      </c>
      <c r="W33" s="774">
        <f t="shared" si="14"/>
        <v>100</v>
      </c>
      <c r="X33" s="1816"/>
      <c r="Y33" s="3278"/>
      <c r="Z33" s="1817" t="str">
        <f t="shared" si="15"/>
        <v>是否直接入户</v>
      </c>
      <c r="AA33" s="1814">
        <f t="shared" si="3"/>
        <v>1</v>
      </c>
      <c r="AB33" s="1814">
        <f t="shared" si="4"/>
        <v>1</v>
      </c>
      <c r="AC33" s="1814">
        <f t="shared" si="5"/>
        <v>1</v>
      </c>
    </row>
    <row r="34" spans="1:29" ht="15">
      <c r="A34" s="656"/>
      <c r="B34" s="648">
        <v>111</v>
      </c>
      <c r="C34" s="433"/>
      <c r="D34" s="436">
        <v>100</v>
      </c>
      <c r="E34" s="433"/>
      <c r="F34" s="462">
        <f>SUMIF(97:97,E34,98:98)-SUMIF(97:97,C34,98:98)+100</f>
        <v>100</v>
      </c>
      <c r="G34" s="433"/>
      <c r="H34" s="436">
        <f>SUMIF(97:97,G34,98:98)-SUMIF(97:97,C34,98:98)+100</f>
        <v>100</v>
      </c>
      <c r="I34" s="433"/>
      <c r="J34" s="436">
        <f>SUMIF(97:97,I34,98:98)-SUMIF(97:97,C34,98:98)+100</f>
        <v>100</v>
      </c>
      <c r="K34" s="614"/>
      <c r="L34" s="1142"/>
      <c r="M34" s="1133"/>
      <c r="N34" s="1133"/>
      <c r="O34" s="1133"/>
      <c r="P34" s="3278"/>
      <c r="Q34" s="1813">
        <f t="shared" si="11"/>
        <v>111</v>
      </c>
      <c r="R34" s="773" t="s">
        <v>17</v>
      </c>
      <c r="S34" s="774">
        <f t="shared" si="12"/>
        <v>100</v>
      </c>
      <c r="T34" s="773" t="s">
        <v>17</v>
      </c>
      <c r="U34" s="774">
        <f t="shared" si="13"/>
        <v>100</v>
      </c>
      <c r="V34" s="773" t="s">
        <v>17</v>
      </c>
      <c r="W34" s="774">
        <f t="shared" si="14"/>
        <v>100</v>
      </c>
      <c r="X34" s="1816"/>
      <c r="Y34" s="3278"/>
      <c r="Z34" s="1817">
        <f t="shared" si="15"/>
        <v>111</v>
      </c>
      <c r="AA34" s="1814">
        <f t="shared" si="3"/>
        <v>1</v>
      </c>
      <c r="AB34" s="1814">
        <f t="shared" si="4"/>
        <v>1</v>
      </c>
      <c r="AC34" s="1814">
        <f t="shared" si="5"/>
        <v>1</v>
      </c>
    </row>
    <row r="35" spans="1:29" s="472" customFormat="1" ht="15">
      <c r="A35" s="653"/>
      <c r="B35" s="648">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0"/>
      <c r="M35" s="1143"/>
      <c r="N35" s="1143"/>
      <c r="O35" s="1143"/>
      <c r="P35" s="3278"/>
      <c r="Q35" s="775">
        <f t="shared" si="11"/>
        <v>111</v>
      </c>
      <c r="R35" s="776" t="s">
        <v>17</v>
      </c>
      <c r="S35" s="777">
        <f t="shared" si="12"/>
        <v>100</v>
      </c>
      <c r="T35" s="776" t="s">
        <v>17</v>
      </c>
      <c r="U35" s="777">
        <f t="shared" si="13"/>
        <v>100</v>
      </c>
      <c r="V35" s="776" t="s">
        <v>17</v>
      </c>
      <c r="W35" s="777">
        <f t="shared" si="14"/>
        <v>100</v>
      </c>
      <c r="X35" s="778"/>
      <c r="Y35" s="3278"/>
      <c r="Z35" s="779">
        <f t="shared" si="15"/>
        <v>111</v>
      </c>
      <c r="AA35" s="1814">
        <f t="shared" si="3"/>
        <v>1</v>
      </c>
      <c r="AB35" s="1814">
        <f t="shared" si="4"/>
        <v>1</v>
      </c>
      <c r="AC35" s="1814">
        <f t="shared" si="5"/>
        <v>1</v>
      </c>
    </row>
    <row r="36" spans="1:29" ht="15.75" thickBot="1">
      <c r="A36" s="659"/>
      <c r="B36" s="635">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2"/>
      <c r="M36" s="1133"/>
      <c r="N36" s="1133"/>
      <c r="O36" s="1133"/>
      <c r="P36" s="3278"/>
      <c r="Q36" s="1813">
        <f t="shared" si="11"/>
        <v>111</v>
      </c>
      <c r="R36" s="773" t="s">
        <v>17</v>
      </c>
      <c r="S36" s="774">
        <f t="shared" si="12"/>
        <v>100</v>
      </c>
      <c r="T36" s="773" t="s">
        <v>17</v>
      </c>
      <c r="U36" s="774">
        <f t="shared" si="13"/>
        <v>100</v>
      </c>
      <c r="V36" s="773" t="s">
        <v>17</v>
      </c>
      <c r="W36" s="774">
        <f t="shared" si="14"/>
        <v>100</v>
      </c>
      <c r="X36" s="1816"/>
      <c r="Y36" s="3278"/>
      <c r="Z36" s="1817">
        <f t="shared" si="15"/>
        <v>111</v>
      </c>
      <c r="AA36" s="1814">
        <f t="shared" si="3"/>
        <v>1</v>
      </c>
      <c r="AB36" s="1814">
        <f t="shared" si="4"/>
        <v>1</v>
      </c>
      <c r="AC36" s="1814">
        <f t="shared" si="5"/>
        <v>1</v>
      </c>
    </row>
    <row r="37" spans="1:29" ht="15">
      <c r="A37" s="480" t="s">
        <v>2715</v>
      </c>
      <c r="B37" s="2692" t="s">
        <v>2716</v>
      </c>
      <c r="C37" s="1409" t="s">
        <v>1</v>
      </c>
      <c r="D37" s="1410"/>
      <c r="E37" s="1411"/>
      <c r="F37" s="1412"/>
      <c r="G37" s="1413"/>
      <c r="H37" s="1414"/>
      <c r="I37" s="1411"/>
      <c r="J37" s="1414"/>
      <c r="K37" s="619"/>
      <c r="L37" s="1145"/>
      <c r="M37" s="1146"/>
      <c r="N37" s="1133"/>
      <c r="O37" s="1146"/>
      <c r="P37" s="3273" t="str">
        <f>A37</f>
        <v>成交单价</v>
      </c>
      <c r="Q37" s="3273"/>
      <c r="R37" s="3340">
        <f>E37</f>
        <v>0</v>
      </c>
      <c r="S37" s="3340"/>
      <c r="T37" s="3340">
        <f>G37</f>
        <v>0</v>
      </c>
      <c r="U37" s="3340"/>
      <c r="V37" s="3340">
        <f>I37</f>
        <v>0</v>
      </c>
      <c r="W37" s="3340"/>
      <c r="X37" s="758"/>
      <c r="Y37" s="780"/>
      <c r="Z37" s="758"/>
      <c r="AA37" s="758"/>
      <c r="AB37" s="758"/>
      <c r="AC37" s="758"/>
    </row>
    <row r="38" spans="1:29" ht="15.75" thickBot="1">
      <c r="A38" s="487" t="s">
        <v>2717</v>
      </c>
      <c r="B38" s="488" t="str">
        <f>B37</f>
        <v>元/车位</v>
      </c>
      <c r="C38" s="1415" t="e">
        <f>R39</f>
        <v>#DIV/0!</v>
      </c>
      <c r="D38" s="1416"/>
      <c r="E38" s="1417" t="e">
        <f>R38</f>
        <v>#DIV/0!</v>
      </c>
      <c r="F38" s="1417"/>
      <c r="G38" s="1415" t="e">
        <f>T38</f>
        <v>#DIV/0!</v>
      </c>
      <c r="H38" s="1416"/>
      <c r="I38" s="1417" t="e">
        <f>V38</f>
        <v>#DIV/0!</v>
      </c>
      <c r="J38" s="1416"/>
      <c r="K38" s="620"/>
      <c r="L38" s="1145"/>
      <c r="M38" s="1146"/>
      <c r="N38" s="1146"/>
      <c r="O38" s="1146"/>
      <c r="P38" s="3273" t="str">
        <f>A38</f>
        <v>比较价值（元/平方米）</v>
      </c>
      <c r="Q38" s="3273"/>
      <c r="R38" s="3340" t="e">
        <f>IF(F1="售价",ROUND(PRODUCT(R37,AA7:AA36),0),ROUND(PRODUCT(R37,AA7:AA36),1))</f>
        <v>#DIV/0!</v>
      </c>
      <c r="S38" s="3340"/>
      <c r="T38" s="3340" t="e">
        <f>IF(F1="售价",ROUND(PRODUCT(T37,AB7:AB36),0),ROUND(PRODUCT(T37,AB7:AB36),1))</f>
        <v>#DIV/0!</v>
      </c>
      <c r="U38" s="3340"/>
      <c r="V38" s="3340" t="e">
        <f>IF(F1="售价",ROUND(PRODUCT(V37,AC7:AC36),0),ROUND(PRODUCT(V37,AC7:AC36),1))</f>
        <v>#DIV/0!</v>
      </c>
      <c r="W38" s="3340"/>
      <c r="X38" s="758"/>
      <c r="Y38" s="758"/>
      <c r="Z38" s="758"/>
      <c r="AA38" s="758"/>
      <c r="AB38" s="758"/>
      <c r="AC38" s="758"/>
    </row>
    <row r="39" spans="1:29" ht="15.75" thickBot="1">
      <c r="A39" s="493" t="s">
        <v>2718</v>
      </c>
      <c r="B39" s="494"/>
      <c r="C39" s="1419" t="e">
        <f>R39</f>
        <v>#DIV/0!</v>
      </c>
      <c r="D39" s="1419"/>
      <c r="E39" s="1419"/>
      <c r="F39" s="1419"/>
      <c r="G39" s="1419"/>
      <c r="H39" s="1419"/>
      <c r="I39" s="1419"/>
      <c r="J39" s="1419"/>
      <c r="K39" s="621"/>
      <c r="L39" s="1145"/>
      <c r="M39" s="1146"/>
      <c r="N39" s="1146"/>
      <c r="O39" s="1146"/>
      <c r="P39" s="3267" t="str">
        <f>A39</f>
        <v>估价对象XX用房的比较价值（楼面单价，元/平方米）</v>
      </c>
      <c r="Q39" s="3268"/>
      <c r="R39" s="3339" t="e">
        <f>IF(F1="售价",ROUND(AVERAGE(R38:V38),0),ROUND(AVERAGE(R38:V38),1))</f>
        <v>#DIV/0!</v>
      </c>
      <c r="S39" s="3339"/>
      <c r="T39" s="3339"/>
      <c r="U39" s="3339"/>
      <c r="V39" s="3339"/>
      <c r="W39" s="3339"/>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8" t="s">
        <v>2719</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8" t="s">
        <v>2720</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3" customFormat="1" ht="13.5" customHeight="1">
      <c r="A44" s="1147"/>
      <c r="B44" s="1147"/>
      <c r="C44" s="498" t="s">
        <v>2721</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3"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2722</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9" customFormat="1" ht="15">
      <c r="A48" s="506" t="s">
        <v>2723</v>
      </c>
      <c r="B48" s="507"/>
      <c r="C48" s="1577" t="str">
        <f>YEAR(C7)&amp;"-"&amp;MONTH(C7)</f>
        <v>2017-11</v>
      </c>
      <c r="D48" s="1578">
        <f>EDATE(C48,-1)</f>
        <v>43009</v>
      </c>
      <c r="E48" s="1578">
        <f t="shared" ref="E48:O48" si="16">EDATE(D48,-1)</f>
        <v>42979</v>
      </c>
      <c r="F48" s="1578">
        <f t="shared" si="16"/>
        <v>42948</v>
      </c>
      <c r="G48" s="1578">
        <f t="shared" si="16"/>
        <v>42917</v>
      </c>
      <c r="H48" s="1578">
        <f t="shared" si="16"/>
        <v>42887</v>
      </c>
      <c r="I48" s="1578">
        <f t="shared" si="16"/>
        <v>42856</v>
      </c>
      <c r="J48" s="1578">
        <f t="shared" si="16"/>
        <v>42826</v>
      </c>
      <c r="K48" s="1578">
        <f t="shared" si="16"/>
        <v>42795</v>
      </c>
      <c r="L48" s="1578">
        <f t="shared" si="16"/>
        <v>42767</v>
      </c>
      <c r="M48" s="1578">
        <f t="shared" si="16"/>
        <v>42736</v>
      </c>
      <c r="N48" s="1578">
        <f t="shared" si="16"/>
        <v>42705</v>
      </c>
      <c r="O48" s="1578">
        <f t="shared" si="16"/>
        <v>42675</v>
      </c>
      <c r="P48" s="1440"/>
      <c r="Q48" s="1441"/>
      <c r="R48" s="1441"/>
      <c r="S48" s="1441"/>
      <c r="T48" s="1441"/>
      <c r="U48" s="1441"/>
      <c r="V48" s="1441"/>
      <c r="W48" s="1441"/>
      <c r="X48" s="1441"/>
      <c r="Y48" s="1441"/>
      <c r="Z48" s="1441"/>
      <c r="AA48" s="1441"/>
      <c r="AB48" s="1441"/>
      <c r="AC48" s="1441"/>
    </row>
    <row r="49" spans="1:29" s="117" customFormat="1" ht="15">
      <c r="A49" s="510"/>
      <c r="B49" s="511"/>
      <c r="C49" s="1569">
        <v>100</v>
      </c>
      <c r="D49" s="513"/>
      <c r="E49" s="513"/>
      <c r="F49" s="513"/>
      <c r="G49" s="513"/>
      <c r="H49" s="513"/>
      <c r="I49" s="513"/>
      <c r="J49" s="513"/>
      <c r="K49" s="513"/>
      <c r="L49" s="513"/>
      <c r="M49" s="514"/>
      <c r="N49" s="513"/>
      <c r="O49" s="514"/>
      <c r="P49" s="1430"/>
      <c r="Q49" s="1429"/>
      <c r="R49" s="1429"/>
      <c r="S49" s="1429"/>
      <c r="T49" s="1429"/>
      <c r="U49" s="1429"/>
      <c r="V49" s="1429"/>
      <c r="W49" s="1429"/>
      <c r="X49" s="1429"/>
      <c r="Y49" s="1429"/>
      <c r="Z49" s="1429"/>
      <c r="AA49" s="1429"/>
      <c r="AB49" s="1429"/>
      <c r="AC49" s="1429"/>
    </row>
    <row r="50" spans="1:29" s="117" customFormat="1" ht="15.75" thickBot="1">
      <c r="A50" s="516" t="s">
        <v>2581</v>
      </c>
      <c r="B50" s="517"/>
      <c r="C50" s="518"/>
      <c r="D50" s="519"/>
      <c r="E50" s="519"/>
      <c r="F50" s="519"/>
      <c r="G50" s="519"/>
      <c r="H50" s="519"/>
      <c r="I50" s="519"/>
      <c r="J50" s="519"/>
      <c r="K50" s="519"/>
      <c r="L50" s="519"/>
      <c r="M50" s="520"/>
      <c r="N50" s="519"/>
      <c r="O50" s="520"/>
      <c r="P50" s="1430"/>
      <c r="Q50" s="1425"/>
      <c r="R50" s="1429"/>
      <c r="S50" s="1429"/>
      <c r="T50" s="1429"/>
      <c r="U50" s="1429"/>
      <c r="V50" s="1429"/>
      <c r="W50" s="1429"/>
      <c r="X50" s="1429"/>
      <c r="Y50" s="1429"/>
      <c r="Z50" s="1429"/>
      <c r="AA50" s="1429"/>
      <c r="AB50" s="1429"/>
      <c r="AC50" s="1429"/>
    </row>
    <row r="51" spans="1:29" s="117" customFormat="1" ht="15">
      <c r="A51" s="522" t="s">
        <v>2546</v>
      </c>
      <c r="B51" s="511"/>
      <c r="C51" s="523" t="s">
        <v>2648</v>
      </c>
      <c r="D51" s="524"/>
      <c r="E51" s="524"/>
      <c r="F51" s="524"/>
      <c r="G51" s="524"/>
      <c r="H51" s="524"/>
      <c r="I51" s="524"/>
      <c r="J51" s="524"/>
      <c r="K51" s="524"/>
      <c r="L51" s="525"/>
      <c r="M51" s="526"/>
      <c r="N51" s="1153"/>
      <c r="O51" s="1153"/>
      <c r="P51" s="1428"/>
      <c r="Q51" s="1425"/>
      <c r="R51" s="1429"/>
      <c r="S51" s="1429"/>
      <c r="T51" s="1429"/>
      <c r="U51" s="1429"/>
      <c r="V51" s="1429"/>
      <c r="W51" s="1429"/>
      <c r="X51" s="1429"/>
      <c r="Y51" s="1429"/>
      <c r="Z51" s="1429"/>
      <c r="AA51" s="1429"/>
      <c r="AB51" s="1429"/>
      <c r="AC51" s="1429"/>
    </row>
    <row r="52" spans="1:29" s="117" customFormat="1" ht="15.75" thickBot="1">
      <c r="A52" s="522"/>
      <c r="B52" s="511"/>
      <c r="C52" s="639">
        <v>100</v>
      </c>
      <c r="D52" s="513"/>
      <c r="E52" s="513"/>
      <c r="F52" s="513"/>
      <c r="G52" s="513"/>
      <c r="H52" s="513"/>
      <c r="I52" s="513"/>
      <c r="J52" s="513"/>
      <c r="K52" s="513"/>
      <c r="L52" s="513"/>
      <c r="M52" s="515"/>
      <c r="N52" s="1153"/>
      <c r="O52" s="1153"/>
      <c r="P52" s="1430"/>
      <c r="Q52" s="1425"/>
      <c r="R52" s="1429"/>
      <c r="S52" s="1429"/>
      <c r="T52" s="1429"/>
      <c r="U52" s="1429"/>
      <c r="V52" s="1429"/>
      <c r="W52" s="1429"/>
      <c r="X52" s="1429"/>
      <c r="Y52" s="1429"/>
      <c r="Z52" s="1429"/>
      <c r="AA52" s="1429"/>
      <c r="AB52" s="1429"/>
      <c r="AC52" s="1429"/>
    </row>
    <row r="53" spans="1:29">
      <c r="A53" s="528" t="s">
        <v>2584</v>
      </c>
      <c r="B53" s="529" t="s">
        <v>2550</v>
      </c>
      <c r="C53" s="530">
        <f>C9</f>
        <v>0</v>
      </c>
      <c r="D53" s="531"/>
      <c r="E53" s="531"/>
      <c r="F53" s="531"/>
      <c r="G53" s="531"/>
      <c r="H53" s="531"/>
      <c r="I53" s="531"/>
      <c r="J53" s="531"/>
      <c r="K53" s="532"/>
      <c r="L53" s="533"/>
      <c r="M53" s="534"/>
      <c r="N53" s="1154"/>
      <c r="O53" s="1154"/>
      <c r="P53" s="1431"/>
      <c r="Q53" s="1425"/>
      <c r="R53" s="1146"/>
      <c r="S53" s="1146"/>
      <c r="T53" s="1146"/>
      <c r="U53" s="1146"/>
      <c r="V53" s="1146"/>
      <c r="W53" s="1146"/>
      <c r="X53" s="1146"/>
      <c r="Y53" s="1146"/>
      <c r="Z53" s="1146"/>
      <c r="AA53" s="1146"/>
      <c r="AB53" s="1146"/>
      <c r="AC53" s="1146"/>
    </row>
    <row r="54" spans="1:29" ht="15.75" thickBot="1">
      <c r="A54" s="535"/>
      <c r="B54" s="536"/>
      <c r="C54" s="537">
        <v>100</v>
      </c>
      <c r="D54" s="537"/>
      <c r="E54" s="537"/>
      <c r="F54" s="537"/>
      <c r="G54" s="537"/>
      <c r="H54" s="537"/>
      <c r="I54" s="537"/>
      <c r="J54" s="537"/>
      <c r="K54" s="537"/>
      <c r="L54" s="537"/>
      <c r="M54" s="538"/>
      <c r="N54" s="1155"/>
      <c r="O54" s="1155"/>
      <c r="P54" s="1431"/>
      <c r="Q54" s="1425"/>
      <c r="R54" s="1146"/>
      <c r="S54" s="1146"/>
      <c r="T54" s="1146"/>
      <c r="U54" s="1146"/>
      <c r="V54" s="1146"/>
      <c r="W54" s="1146"/>
      <c r="X54" s="1146"/>
      <c r="Y54" s="1146"/>
      <c r="Z54" s="1146"/>
      <c r="AA54" s="1146"/>
      <c r="AB54" s="1146"/>
      <c r="AC54" s="1146"/>
    </row>
    <row r="55" spans="1:29" ht="27.75" thickTop="1">
      <c r="A55" s="535"/>
      <c r="B55" s="539" t="s">
        <v>2553</v>
      </c>
      <c r="C55" s="540" t="s">
        <v>2585</v>
      </c>
      <c r="D55" s="540" t="s">
        <v>2586</v>
      </c>
      <c r="E55" s="540" t="s">
        <v>2587</v>
      </c>
      <c r="F55" s="540" t="s">
        <v>2588</v>
      </c>
      <c r="G55" s="540" t="s">
        <v>2589</v>
      </c>
      <c r="H55" s="540" t="s">
        <v>2590</v>
      </c>
      <c r="I55" s="540" t="s">
        <v>2591</v>
      </c>
      <c r="J55" s="540"/>
      <c r="K55" s="541"/>
      <c r="L55" s="542"/>
      <c r="M55" s="543"/>
      <c r="N55" s="1154"/>
      <c r="O55" s="1154"/>
      <c r="P55" s="1431"/>
      <c r="Q55" s="1425"/>
      <c r="R55" s="1146"/>
      <c r="S55" s="1146"/>
      <c r="T55" s="1146"/>
      <c r="U55" s="1146"/>
      <c r="V55" s="1146"/>
      <c r="W55" s="1146"/>
      <c r="X55" s="1146"/>
      <c r="Y55" s="1146"/>
      <c r="Z55" s="1146"/>
      <c r="AA55" s="1146"/>
      <c r="AB55" s="1146"/>
      <c r="AC55" s="1146"/>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5"/>
      <c r="O56" s="1155"/>
      <c r="P56" s="1431"/>
      <c r="Q56" s="1425"/>
      <c r="R56" s="1146"/>
      <c r="S56" s="1146"/>
      <c r="T56" s="1146"/>
      <c r="U56" s="1146"/>
      <c r="V56" s="1146"/>
      <c r="W56" s="1146"/>
      <c r="X56" s="1146"/>
      <c r="Y56" s="1146"/>
      <c r="Z56" s="1146"/>
      <c r="AA56" s="1146"/>
      <c r="AB56" s="1146"/>
      <c r="AC56" s="1146"/>
    </row>
    <row r="57" spans="1:29" ht="15.75" thickTop="1">
      <c r="A57" s="535"/>
      <c r="B57" s="660">
        <f>B11</f>
        <v>111</v>
      </c>
      <c r="C57" s="550"/>
      <c r="D57" s="550"/>
      <c r="E57" s="550"/>
      <c r="F57" s="550"/>
      <c r="G57" s="550"/>
      <c r="H57" s="550"/>
      <c r="I57" s="550"/>
      <c r="J57" s="550"/>
      <c r="K57" s="551"/>
      <c r="L57" s="552"/>
      <c r="M57" s="553"/>
      <c r="N57" s="1154"/>
      <c r="O57" s="1154"/>
      <c r="P57" s="1431"/>
      <c r="Q57" s="1425"/>
      <c r="R57" s="1146"/>
      <c r="S57" s="1146"/>
      <c r="T57" s="1146"/>
      <c r="U57" s="1146"/>
      <c r="V57" s="1146"/>
      <c r="W57" s="1146"/>
      <c r="X57" s="1146"/>
      <c r="Y57" s="1146"/>
      <c r="Z57" s="1146"/>
      <c r="AA57" s="1146"/>
      <c r="AB57" s="1146"/>
      <c r="AC57" s="1146"/>
    </row>
    <row r="58" spans="1:29" ht="15.75" thickBot="1">
      <c r="A58" s="535"/>
      <c r="B58" s="536"/>
      <c r="C58" s="561"/>
      <c r="D58" s="537"/>
      <c r="E58" s="537"/>
      <c r="F58" s="537"/>
      <c r="G58" s="537"/>
      <c r="H58" s="537"/>
      <c r="I58" s="537"/>
      <c r="J58" s="537"/>
      <c r="K58" s="537"/>
      <c r="L58" s="537"/>
      <c r="M58" s="538"/>
      <c r="N58" s="1155"/>
      <c r="O58" s="1155"/>
      <c r="P58" s="1431"/>
      <c r="Q58" s="1425"/>
      <c r="R58" s="1146"/>
      <c r="S58" s="1146"/>
      <c r="T58" s="1146"/>
      <c r="U58" s="1146"/>
      <c r="V58" s="1146"/>
      <c r="W58" s="1146"/>
      <c r="X58" s="1146"/>
      <c r="Y58" s="1146"/>
      <c r="Z58" s="1146"/>
      <c r="AA58" s="1146"/>
      <c r="AB58" s="1146"/>
      <c r="AC58" s="1146"/>
    </row>
    <row r="59" spans="1:29" s="472" customFormat="1" ht="15.75" thickTop="1">
      <c r="A59" s="554"/>
      <c r="B59" s="539">
        <f>B12</f>
        <v>111</v>
      </c>
      <c r="C59" s="550"/>
      <c r="D59" s="550"/>
      <c r="E59" s="550"/>
      <c r="F59" s="550"/>
      <c r="G59" s="555"/>
      <c r="H59" s="556"/>
      <c r="I59" s="556"/>
      <c r="J59" s="556"/>
      <c r="K59" s="556"/>
      <c r="L59" s="557"/>
      <c r="M59" s="558"/>
      <c r="N59" s="1156"/>
      <c r="O59" s="1156"/>
      <c r="P59" s="1432"/>
      <c r="Q59" s="1433"/>
      <c r="R59" s="1434"/>
      <c r="S59" s="1434"/>
      <c r="T59" s="1434"/>
      <c r="U59" s="1434"/>
      <c r="V59" s="1434"/>
      <c r="W59" s="1434"/>
      <c r="X59" s="1434"/>
      <c r="Y59" s="1434"/>
      <c r="Z59" s="1434"/>
      <c r="AA59" s="1434"/>
      <c r="AB59" s="1434"/>
      <c r="AC59" s="1434"/>
    </row>
    <row r="60" spans="1:29" s="472" customFormat="1" ht="15.75" thickBot="1">
      <c r="A60" s="554"/>
      <c r="B60" s="544"/>
      <c r="C60" s="561"/>
      <c r="D60" s="537"/>
      <c r="E60" s="537"/>
      <c r="F60" s="537"/>
      <c r="G60" s="537"/>
      <c r="H60" s="537"/>
      <c r="I60" s="537"/>
      <c r="J60" s="537"/>
      <c r="K60" s="537"/>
      <c r="L60" s="537"/>
      <c r="M60" s="538"/>
      <c r="N60" s="1155"/>
      <c r="O60" s="1155"/>
      <c r="P60" s="1432"/>
      <c r="Q60" s="1433"/>
      <c r="R60" s="1434"/>
      <c r="S60" s="1434"/>
      <c r="T60" s="1434"/>
      <c r="U60" s="1434"/>
      <c r="V60" s="1434"/>
      <c r="W60" s="1434"/>
      <c r="X60" s="1434"/>
      <c r="Y60" s="1434"/>
      <c r="Z60" s="1434"/>
      <c r="AA60" s="1434"/>
      <c r="AB60" s="1434"/>
      <c r="AC60" s="1434"/>
    </row>
    <row r="61" spans="1:29" s="472" customFormat="1" ht="15.75" thickTop="1">
      <c r="A61" s="554"/>
      <c r="B61" s="539">
        <f>B13</f>
        <v>111</v>
      </c>
      <c r="C61" s="555"/>
      <c r="D61" s="555"/>
      <c r="E61" s="555"/>
      <c r="F61" s="555"/>
      <c r="G61" s="555"/>
      <c r="H61" s="556"/>
      <c r="I61" s="556"/>
      <c r="J61" s="556"/>
      <c r="K61" s="556"/>
      <c r="L61" s="557"/>
      <c r="M61" s="558"/>
      <c r="N61" s="1156"/>
      <c r="O61" s="1156"/>
      <c r="P61" s="1435"/>
      <c r="Q61" s="1436"/>
      <c r="R61" s="1434"/>
      <c r="S61" s="1434"/>
      <c r="T61" s="1434"/>
      <c r="U61" s="1434"/>
      <c r="V61" s="1434"/>
      <c r="W61" s="1434"/>
      <c r="X61" s="1434"/>
      <c r="Y61" s="1434"/>
      <c r="Z61" s="1434"/>
      <c r="AA61" s="1434"/>
      <c r="AB61" s="1434"/>
      <c r="AC61" s="1434"/>
    </row>
    <row r="62" spans="1:29" s="472" customFormat="1" ht="15.75" thickBot="1">
      <c r="A62" s="554"/>
      <c r="B62" s="544"/>
      <c r="C62" s="561"/>
      <c r="D62" s="561"/>
      <c r="E62" s="561"/>
      <c r="F62" s="561"/>
      <c r="G62" s="561"/>
      <c r="H62" s="563"/>
      <c r="I62" s="563"/>
      <c r="J62" s="563"/>
      <c r="K62" s="563"/>
      <c r="L62" s="563"/>
      <c r="M62" s="564"/>
      <c r="N62" s="1156"/>
      <c r="O62" s="1156"/>
      <c r="P62" s="1432"/>
      <c r="Q62" s="1433"/>
      <c r="R62" s="1434"/>
      <c r="S62" s="1434"/>
      <c r="T62" s="1434"/>
      <c r="U62" s="1434"/>
      <c r="V62" s="1434"/>
      <c r="W62" s="1434"/>
      <c r="X62" s="1434"/>
      <c r="Y62" s="1434"/>
      <c r="Z62" s="1434"/>
      <c r="AA62" s="1434"/>
      <c r="AB62" s="1434"/>
      <c r="AC62" s="1434"/>
    </row>
    <row r="63" spans="1:29" ht="15" thickTop="1">
      <c r="A63" s="528" t="s">
        <v>2555</v>
      </c>
      <c r="B63" s="529" t="s">
        <v>2598</v>
      </c>
      <c r="C63" s="574" t="s">
        <v>2593</v>
      </c>
      <c r="D63" s="574" t="s">
        <v>2594</v>
      </c>
      <c r="E63" s="574" t="s">
        <v>2595</v>
      </c>
      <c r="F63" s="574" t="s">
        <v>2596</v>
      </c>
      <c r="G63" s="574" t="s">
        <v>2597</v>
      </c>
      <c r="H63" s="530"/>
      <c r="I63" s="530"/>
      <c r="J63" s="530"/>
      <c r="K63" s="575"/>
      <c r="L63" s="576"/>
      <c r="M63" s="577"/>
      <c r="N63" s="1154"/>
      <c r="O63" s="1154"/>
      <c r="P63" s="1437"/>
      <c r="Q63" s="1425"/>
      <c r="R63" s="1146"/>
      <c r="S63" s="1146"/>
      <c r="T63" s="1146"/>
      <c r="U63" s="1146"/>
      <c r="V63" s="1146"/>
      <c r="W63" s="1146"/>
      <c r="X63" s="1146"/>
      <c r="Y63" s="1146"/>
      <c r="Z63" s="1146"/>
      <c r="AA63" s="1146"/>
      <c r="AB63" s="1146"/>
      <c r="AC63" s="1146"/>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5"/>
      <c r="O64" s="1155"/>
      <c r="P64" s="1431"/>
      <c r="Q64" s="1425"/>
      <c r="R64" s="1146"/>
      <c r="S64" s="1146"/>
      <c r="T64" s="1146"/>
      <c r="U64" s="1146"/>
      <c r="V64" s="1146"/>
      <c r="W64" s="1146"/>
      <c r="X64" s="1146"/>
      <c r="Y64" s="1146"/>
      <c r="Z64" s="1146"/>
      <c r="AA64" s="1146"/>
      <c r="AB64" s="1146"/>
      <c r="AC64" s="1146"/>
    </row>
    <row r="65" spans="1:29" ht="15.75" thickTop="1">
      <c r="A65" s="535"/>
      <c r="B65" s="539" t="s">
        <v>2599</v>
      </c>
      <c r="C65" s="579" t="s">
        <v>2593</v>
      </c>
      <c r="D65" s="579" t="s">
        <v>2594</v>
      </c>
      <c r="E65" s="579" t="s">
        <v>2595</v>
      </c>
      <c r="F65" s="579" t="s">
        <v>2596</v>
      </c>
      <c r="G65" s="579" t="s">
        <v>2597</v>
      </c>
      <c r="H65" s="540"/>
      <c r="I65" s="540"/>
      <c r="J65" s="540"/>
      <c r="K65" s="541"/>
      <c r="L65" s="542"/>
      <c r="M65" s="543"/>
      <c r="N65" s="1154"/>
      <c r="O65" s="1154"/>
      <c r="P65" s="1431"/>
      <c r="Q65" s="1425"/>
      <c r="R65" s="1146"/>
      <c r="S65" s="1146"/>
      <c r="T65" s="1146"/>
      <c r="U65" s="1146"/>
      <c r="V65" s="1146"/>
      <c r="W65" s="1146"/>
      <c r="X65" s="1146"/>
      <c r="Y65" s="1146"/>
      <c r="Z65" s="1146"/>
      <c r="AA65" s="1146"/>
      <c r="AB65" s="1146"/>
      <c r="AC65" s="1146"/>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5"/>
      <c r="O66" s="1155"/>
      <c r="P66" s="1431"/>
      <c r="Q66" s="1425"/>
      <c r="R66" s="1146"/>
      <c r="S66" s="1146"/>
      <c r="T66" s="1146"/>
      <c r="U66" s="1146"/>
      <c r="V66" s="1146"/>
      <c r="W66" s="1146"/>
      <c r="X66" s="1146"/>
      <c r="Y66" s="1146"/>
      <c r="Z66" s="1146"/>
      <c r="AA66" s="1146"/>
      <c r="AB66" s="1146"/>
      <c r="AC66" s="1146"/>
    </row>
    <row r="67" spans="1:29" ht="15.75" thickTop="1">
      <c r="A67" s="535"/>
      <c r="B67" s="547" t="s">
        <v>2684</v>
      </c>
      <c r="C67" s="660" t="s">
        <v>2670</v>
      </c>
      <c r="D67" s="660" t="s">
        <v>2671</v>
      </c>
      <c r="E67" s="660" t="s">
        <v>2672</v>
      </c>
      <c r="F67" s="660" t="s">
        <v>2673</v>
      </c>
      <c r="G67" s="660" t="s">
        <v>2674</v>
      </c>
      <c r="H67" s="540"/>
      <c r="I67" s="540"/>
      <c r="J67" s="540"/>
      <c r="K67" s="540"/>
      <c r="L67" s="540"/>
      <c r="M67" s="1384"/>
      <c r="N67" s="1155"/>
      <c r="O67" s="1155"/>
      <c r="P67" s="1431"/>
      <c r="Q67" s="1425"/>
      <c r="R67" s="1146"/>
      <c r="S67" s="1146"/>
      <c r="T67" s="1146"/>
      <c r="U67" s="1146"/>
      <c r="V67" s="1146"/>
      <c r="W67" s="1146"/>
      <c r="X67" s="1146"/>
      <c r="Y67" s="1146"/>
      <c r="Z67" s="1146"/>
      <c r="AA67" s="1146"/>
      <c r="AB67" s="1146"/>
      <c r="AC67" s="1146"/>
    </row>
    <row r="68" spans="1:29" ht="15.75" thickBot="1">
      <c r="A68" s="535"/>
      <c r="B68" s="547"/>
      <c r="C68" s="545">
        <v>100</v>
      </c>
      <c r="D68" s="545">
        <f>C68-$K18</f>
        <v>100</v>
      </c>
      <c r="E68" s="545">
        <f>D68-$K18</f>
        <v>100</v>
      </c>
      <c r="F68" s="545">
        <f>E68-$K18</f>
        <v>100</v>
      </c>
      <c r="G68" s="545">
        <f>F68-$K18</f>
        <v>100</v>
      </c>
      <c r="H68" s="660"/>
      <c r="I68" s="660"/>
      <c r="J68" s="660"/>
      <c r="K68" s="660"/>
      <c r="L68" s="660"/>
      <c r="M68" s="451"/>
      <c r="N68" s="1155"/>
      <c r="O68" s="1155"/>
      <c r="P68" s="1431"/>
      <c r="Q68" s="1425"/>
      <c r="R68" s="1146"/>
      <c r="S68" s="1146"/>
      <c r="T68" s="1146"/>
      <c r="U68" s="1146"/>
      <c r="V68" s="1146"/>
      <c r="W68" s="1146"/>
      <c r="X68" s="1146"/>
      <c r="Y68" s="1146"/>
      <c r="Z68" s="1146"/>
      <c r="AA68" s="1146"/>
      <c r="AB68" s="1146"/>
      <c r="AC68" s="1146"/>
    </row>
    <row r="69" spans="1:29" ht="15.75" thickTop="1">
      <c r="A69" s="535"/>
      <c r="B69" s="539" t="s">
        <v>2605</v>
      </c>
      <c r="C69" s="579" t="s">
        <v>2593</v>
      </c>
      <c r="D69" s="579" t="s">
        <v>2594</v>
      </c>
      <c r="E69" s="579" t="s">
        <v>2595</v>
      </c>
      <c r="F69" s="579" t="s">
        <v>2596</v>
      </c>
      <c r="G69" s="579" t="s">
        <v>2597</v>
      </c>
      <c r="H69" s="540"/>
      <c r="I69" s="540"/>
      <c r="J69" s="540"/>
      <c r="K69" s="541"/>
      <c r="L69" s="542"/>
      <c r="M69" s="543"/>
      <c r="N69" s="1154"/>
      <c r="O69" s="1154"/>
      <c r="P69" s="1431"/>
      <c r="Q69" s="1425"/>
      <c r="R69" s="1146"/>
      <c r="S69" s="1146"/>
      <c r="T69" s="1146"/>
      <c r="U69" s="1146"/>
      <c r="V69" s="1146"/>
      <c r="W69" s="1146"/>
      <c r="X69" s="1146"/>
      <c r="Y69" s="1146"/>
      <c r="Z69" s="1146"/>
      <c r="AA69" s="1146"/>
      <c r="AB69" s="1146"/>
      <c r="AC69" s="1146"/>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5"/>
      <c r="O70" s="1155"/>
      <c r="P70" s="1431"/>
      <c r="Q70" s="1425"/>
      <c r="R70" s="1146"/>
      <c r="S70" s="1146"/>
      <c r="T70" s="1146"/>
      <c r="U70" s="1146"/>
      <c r="V70" s="1146"/>
      <c r="W70" s="1146"/>
      <c r="X70" s="1146"/>
      <c r="Y70" s="1146"/>
      <c r="Z70" s="1146"/>
      <c r="AA70" s="1146"/>
      <c r="AB70" s="1146"/>
      <c r="AC70" s="1146"/>
    </row>
    <row r="71" spans="1:29" ht="15.75" thickTop="1">
      <c r="A71" s="535"/>
      <c r="B71" s="539" t="s">
        <v>2724</v>
      </c>
      <c r="C71" s="555"/>
      <c r="D71" s="555"/>
      <c r="E71" s="555"/>
      <c r="F71" s="555"/>
      <c r="G71" s="555"/>
      <c r="H71" s="584"/>
      <c r="I71" s="584"/>
      <c r="J71" s="584"/>
      <c r="K71" s="585"/>
      <c r="L71" s="586"/>
      <c r="M71" s="587"/>
      <c r="N71" s="1154"/>
      <c r="O71" s="1154"/>
      <c r="P71" s="1431"/>
      <c r="Q71" s="1425"/>
      <c r="R71" s="1146"/>
      <c r="S71" s="1146"/>
      <c r="T71" s="1146"/>
      <c r="U71" s="1146"/>
      <c r="V71" s="1146"/>
      <c r="W71" s="1146"/>
      <c r="X71" s="1146"/>
      <c r="Y71" s="1146"/>
      <c r="Z71" s="1146"/>
      <c r="AA71" s="1146"/>
      <c r="AB71" s="1146"/>
      <c r="AC71" s="1146"/>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5"/>
      <c r="O72" s="1155"/>
      <c r="P72" s="1431"/>
      <c r="Q72" s="1425"/>
      <c r="R72" s="1146"/>
      <c r="S72" s="1146"/>
      <c r="T72" s="1146"/>
      <c r="U72" s="1146"/>
      <c r="V72" s="1146"/>
      <c r="W72" s="1146"/>
      <c r="X72" s="1146"/>
      <c r="Y72" s="1146"/>
      <c r="Z72" s="1146"/>
      <c r="AA72" s="1146"/>
      <c r="AB72" s="1146"/>
      <c r="AC72" s="1146"/>
    </row>
    <row r="73" spans="1:29" s="117" customFormat="1" ht="15.75" thickTop="1">
      <c r="A73" s="580"/>
      <c r="B73" s="539">
        <f>B23</f>
        <v>111</v>
      </c>
      <c r="C73" s="550"/>
      <c r="D73" s="550"/>
      <c r="E73" s="550"/>
      <c r="F73" s="550"/>
      <c r="G73" s="555"/>
      <c r="H73" s="555"/>
      <c r="I73" s="555"/>
      <c r="J73" s="555"/>
      <c r="K73" s="555"/>
      <c r="L73" s="581"/>
      <c r="M73" s="582"/>
      <c r="N73" s="1153"/>
      <c r="O73" s="1153"/>
      <c r="P73" s="1431"/>
      <c r="Q73" s="1425"/>
      <c r="R73" s="1429"/>
      <c r="S73" s="1429"/>
      <c r="T73" s="1429"/>
      <c r="U73" s="1429"/>
      <c r="V73" s="1429"/>
      <c r="W73" s="1429"/>
      <c r="X73" s="1429"/>
      <c r="Y73" s="1429"/>
      <c r="Z73" s="1429"/>
      <c r="AA73" s="1429"/>
      <c r="AB73" s="1429"/>
      <c r="AC73" s="1429"/>
    </row>
    <row r="74" spans="1:29" s="117" customFormat="1" ht="15.75" thickBot="1">
      <c r="A74" s="580"/>
      <c r="B74" s="544"/>
      <c r="C74" s="561"/>
      <c r="D74" s="537"/>
      <c r="E74" s="537"/>
      <c r="F74" s="537"/>
      <c r="G74" s="537"/>
      <c r="H74" s="537"/>
      <c r="I74" s="537"/>
      <c r="J74" s="537"/>
      <c r="K74" s="537"/>
      <c r="L74" s="537"/>
      <c r="M74" s="538"/>
      <c r="N74" s="1155"/>
      <c r="O74" s="1155"/>
      <c r="P74" s="1431"/>
      <c r="Q74" s="1425"/>
      <c r="R74" s="1429"/>
      <c r="S74" s="1429"/>
      <c r="T74" s="1429"/>
      <c r="U74" s="1429"/>
      <c r="V74" s="1429"/>
      <c r="W74" s="1429"/>
      <c r="X74" s="1429"/>
      <c r="Y74" s="1429"/>
      <c r="Z74" s="1429"/>
      <c r="AA74" s="1429"/>
      <c r="AB74" s="1429"/>
      <c r="AC74" s="1429"/>
    </row>
    <row r="75" spans="1:29" s="117" customFormat="1" ht="15.75" thickTop="1">
      <c r="A75" s="580"/>
      <c r="B75" s="539">
        <f>B24</f>
        <v>111</v>
      </c>
      <c r="C75" s="550"/>
      <c r="D75" s="550"/>
      <c r="E75" s="550"/>
      <c r="F75" s="550"/>
      <c r="G75" s="555"/>
      <c r="H75" s="555"/>
      <c r="I75" s="555"/>
      <c r="J75" s="555"/>
      <c r="K75" s="555"/>
      <c r="L75" s="555"/>
      <c r="M75" s="582"/>
      <c r="N75" s="1153"/>
      <c r="O75" s="1153"/>
      <c r="P75" s="1431"/>
      <c r="Q75" s="1425"/>
      <c r="R75" s="1429"/>
      <c r="S75" s="1429"/>
      <c r="T75" s="1429"/>
      <c r="U75" s="1429"/>
      <c r="V75" s="1429"/>
      <c r="W75" s="1429"/>
      <c r="X75" s="1429"/>
      <c r="Y75" s="1429"/>
      <c r="Z75" s="1429"/>
      <c r="AA75" s="1429"/>
      <c r="AB75" s="1429"/>
      <c r="AC75" s="1429"/>
    </row>
    <row r="76" spans="1:29" s="117" customFormat="1" ht="15.75" thickBot="1">
      <c r="A76" s="580"/>
      <c r="B76" s="544"/>
      <c r="C76" s="561"/>
      <c r="D76" s="537"/>
      <c r="E76" s="537"/>
      <c r="F76" s="537"/>
      <c r="G76" s="537"/>
      <c r="H76" s="537"/>
      <c r="I76" s="537"/>
      <c r="J76" s="537"/>
      <c r="K76" s="537"/>
      <c r="L76" s="537"/>
      <c r="M76" s="538"/>
      <c r="N76" s="1155"/>
      <c r="O76" s="1155"/>
      <c r="P76" s="1431"/>
      <c r="Q76" s="1425"/>
      <c r="R76" s="1429"/>
      <c r="S76" s="1429"/>
      <c r="T76" s="1429"/>
      <c r="U76" s="1429"/>
      <c r="V76" s="1429"/>
      <c r="W76" s="1429"/>
      <c r="X76" s="1429"/>
      <c r="Y76" s="1429"/>
      <c r="Z76" s="1429"/>
      <c r="AA76" s="1429"/>
      <c r="AB76" s="1429"/>
      <c r="AC76" s="1429"/>
    </row>
    <row r="77" spans="1:29" s="472" customFormat="1" ht="15.75" thickTop="1">
      <c r="A77" s="554"/>
      <c r="B77" s="539">
        <f>B25</f>
        <v>111</v>
      </c>
      <c r="C77" s="555"/>
      <c r="D77" s="555"/>
      <c r="E77" s="555"/>
      <c r="F77" s="555"/>
      <c r="G77" s="555"/>
      <c r="H77" s="556"/>
      <c r="I77" s="556"/>
      <c r="J77" s="556"/>
      <c r="K77" s="556"/>
      <c r="L77" s="557"/>
      <c r="M77" s="558"/>
      <c r="N77" s="1156"/>
      <c r="O77" s="1156"/>
      <c r="P77" s="1432"/>
      <c r="Q77" s="1433"/>
      <c r="R77" s="1434"/>
      <c r="S77" s="1434"/>
      <c r="T77" s="1434"/>
      <c r="U77" s="1434"/>
      <c r="V77" s="1434"/>
      <c r="W77" s="1434"/>
      <c r="X77" s="1434"/>
      <c r="Y77" s="1434"/>
      <c r="Z77" s="1434"/>
      <c r="AA77" s="1434"/>
      <c r="AB77" s="1434"/>
      <c r="AC77" s="1434"/>
    </row>
    <row r="78" spans="1:29" s="472" customFormat="1" ht="15.75" thickBot="1">
      <c r="A78" s="554"/>
      <c r="B78" s="544"/>
      <c r="C78" s="561"/>
      <c r="D78" s="561"/>
      <c r="E78" s="561"/>
      <c r="F78" s="561"/>
      <c r="G78" s="537"/>
      <c r="H78" s="537"/>
      <c r="I78" s="537"/>
      <c r="J78" s="537"/>
      <c r="K78" s="537"/>
      <c r="L78" s="537"/>
      <c r="M78" s="538"/>
      <c r="N78" s="1156"/>
      <c r="O78" s="1156"/>
      <c r="P78" s="1432"/>
      <c r="Q78" s="1433"/>
      <c r="R78" s="1434"/>
      <c r="S78" s="1434"/>
      <c r="T78" s="1434"/>
      <c r="U78" s="1434"/>
      <c r="V78" s="1434"/>
      <c r="W78" s="1434"/>
      <c r="X78" s="1434"/>
      <c r="Y78" s="1434"/>
      <c r="Z78" s="1434"/>
      <c r="AA78" s="1434"/>
      <c r="AB78" s="1434"/>
      <c r="AC78" s="1434"/>
    </row>
    <row r="79" spans="1:29" ht="27.75" thickTop="1">
      <c r="A79" s="528" t="s">
        <v>2559</v>
      </c>
      <c r="B79" s="529" t="s">
        <v>2725</v>
      </c>
      <c r="C79" s="530">
        <f>C26</f>
        <v>0</v>
      </c>
      <c r="D79" s="531"/>
      <c r="E79" s="531"/>
      <c r="F79" s="531"/>
      <c r="G79" s="531"/>
      <c r="H79" s="531"/>
      <c r="I79" s="531"/>
      <c r="J79" s="531"/>
      <c r="K79" s="532"/>
      <c r="L79" s="533"/>
      <c r="M79" s="534"/>
      <c r="N79" s="1154"/>
      <c r="O79" s="1154"/>
      <c r="P79" s="1431"/>
      <c r="Q79" s="1425"/>
      <c r="R79" s="1146"/>
      <c r="S79" s="1146"/>
      <c r="T79" s="1146"/>
      <c r="U79" s="1146"/>
      <c r="V79" s="1146"/>
      <c r="W79" s="1146"/>
      <c r="X79" s="1146"/>
      <c r="Y79" s="1146"/>
      <c r="Z79" s="1146"/>
      <c r="AA79" s="1146"/>
      <c r="AB79" s="1146"/>
      <c r="AC79" s="1146"/>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5"/>
      <c r="B81" s="539" t="s">
        <v>2726</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2" customFormat="1" ht="15.75" thickBot="1">
      <c r="A82" s="554"/>
      <c r="B82" s="544"/>
      <c r="C82" s="561"/>
      <c r="D82" s="537"/>
      <c r="E82" s="537"/>
      <c r="F82" s="537"/>
      <c r="G82" s="537"/>
      <c r="H82" s="537"/>
      <c r="I82" s="537"/>
      <c r="J82" s="537"/>
      <c r="K82" s="537"/>
      <c r="L82" s="537"/>
      <c r="M82" s="538"/>
      <c r="N82" s="1155"/>
      <c r="O82" s="1155"/>
      <c r="P82" s="1432"/>
      <c r="Q82" s="1433"/>
      <c r="R82" s="1434"/>
      <c r="S82" s="1434"/>
      <c r="T82" s="1434"/>
      <c r="U82" s="1434"/>
      <c r="V82" s="1434"/>
      <c r="W82" s="1434"/>
      <c r="X82" s="1434"/>
      <c r="Y82" s="1434"/>
      <c r="Z82" s="1434"/>
      <c r="AA82" s="1434"/>
      <c r="AB82" s="1434"/>
      <c r="AC82" s="1434"/>
    </row>
    <row r="83" spans="1:29" ht="15" thickTop="1">
      <c r="A83" s="600"/>
      <c r="B83" s="539" t="s">
        <v>2612</v>
      </c>
      <c r="C83" s="555"/>
      <c r="D83" s="555"/>
      <c r="E83" s="584"/>
      <c r="F83" s="584"/>
      <c r="G83" s="584"/>
      <c r="H83" s="584"/>
      <c r="I83" s="584"/>
      <c r="J83" s="584"/>
      <c r="K83" s="585"/>
      <c r="L83" s="586"/>
      <c r="M83" s="587"/>
      <c r="N83" s="1154"/>
      <c r="O83" s="1154"/>
      <c r="P83" s="1431"/>
      <c r="Q83" s="1425"/>
      <c r="R83" s="1146"/>
      <c r="S83" s="1146"/>
      <c r="T83" s="1146"/>
      <c r="U83" s="1146"/>
      <c r="V83" s="1146"/>
      <c r="W83" s="1146"/>
      <c r="X83" s="1146"/>
      <c r="Y83" s="1146"/>
      <c r="Z83" s="1146"/>
      <c r="AA83" s="1146"/>
      <c r="AB83" s="1146"/>
      <c r="AC83" s="1146"/>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5"/>
      <c r="O84" s="1155"/>
      <c r="P84" s="1431"/>
      <c r="Q84" s="1425"/>
      <c r="R84" s="1146"/>
      <c r="S84" s="1146"/>
      <c r="T84" s="1146"/>
      <c r="U84" s="1146"/>
      <c r="V84" s="1146"/>
      <c r="W84" s="1146"/>
      <c r="X84" s="1146"/>
      <c r="Y84" s="1146"/>
      <c r="Z84" s="1146"/>
      <c r="AA84" s="1146"/>
      <c r="AB84" s="1146"/>
      <c r="AC84" s="1146"/>
    </row>
    <row r="85" spans="1:29" ht="15" thickTop="1">
      <c r="A85" s="600"/>
      <c r="B85" s="539" t="s">
        <v>2727</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4"/>
      <c r="O85" s="1154"/>
      <c r="P85" s="1431"/>
      <c r="Q85" s="1425"/>
      <c r="R85" s="1146"/>
      <c r="S85" s="1146"/>
      <c r="T85" s="1146"/>
      <c r="U85" s="1146"/>
      <c r="V85" s="1146"/>
      <c r="W85" s="1146"/>
      <c r="X85" s="1146"/>
      <c r="Y85" s="1146"/>
      <c r="Z85" s="1146"/>
      <c r="AA85" s="1146"/>
      <c r="AB85" s="1146"/>
      <c r="AC85" s="1146"/>
    </row>
    <row r="86" spans="1:29">
      <c r="A86" s="600"/>
      <c r="B86" s="547"/>
      <c r="C86" s="604">
        <v>0.5</v>
      </c>
      <c r="D86" s="604">
        <v>0.6</v>
      </c>
      <c r="E86" s="604">
        <v>0.7</v>
      </c>
      <c r="F86" s="604">
        <v>0.8</v>
      </c>
      <c r="G86" s="604">
        <v>0.9</v>
      </c>
      <c r="H86" s="604">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5"/>
      <c r="O87" s="1155"/>
      <c r="P87" s="1431"/>
      <c r="Q87" s="1425"/>
      <c r="R87" s="1146"/>
      <c r="S87" s="1146"/>
      <c r="T87" s="1146"/>
      <c r="U87" s="1146"/>
      <c r="V87" s="1146"/>
      <c r="W87" s="1146"/>
      <c r="X87" s="1146"/>
      <c r="Y87" s="1146"/>
      <c r="Z87" s="1146"/>
      <c r="AA87" s="1146"/>
      <c r="AB87" s="1146"/>
      <c r="AC87" s="1146"/>
    </row>
    <row r="88" spans="1:29" ht="15" thickTop="1">
      <c r="A88" s="600"/>
      <c r="B88" s="547" t="s">
        <v>2728</v>
      </c>
      <c r="C88" s="531"/>
      <c r="D88" s="531"/>
      <c r="E88" s="531"/>
      <c r="F88" s="531"/>
      <c r="G88" s="531"/>
      <c r="H88" s="531"/>
      <c r="I88" s="531"/>
      <c r="J88" s="531"/>
      <c r="K88" s="532"/>
      <c r="L88" s="533"/>
      <c r="M88" s="534"/>
      <c r="N88" s="1154"/>
      <c r="O88" s="1154"/>
      <c r="P88" s="1431"/>
      <c r="Q88" s="1425"/>
      <c r="R88" s="1146"/>
      <c r="S88" s="1146"/>
      <c r="T88" s="1146"/>
      <c r="U88" s="1146"/>
      <c r="V88" s="1146"/>
      <c r="W88" s="1146"/>
      <c r="X88" s="1146"/>
      <c r="Y88" s="1146"/>
      <c r="Z88" s="1146"/>
      <c r="AA88" s="1146"/>
      <c r="AB88" s="1146"/>
      <c r="AC88" s="1146"/>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5"/>
      <c r="O89" s="1155"/>
      <c r="P89" s="1431"/>
      <c r="Q89" s="1425"/>
      <c r="R89" s="1146"/>
      <c r="S89" s="1146"/>
      <c r="T89" s="1146"/>
      <c r="U89" s="1146"/>
      <c r="V89" s="1146"/>
      <c r="W89" s="1146"/>
      <c r="X89" s="1146"/>
      <c r="Y89" s="1146"/>
      <c r="Z89" s="1146"/>
      <c r="AA89" s="1146"/>
      <c r="AB89" s="1146"/>
      <c r="AC89" s="1146"/>
    </row>
    <row r="90" spans="1:29" s="472" customFormat="1" ht="15" thickTop="1">
      <c r="A90" s="594"/>
      <c r="B90" s="539" t="s">
        <v>2729</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2" customFormat="1">
      <c r="A91" s="594"/>
      <c r="B91" s="547"/>
      <c r="C91" s="596"/>
      <c r="D91" s="596"/>
      <c r="E91" s="596"/>
      <c r="F91" s="596"/>
      <c r="G91" s="596"/>
      <c r="H91" s="596"/>
      <c r="I91" s="596"/>
      <c r="J91" s="597"/>
      <c r="K91" s="597"/>
      <c r="L91" s="598"/>
      <c r="M91" s="599"/>
      <c r="N91" s="1156"/>
      <c r="O91" s="1156"/>
      <c r="P91" s="1432"/>
      <c r="Q91" s="1433"/>
      <c r="R91" s="1434"/>
      <c r="S91" s="1434"/>
      <c r="T91" s="1434"/>
      <c r="U91" s="1434"/>
      <c r="V91" s="1434"/>
      <c r="W91" s="1434"/>
      <c r="X91" s="1434"/>
      <c r="Y91" s="1434"/>
      <c r="Z91" s="1434"/>
      <c r="AA91" s="1434"/>
      <c r="AB91" s="1434"/>
      <c r="AC91" s="1434"/>
    </row>
    <row r="92" spans="1:29" s="472" customFormat="1" ht="15.75" thickBot="1">
      <c r="A92" s="554"/>
      <c r="B92" s="544"/>
      <c r="C92" s="561"/>
      <c r="D92" s="537"/>
      <c r="E92" s="537"/>
      <c r="F92" s="537"/>
      <c r="G92" s="537"/>
      <c r="H92" s="537"/>
      <c r="I92" s="537"/>
      <c r="J92" s="537"/>
      <c r="K92" s="537"/>
      <c r="L92" s="537"/>
      <c r="M92" s="538"/>
      <c r="N92" s="1156"/>
      <c r="O92" s="1156"/>
      <c r="P92" s="1432"/>
      <c r="Q92" s="1433"/>
      <c r="R92" s="1434"/>
      <c r="S92" s="1434"/>
      <c r="T92" s="1434"/>
      <c r="U92" s="1434"/>
      <c r="V92" s="1434"/>
      <c r="W92" s="1434"/>
      <c r="X92" s="1434"/>
      <c r="Y92" s="1434"/>
      <c r="Z92" s="1434"/>
      <c r="AA92" s="1434"/>
      <c r="AB92" s="1434"/>
      <c r="AC92" s="1434"/>
    </row>
    <row r="93" spans="1:29" ht="15" thickTop="1">
      <c r="A93" s="600"/>
      <c r="B93" s="539" t="s">
        <v>2730</v>
      </c>
      <c r="C93" s="555"/>
      <c r="D93" s="555"/>
      <c r="E93" s="584"/>
      <c r="F93" s="584"/>
      <c r="G93" s="584"/>
      <c r="H93" s="584"/>
      <c r="I93" s="584"/>
      <c r="J93" s="584"/>
      <c r="K93" s="585"/>
      <c r="L93" s="586"/>
      <c r="M93" s="587"/>
      <c r="N93" s="1154"/>
      <c r="O93" s="1154"/>
      <c r="P93" s="1431"/>
      <c r="Q93" s="1425"/>
      <c r="R93" s="1146"/>
      <c r="S93" s="1146"/>
      <c r="T93" s="1146"/>
      <c r="U93" s="1146"/>
      <c r="V93" s="1146"/>
      <c r="W93" s="1146"/>
      <c r="X93" s="1146"/>
      <c r="Y93" s="1146"/>
      <c r="Z93" s="1146"/>
      <c r="AA93" s="1146"/>
      <c r="AB93" s="1146"/>
      <c r="AC93" s="1146"/>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5"/>
      <c r="O94" s="1155"/>
      <c r="P94" s="1431"/>
      <c r="Q94" s="1425"/>
      <c r="R94" s="1146"/>
      <c r="S94" s="1146"/>
      <c r="T94" s="1146"/>
      <c r="U94" s="1146"/>
      <c r="V94" s="1146"/>
      <c r="W94" s="1146"/>
      <c r="X94" s="1146"/>
      <c r="Y94" s="1146"/>
      <c r="Z94" s="1146"/>
      <c r="AA94" s="1146"/>
      <c r="AB94" s="1146"/>
      <c r="AC94" s="1146"/>
    </row>
    <row r="95" spans="1:29" ht="15" thickTop="1">
      <c r="A95" s="600"/>
      <c r="B95" s="539" t="s">
        <v>2731</v>
      </c>
      <c r="C95" s="531"/>
      <c r="D95" s="531"/>
      <c r="E95" s="531"/>
      <c r="F95" s="531"/>
      <c r="G95" s="531"/>
      <c r="H95" s="531"/>
      <c r="I95" s="531"/>
      <c r="J95" s="531"/>
      <c r="K95" s="532"/>
      <c r="L95" s="533"/>
      <c r="M95" s="534"/>
      <c r="N95" s="1154"/>
      <c r="O95" s="1154"/>
      <c r="P95" s="1431"/>
      <c r="Q95" s="1425"/>
      <c r="R95" s="1146"/>
      <c r="S95" s="1146"/>
      <c r="T95" s="1146"/>
      <c r="U95" s="1146"/>
      <c r="V95" s="1146"/>
      <c r="W95" s="1146"/>
      <c r="X95" s="1146"/>
      <c r="Y95" s="1146"/>
      <c r="Z95" s="1146"/>
      <c r="AA95" s="1146"/>
      <c r="AB95" s="1146"/>
      <c r="AC95" s="1146"/>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5"/>
      <c r="O96" s="1155"/>
      <c r="P96" s="1431"/>
      <c r="Q96" s="1425"/>
      <c r="R96" s="1146"/>
      <c r="S96" s="1146"/>
      <c r="T96" s="1146"/>
      <c r="U96" s="1146"/>
      <c r="V96" s="1146"/>
      <c r="W96" s="1146"/>
      <c r="X96" s="1146"/>
      <c r="Y96" s="1146"/>
      <c r="Z96" s="1146"/>
      <c r="AA96" s="1146"/>
      <c r="AB96" s="1146"/>
      <c r="AC96" s="1146"/>
    </row>
    <row r="97" spans="1:29" ht="15" thickTop="1">
      <c r="A97" s="600"/>
      <c r="B97" s="636">
        <f>B34</f>
        <v>111</v>
      </c>
      <c r="C97" s="550"/>
      <c r="D97" s="550"/>
      <c r="E97" s="550"/>
      <c r="F97" s="550"/>
      <c r="G97" s="555"/>
      <c r="H97" s="556"/>
      <c r="I97" s="556"/>
      <c r="J97" s="556"/>
      <c r="K97" s="556"/>
      <c r="L97" s="557"/>
      <c r="M97" s="558"/>
      <c r="N97" s="1155"/>
      <c r="O97" s="1155"/>
      <c r="P97" s="1438"/>
      <c r="Q97" s="1439"/>
      <c r="R97" s="1146"/>
      <c r="S97" s="1146"/>
      <c r="T97" s="1146"/>
      <c r="U97" s="1146"/>
      <c r="V97" s="1146"/>
      <c r="W97" s="1146"/>
      <c r="X97" s="1146"/>
      <c r="Y97" s="1146"/>
      <c r="Z97" s="1146"/>
      <c r="AA97" s="1146"/>
      <c r="AB97" s="1146"/>
      <c r="AC97" s="1146"/>
    </row>
    <row r="98" spans="1:29" ht="15.75" thickBot="1">
      <c r="A98" s="535"/>
      <c r="B98" s="544"/>
      <c r="C98" s="561"/>
      <c r="D98" s="537"/>
      <c r="E98" s="537"/>
      <c r="F98" s="537"/>
      <c r="G98" s="561"/>
      <c r="H98" s="563"/>
      <c r="I98" s="563"/>
      <c r="J98" s="563"/>
      <c r="K98" s="563"/>
      <c r="L98" s="563"/>
      <c r="M98" s="564"/>
      <c r="N98" s="1155"/>
      <c r="O98" s="1155"/>
      <c r="P98" s="1431"/>
      <c r="Q98" s="1425"/>
      <c r="R98" s="1146"/>
      <c r="S98" s="1146"/>
      <c r="T98" s="1146"/>
      <c r="U98" s="1146"/>
      <c r="V98" s="1146"/>
      <c r="W98" s="1146"/>
      <c r="X98" s="1146"/>
      <c r="Y98" s="1146"/>
      <c r="Z98" s="1146"/>
      <c r="AA98" s="1146"/>
      <c r="AB98" s="1146"/>
      <c r="AC98" s="1146"/>
    </row>
    <row r="99" spans="1:29" s="472" customFormat="1" ht="15" thickTop="1">
      <c r="A99" s="594"/>
      <c r="B99" s="539">
        <f>B35</f>
        <v>111</v>
      </c>
      <c r="C99" s="550"/>
      <c r="D99" s="550"/>
      <c r="E99" s="550"/>
      <c r="F99" s="550"/>
      <c r="G99" s="555"/>
      <c r="H99" s="556"/>
      <c r="I99" s="556"/>
      <c r="J99" s="556"/>
      <c r="K99" s="556"/>
      <c r="L99" s="557"/>
      <c r="M99" s="558"/>
      <c r="N99" s="1156"/>
      <c r="O99" s="1156"/>
      <c r="P99" s="1432"/>
      <c r="Q99" s="1433"/>
      <c r="R99" s="1434"/>
      <c r="S99" s="1434"/>
      <c r="T99" s="1434"/>
      <c r="U99" s="1434"/>
      <c r="V99" s="1434"/>
      <c r="W99" s="1434"/>
      <c r="X99" s="1434"/>
      <c r="Y99" s="1434"/>
      <c r="Z99" s="1434"/>
      <c r="AA99" s="1434"/>
      <c r="AB99" s="1434"/>
      <c r="AC99" s="1434"/>
    </row>
    <row r="100" spans="1:29" s="472" customFormat="1" ht="15.75" thickBot="1">
      <c r="A100" s="554"/>
      <c r="B100" s="536"/>
      <c r="C100" s="561"/>
      <c r="D100" s="537"/>
      <c r="E100" s="537"/>
      <c r="F100" s="537"/>
      <c r="G100" s="561"/>
      <c r="H100" s="563"/>
      <c r="I100" s="563"/>
      <c r="J100" s="563"/>
      <c r="K100" s="563"/>
      <c r="L100" s="563"/>
      <c r="M100" s="564"/>
      <c r="N100" s="1156"/>
      <c r="O100" s="1156"/>
      <c r="P100" s="1432"/>
      <c r="Q100" s="1433"/>
      <c r="R100" s="1434"/>
      <c r="S100" s="1434"/>
      <c r="T100" s="1434"/>
      <c r="U100" s="1434"/>
      <c r="V100" s="1434"/>
      <c r="W100" s="1434"/>
      <c r="X100" s="1434"/>
      <c r="Y100" s="1434"/>
      <c r="Z100" s="1434"/>
      <c r="AA100" s="1434"/>
      <c r="AB100" s="1434"/>
      <c r="AC100" s="1434"/>
    </row>
    <row r="101" spans="1:29" ht="15" thickTop="1">
      <c r="A101" s="600"/>
      <c r="B101" s="539">
        <f>B36</f>
        <v>111</v>
      </c>
      <c r="C101" s="555"/>
      <c r="D101" s="555"/>
      <c r="E101" s="555"/>
      <c r="F101" s="555"/>
      <c r="G101" s="555"/>
      <c r="H101" s="556"/>
      <c r="I101" s="556"/>
      <c r="J101" s="556"/>
      <c r="K101" s="556"/>
      <c r="L101" s="557"/>
      <c r="M101" s="558"/>
      <c r="N101" s="1154"/>
      <c r="O101" s="1154"/>
      <c r="P101" s="1431"/>
      <c r="Q101" s="1425"/>
      <c r="R101" s="1146"/>
      <c r="S101" s="1146"/>
      <c r="T101" s="1146"/>
      <c r="U101" s="1146"/>
      <c r="V101" s="1146"/>
      <c r="W101" s="1146"/>
      <c r="X101" s="1146"/>
      <c r="Y101" s="1146"/>
      <c r="Z101" s="1146"/>
      <c r="AA101" s="1146"/>
      <c r="AB101" s="1146"/>
      <c r="AC101" s="1146"/>
    </row>
    <row r="102" spans="1:29" ht="15.75" thickBot="1">
      <c r="A102" s="535"/>
      <c r="B102" s="544"/>
      <c r="C102" s="561"/>
      <c r="D102" s="561"/>
      <c r="E102" s="561"/>
      <c r="F102" s="561"/>
      <c r="G102" s="561"/>
      <c r="H102" s="563"/>
      <c r="I102" s="563"/>
      <c r="J102" s="563"/>
      <c r="K102" s="563"/>
      <c r="L102" s="563"/>
      <c r="M102" s="564"/>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2" customFormat="1" ht="28.5" customHeight="1" thickBot="1">
      <c r="A1" s="1621" t="s">
        <v>2702</v>
      </c>
      <c r="B1" s="1622"/>
      <c r="C1" s="1623" t="s">
        <v>2526</v>
      </c>
      <c r="D1" s="1624"/>
      <c r="E1" s="1633"/>
      <c r="F1" s="2581"/>
      <c r="G1" s="1634" t="s">
        <v>2639</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9" customFormat="1" ht="28.5" customHeight="1" thickTop="1">
      <c r="A2" s="1620" t="s">
        <v>2326</v>
      </c>
      <c r="B2" s="1420" t="e">
        <f ca="1">IF(C2="——",ROUND(C37*D3/10000,0),ROUND(C37*D3/10000,0)-D2)</f>
        <v>#DIV/0!</v>
      </c>
      <c r="C2" s="2583"/>
      <c r="D2" s="1126" t="e">
        <f ca="1">SUMIF(INDIRECT("'"&amp;F2&amp;"'"&amp;"!A:A"),"承租人权益价值",INDIRECT("'"&amp;F2&amp;"'"&amp;"!c:c"))</f>
        <v>#REF!</v>
      </c>
      <c r="E2" s="2584" t="s">
        <v>2327</v>
      </c>
      <c r="F2" s="2585"/>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9" customFormat="1" ht="28.5" customHeight="1" thickBot="1">
      <c r="A3" s="248" t="s">
        <v>2328</v>
      </c>
      <c r="B3" s="610" t="e">
        <f ca="1">IF(C2="——",C37,ROUND(B2*10000/D3,0))</f>
        <v>#DIV/0!</v>
      </c>
      <c r="C3" s="401" t="s">
        <v>2640</v>
      </c>
      <c r="D3" s="400">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2" t="s">
        <v>2641</v>
      </c>
      <c r="B4" s="403"/>
      <c r="C4" s="3270" t="s">
        <v>2642</v>
      </c>
      <c r="D4" s="3283"/>
      <c r="E4" s="3284" t="s">
        <v>2643</v>
      </c>
      <c r="F4" s="3285"/>
      <c r="G4" s="3270" t="s">
        <v>2644</v>
      </c>
      <c r="H4" s="3283"/>
      <c r="I4" s="3270" t="s">
        <v>2645</v>
      </c>
      <c r="J4" s="3283"/>
      <c r="K4" s="611" t="s">
        <v>2646</v>
      </c>
      <c r="L4" s="1132"/>
      <c r="M4" s="1133"/>
      <c r="N4" s="1133"/>
      <c r="O4" s="1133"/>
      <c r="P4" s="3286" t="s">
        <v>2647</v>
      </c>
      <c r="Q4" s="3287"/>
      <c r="R4" s="3292" t="s">
        <v>2643</v>
      </c>
      <c r="S4" s="3293"/>
      <c r="T4" s="3292" t="s">
        <v>2644</v>
      </c>
      <c r="U4" s="3293"/>
      <c r="V4" s="3279" t="s">
        <v>2645</v>
      </c>
      <c r="W4" s="3279"/>
      <c r="X4" s="1816"/>
      <c r="Y4" s="3292" t="s">
        <v>2647</v>
      </c>
      <c r="Z4" s="3293"/>
      <c r="AA4" s="3280" t="s">
        <v>2643</v>
      </c>
      <c r="AB4" s="3281" t="s">
        <v>2644</v>
      </c>
      <c r="AC4" s="3280" t="s">
        <v>2645</v>
      </c>
    </row>
    <row r="5" spans="1:29" ht="15">
      <c r="A5" s="405"/>
      <c r="B5" s="406"/>
      <c r="C5" s="3348" t="s">
        <v>2538</v>
      </c>
      <c r="D5" s="3301"/>
      <c r="E5" s="3365" t="s">
        <v>2539</v>
      </c>
      <c r="F5" s="3310"/>
      <c r="G5" s="3348" t="s">
        <v>2540</v>
      </c>
      <c r="H5" s="3301"/>
      <c r="I5" s="3348" t="s">
        <v>2541</v>
      </c>
      <c r="J5" s="3301"/>
      <c r="K5" s="611"/>
      <c r="L5" s="1132"/>
      <c r="M5" s="1133"/>
      <c r="N5" s="1133"/>
      <c r="O5" s="1133"/>
      <c r="P5" s="3288"/>
      <c r="Q5" s="3289"/>
      <c r="R5" s="3294"/>
      <c r="S5" s="3295"/>
      <c r="T5" s="3294"/>
      <c r="U5" s="3295"/>
      <c r="V5" s="3279"/>
      <c r="W5" s="3279"/>
      <c r="X5" s="1816"/>
      <c r="Y5" s="3294"/>
      <c r="Z5" s="3295"/>
      <c r="AA5" s="3281"/>
      <c r="AB5" s="3281"/>
      <c r="AC5" s="3281"/>
    </row>
    <row r="6" spans="1:29" ht="15.75" thickBot="1">
      <c r="A6" s="407"/>
      <c r="B6" s="408"/>
      <c r="C6" s="3347" t="s">
        <v>2542</v>
      </c>
      <c r="D6" s="3299"/>
      <c r="E6" s="3363" t="s">
        <v>2542</v>
      </c>
      <c r="F6" s="3308"/>
      <c r="G6" s="3347" t="s">
        <v>2542</v>
      </c>
      <c r="H6" s="3299"/>
      <c r="I6" s="3347" t="s">
        <v>2542</v>
      </c>
      <c r="J6" s="3299"/>
      <c r="K6" s="611" t="s">
        <v>2543</v>
      </c>
      <c r="L6" s="1132"/>
      <c r="M6" s="1133"/>
      <c r="N6" s="1133"/>
      <c r="O6" s="1133"/>
      <c r="P6" s="3290"/>
      <c r="Q6" s="3291"/>
      <c r="R6" s="3294"/>
      <c r="S6" s="3295"/>
      <c r="T6" s="3296"/>
      <c r="U6" s="3297"/>
      <c r="V6" s="3279"/>
      <c r="W6" s="3279"/>
      <c r="X6" s="1816"/>
      <c r="Y6" s="3296"/>
      <c r="Z6" s="3297"/>
      <c r="AA6" s="3282"/>
      <c r="AB6" s="3282"/>
      <c r="AC6" s="3282"/>
    </row>
    <row r="7" spans="1:29" s="117" customFormat="1" ht="15.75" thickBot="1">
      <c r="A7" s="409" t="s">
        <v>2544</v>
      </c>
      <c r="B7" s="410"/>
      <c r="C7" s="411">
        <f>'数据-取费表'!B2</f>
        <v>43049</v>
      </c>
      <c r="D7" s="412">
        <v>100</v>
      </c>
      <c r="E7" s="413"/>
      <c r="F7" s="414">
        <f>SUMIF(46:46,YEAR(E7)&amp;"-"&amp;MONTH(E7),47:47)</f>
        <v>0</v>
      </c>
      <c r="G7" s="2693"/>
      <c r="H7" s="412">
        <f>SUMIF(46:46,YEAR(G7)&amp;"-"&amp;MONTH(G7),47:47)</f>
        <v>0</v>
      </c>
      <c r="I7" s="413"/>
      <c r="J7" s="412">
        <f>SUMIF(46:46,YEAR(I7)&amp;"-"&amp;MONTH(I7),47:47)</f>
        <v>0</v>
      </c>
      <c r="K7" s="612"/>
      <c r="L7" s="1134"/>
      <c r="M7" s="1135"/>
      <c r="N7" s="1135"/>
      <c r="O7" s="1135"/>
      <c r="P7" s="3302" t="s">
        <v>2545</v>
      </c>
      <c r="Q7" s="3304"/>
      <c r="R7" s="769" t="s">
        <v>17</v>
      </c>
      <c r="S7" s="770">
        <f t="shared" ref="S7:S14" si="0">F7</f>
        <v>0</v>
      </c>
      <c r="T7" s="769" t="s">
        <v>17</v>
      </c>
      <c r="U7" s="770">
        <f t="shared" ref="U7:U14" si="1">H7</f>
        <v>0</v>
      </c>
      <c r="V7" s="769" t="s">
        <v>17</v>
      </c>
      <c r="W7" s="770">
        <f t="shared" ref="W7:W14" si="2">J7</f>
        <v>0</v>
      </c>
      <c r="X7" s="771"/>
      <c r="Y7" s="3302" t="s">
        <v>2545</v>
      </c>
      <c r="Z7" s="3303"/>
      <c r="AA7" s="772" t="e">
        <f>D7/F7</f>
        <v>#DIV/0!</v>
      </c>
      <c r="AB7" s="772" t="e">
        <f>D7/H7</f>
        <v>#DIV/0!</v>
      </c>
      <c r="AC7" s="772" t="e">
        <f>D7/J7</f>
        <v>#DIV/0!</v>
      </c>
    </row>
    <row r="8" spans="1:29" s="117" customFormat="1" ht="15.75" thickBot="1">
      <c r="A8" s="409" t="s">
        <v>2546</v>
      </c>
      <c r="B8" s="410"/>
      <c r="C8" s="415" t="s">
        <v>2648</v>
      </c>
      <c r="D8" s="412">
        <v>100</v>
      </c>
      <c r="E8" s="415"/>
      <c r="F8" s="414">
        <f>SUMIF(49:49,E8,50:50)-SUMIF(49:49,C8,50:50)+100</f>
        <v>0</v>
      </c>
      <c r="G8" s="415"/>
      <c r="H8" s="412">
        <f>SUMIF(49:49,G8,50:50)-SUMIF(49:49,C8,50:50)+100</f>
        <v>0</v>
      </c>
      <c r="I8" s="415"/>
      <c r="J8" s="412">
        <f>SUMIF(49:49,I8,50:50)-SUMIF(49:49,C8,50:50)+100</f>
        <v>0</v>
      </c>
      <c r="K8" s="612"/>
      <c r="L8" s="1134"/>
      <c r="M8" s="1135"/>
      <c r="N8" s="1135"/>
      <c r="O8" s="1135"/>
      <c r="P8" s="3302" t="s">
        <v>2548</v>
      </c>
      <c r="Q8" s="3303"/>
      <c r="R8" s="769" t="s">
        <v>17</v>
      </c>
      <c r="S8" s="770">
        <f t="shared" si="0"/>
        <v>0</v>
      </c>
      <c r="T8" s="769" t="s">
        <v>17</v>
      </c>
      <c r="U8" s="770">
        <f t="shared" si="1"/>
        <v>0</v>
      </c>
      <c r="V8" s="769" t="s">
        <v>17</v>
      </c>
      <c r="W8" s="770">
        <f t="shared" si="2"/>
        <v>0</v>
      </c>
      <c r="X8" s="771"/>
      <c r="Y8" s="3302" t="s">
        <v>2548</v>
      </c>
      <c r="Z8" s="3303"/>
      <c r="AA8" s="772" t="e">
        <f t="shared" ref="AA8:AA34" si="3">D8/F8</f>
        <v>#DIV/0!</v>
      </c>
      <c r="AB8" s="772" t="e">
        <f t="shared" ref="AB8:AB34" si="4">D8/H8</f>
        <v>#DIV/0!</v>
      </c>
      <c r="AC8" s="772" t="e">
        <f t="shared" ref="AC8:AC34" si="5">D8/J8</f>
        <v>#DIV/0!</v>
      </c>
    </row>
    <row r="9" spans="1:29" s="117" customFormat="1">
      <c r="A9" s="416" t="s">
        <v>2549</v>
      </c>
      <c r="B9" s="71" t="s">
        <v>2550</v>
      </c>
      <c r="C9" s="417"/>
      <c r="D9" s="135">
        <v>100</v>
      </c>
      <c r="E9" s="420"/>
      <c r="F9" s="419">
        <f>SUMIF(51:51,E9,52:52)-SUMIF(51:51,C9,52:52)+100</f>
        <v>100</v>
      </c>
      <c r="G9" s="420"/>
      <c r="H9" s="135">
        <f>SUMIF(51:51,G9,52:52)-SUMIF(51:51,C9,52:52)+100</f>
        <v>100</v>
      </c>
      <c r="I9" s="420"/>
      <c r="J9" s="135">
        <f>SUMIF(51:51,I9,52:52)-SUMIF(51:51,C9,52:52)+100</f>
        <v>100</v>
      </c>
      <c r="K9" s="612"/>
      <c r="L9" s="1134"/>
      <c r="M9" s="1135"/>
      <c r="N9" s="1135"/>
      <c r="O9" s="1136"/>
      <c r="P9" s="3273" t="s">
        <v>2551</v>
      </c>
      <c r="Q9" s="1798" t="str">
        <f t="shared" ref="Q9:Q14" si="6">B9</f>
        <v>用途</v>
      </c>
      <c r="R9" s="769" t="s">
        <v>17</v>
      </c>
      <c r="S9" s="770">
        <f t="shared" si="0"/>
        <v>100</v>
      </c>
      <c r="T9" s="769" t="s">
        <v>17</v>
      </c>
      <c r="U9" s="770">
        <f t="shared" si="1"/>
        <v>100</v>
      </c>
      <c r="V9" s="769" t="s">
        <v>17</v>
      </c>
      <c r="W9" s="770">
        <f t="shared" si="2"/>
        <v>100</v>
      </c>
      <c r="X9" s="771"/>
      <c r="Y9" s="3121" t="s">
        <v>2552</v>
      </c>
      <c r="Z9" s="55" t="str">
        <f t="shared" ref="Z9:Z14" si="7">Q9</f>
        <v>用途</v>
      </c>
      <c r="AA9" s="772">
        <f t="shared" si="3"/>
        <v>1</v>
      </c>
      <c r="AB9" s="772">
        <f t="shared" si="4"/>
        <v>1</v>
      </c>
      <c r="AC9" s="772">
        <f t="shared" si="5"/>
        <v>1</v>
      </c>
    </row>
    <row r="10" spans="1:29" s="428" customFormat="1" ht="27">
      <c r="A10" s="422"/>
      <c r="B10" s="423" t="s">
        <v>2553</v>
      </c>
      <c r="C10" s="424"/>
      <c r="D10" s="136">
        <v>100</v>
      </c>
      <c r="E10" s="424"/>
      <c r="F10" s="426">
        <f>SUMIF(53:53,E10,54:54)-SUMIF(53:53,C10,54:54)+100</f>
        <v>100</v>
      </c>
      <c r="G10" s="424"/>
      <c r="H10" s="136">
        <f>SUMIF(53:53,G10,54:54)-SUMIF(53:53,C10,54:54)+100</f>
        <v>100</v>
      </c>
      <c r="I10" s="424"/>
      <c r="J10" s="136">
        <f>SUMIF(53:53,I10,54:54)-SUMIF(53:53,C10,54:54)+100</f>
        <v>100</v>
      </c>
      <c r="K10" s="613"/>
      <c r="L10" s="1137"/>
      <c r="M10" s="1138"/>
      <c r="N10" s="1138"/>
      <c r="O10" s="1139"/>
      <c r="P10" s="3273"/>
      <c r="Q10" s="1798" t="str">
        <f t="shared" si="6"/>
        <v>土地使用年限（年）</v>
      </c>
      <c r="R10" s="769" t="s">
        <v>17</v>
      </c>
      <c r="S10" s="770">
        <f t="shared" si="0"/>
        <v>100</v>
      </c>
      <c r="T10" s="769" t="s">
        <v>17</v>
      </c>
      <c r="U10" s="770">
        <f t="shared" si="1"/>
        <v>100</v>
      </c>
      <c r="V10" s="769" t="s">
        <v>17</v>
      </c>
      <c r="W10" s="770">
        <f t="shared" si="2"/>
        <v>100</v>
      </c>
      <c r="X10" s="771"/>
      <c r="Y10" s="3121"/>
      <c r="Z10" s="55" t="str">
        <f t="shared" si="7"/>
        <v>土地使用年限（年）</v>
      </c>
      <c r="AA10" s="772">
        <f t="shared" si="3"/>
        <v>1</v>
      </c>
      <c r="AB10" s="772">
        <f t="shared" si="4"/>
        <v>1</v>
      </c>
      <c r="AC10" s="772">
        <f t="shared" si="5"/>
        <v>1</v>
      </c>
    </row>
    <row r="11" spans="1:29" ht="15">
      <c r="A11" s="429"/>
      <c r="B11" s="2597">
        <v>111</v>
      </c>
      <c r="C11" s="433"/>
      <c r="D11" s="136">
        <v>100</v>
      </c>
      <c r="E11" s="470"/>
      <c r="F11" s="426">
        <f>SUMIF(55:55,E11,56:56)-SUMIF(55:55,C11,56:56)+100</f>
        <v>100</v>
      </c>
      <c r="G11" s="470"/>
      <c r="H11" s="136">
        <f>SUMIF(55:55,G11,56:56)-SUMIF(55:55,C11,56:56)+100</f>
        <v>100</v>
      </c>
      <c r="I11" s="470"/>
      <c r="J11" s="136">
        <f>SUMIF(55:55,I11,56:56)-SUMIF(55:55,C11,56:56)+100</f>
        <v>100</v>
      </c>
      <c r="K11" s="614"/>
      <c r="L11" s="1140"/>
      <c r="M11" s="1133"/>
      <c r="N11" s="1133"/>
      <c r="O11" s="1141"/>
      <c r="P11" s="3273"/>
      <c r="Q11" s="1798">
        <f t="shared" si="6"/>
        <v>111</v>
      </c>
      <c r="R11" s="769" t="s">
        <v>17</v>
      </c>
      <c r="S11" s="770">
        <f t="shared" si="0"/>
        <v>100</v>
      </c>
      <c r="T11" s="769" t="s">
        <v>17</v>
      </c>
      <c r="U11" s="770">
        <f t="shared" si="1"/>
        <v>100</v>
      </c>
      <c r="V11" s="769" t="s">
        <v>17</v>
      </c>
      <c r="W11" s="770">
        <f t="shared" si="2"/>
        <v>100</v>
      </c>
      <c r="X11" s="771"/>
      <c r="Y11" s="3121"/>
      <c r="Z11" s="55">
        <f t="shared" si="7"/>
        <v>111</v>
      </c>
      <c r="AA11" s="772">
        <f t="shared" si="3"/>
        <v>1</v>
      </c>
      <c r="AB11" s="772">
        <f t="shared" si="4"/>
        <v>1</v>
      </c>
      <c r="AC11" s="772">
        <f t="shared" si="5"/>
        <v>1</v>
      </c>
    </row>
    <row r="12" spans="1:29" s="117" customFormat="1" ht="15">
      <c r="A12" s="432"/>
      <c r="B12" s="2597">
        <v>111</v>
      </c>
      <c r="C12" s="433"/>
      <c r="D12" s="434">
        <v>100</v>
      </c>
      <c r="E12" s="470"/>
      <c r="F12" s="426">
        <f>SUMIF(57:57,E12,58:58)-SUMIF(57:57,C12,58:58)+100</f>
        <v>100</v>
      </c>
      <c r="G12" s="470"/>
      <c r="H12" s="136">
        <f>SUMIF(57:57,G12,58:58)-SUMIF(57:57,C12,58:58)+100</f>
        <v>100</v>
      </c>
      <c r="I12" s="470"/>
      <c r="J12" s="136">
        <f>SUMIF(57:57,I12,58:58)-SUMIF(57:57,C12,58:58)+100</f>
        <v>100</v>
      </c>
      <c r="K12" s="614"/>
      <c r="L12" s="1134"/>
      <c r="M12" s="1135"/>
      <c r="N12" s="1135"/>
      <c r="O12" s="1136"/>
      <c r="P12" s="3273"/>
      <c r="Q12" s="1798">
        <f t="shared" si="6"/>
        <v>111</v>
      </c>
      <c r="R12" s="769" t="s">
        <v>17</v>
      </c>
      <c r="S12" s="770">
        <f t="shared" si="0"/>
        <v>100</v>
      </c>
      <c r="T12" s="769" t="s">
        <v>17</v>
      </c>
      <c r="U12" s="770">
        <f t="shared" si="1"/>
        <v>100</v>
      </c>
      <c r="V12" s="769" t="s">
        <v>17</v>
      </c>
      <c r="W12" s="770">
        <f t="shared" si="2"/>
        <v>100</v>
      </c>
      <c r="X12" s="771"/>
      <c r="Y12" s="3121"/>
      <c r="Z12" s="55">
        <f t="shared" si="7"/>
        <v>111</v>
      </c>
      <c r="AA12" s="772">
        <f>D12/F12</f>
        <v>1</v>
      </c>
      <c r="AB12" s="772">
        <f>D12/H12</f>
        <v>1</v>
      </c>
      <c r="AC12" s="772">
        <f>D12/J12</f>
        <v>1</v>
      </c>
    </row>
    <row r="13" spans="1:29" ht="15.75" thickBot="1">
      <c r="A13" s="429"/>
      <c r="B13" s="2597">
        <v>111</v>
      </c>
      <c r="C13" s="435"/>
      <c r="D13" s="436">
        <v>100</v>
      </c>
      <c r="E13" s="470"/>
      <c r="F13" s="426">
        <f>SUMIF(59:59,E13,60:60)-SUMIF(59:59,C13,60:60)+100</f>
        <v>100</v>
      </c>
      <c r="G13" s="2694"/>
      <c r="H13" s="439">
        <f>SUMIF(59:59,G13,60:60)-SUMIF(59:59,C13,60:60)+100</f>
        <v>100</v>
      </c>
      <c r="I13" s="470"/>
      <c r="J13" s="436">
        <f>SUMIF(59:59,I13,60:60)-SUMIF(59:59,C13,60:60)+100</f>
        <v>100</v>
      </c>
      <c r="K13" s="614"/>
      <c r="L13" s="1142"/>
      <c r="M13" s="1133"/>
      <c r="N13" s="1133"/>
      <c r="O13" s="1141"/>
      <c r="P13" s="3273"/>
      <c r="Q13" s="1798">
        <f t="shared" si="6"/>
        <v>111</v>
      </c>
      <c r="R13" s="769" t="s">
        <v>17</v>
      </c>
      <c r="S13" s="770">
        <f t="shared" si="0"/>
        <v>100</v>
      </c>
      <c r="T13" s="769" t="s">
        <v>17</v>
      </c>
      <c r="U13" s="770">
        <f t="shared" si="1"/>
        <v>100</v>
      </c>
      <c r="V13" s="769" t="s">
        <v>17</v>
      </c>
      <c r="W13" s="770">
        <f t="shared" si="2"/>
        <v>100</v>
      </c>
      <c r="X13" s="771"/>
      <c r="Y13" s="3121"/>
      <c r="Z13" s="55">
        <f t="shared" si="7"/>
        <v>111</v>
      </c>
      <c r="AA13" s="772">
        <f t="shared" si="3"/>
        <v>1</v>
      </c>
      <c r="AB13" s="772">
        <f t="shared" si="4"/>
        <v>1</v>
      </c>
      <c r="AC13" s="772">
        <f t="shared" si="5"/>
        <v>1</v>
      </c>
    </row>
    <row r="14" spans="1:29" ht="85.5">
      <c r="A14" s="441" t="s">
        <v>2555</v>
      </c>
      <c r="B14" s="69" t="s">
        <v>2704</v>
      </c>
      <c r="C14" s="2690" t="str">
        <f>IF(B1="工业",估价对象房地状况!G4,估价对象房地状况!C6)</f>
        <v>估价对象周边道路状况、公共交通通达情况、停车便捷程度，综合评价交通便捷度较好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2"/>
      <c r="M14" s="1133"/>
      <c r="N14" s="1133"/>
      <c r="O14" s="1141"/>
      <c r="P14" s="3275" t="s">
        <v>2556</v>
      </c>
      <c r="Q14" s="1813" t="str">
        <f t="shared" si="6"/>
        <v>交通便捷度</v>
      </c>
      <c r="R14" s="773" t="s">
        <v>17</v>
      </c>
      <c r="S14" s="774">
        <f t="shared" si="0"/>
        <v>100</v>
      </c>
      <c r="T14" s="773" t="s">
        <v>17</v>
      </c>
      <c r="U14" s="774">
        <f t="shared" si="1"/>
        <v>100</v>
      </c>
      <c r="V14" s="773" t="s">
        <v>17</v>
      </c>
      <c r="W14" s="774">
        <f t="shared" si="2"/>
        <v>100</v>
      </c>
      <c r="X14" s="1816"/>
      <c r="Y14" s="3275" t="s">
        <v>2556</v>
      </c>
      <c r="Z14" s="1817" t="str">
        <f t="shared" si="7"/>
        <v>交通便捷度</v>
      </c>
      <c r="AA14" s="1814">
        <f t="shared" si="3"/>
        <v>1</v>
      </c>
      <c r="AB14" s="1814">
        <f t="shared" si="4"/>
        <v>1</v>
      </c>
      <c r="AC14" s="1814">
        <f t="shared" si="5"/>
        <v>1</v>
      </c>
    </row>
    <row r="15" spans="1:29" ht="15">
      <c r="A15" s="429"/>
      <c r="B15" s="447"/>
      <c r="C15" s="448"/>
      <c r="D15" s="449"/>
      <c r="E15" s="448"/>
      <c r="F15" s="450"/>
      <c r="G15" s="448"/>
      <c r="H15" s="451"/>
      <c r="I15" s="448"/>
      <c r="J15" s="449"/>
      <c r="K15" s="616"/>
      <c r="L15" s="1142"/>
      <c r="M15" s="1133"/>
      <c r="N15" s="1133"/>
      <c r="O15" s="1141"/>
      <c r="P15" s="3276"/>
      <c r="Q15" s="1813"/>
      <c r="R15" s="773"/>
      <c r="S15" s="774"/>
      <c r="T15" s="773"/>
      <c r="U15" s="774"/>
      <c r="V15" s="773"/>
      <c r="W15" s="774"/>
      <c r="X15" s="1816"/>
      <c r="Y15" s="3276"/>
      <c r="Z15" s="1817"/>
      <c r="AA15" s="1814">
        <v>1</v>
      </c>
      <c r="AB15" s="1814">
        <v>1</v>
      </c>
      <c r="AC15" s="1814">
        <v>1</v>
      </c>
    </row>
    <row r="16" spans="1:29" ht="42.75">
      <c r="A16" s="429"/>
      <c r="B16" s="452" t="s">
        <v>2683</v>
      </c>
      <c r="C16" s="2604" t="str">
        <f>IF(B1="工业",估价对象房地状况!G5,估价对象房地状况!C7)</f>
        <v>估价对象所在区域公共配套设施齐备情况</v>
      </c>
      <c r="D16" s="456">
        <v>100</v>
      </c>
      <c r="E16" s="458"/>
      <c r="F16" s="459">
        <f>SUMIF(63:63,E17,64:64)-SUMIF(63:63,C17,64:64)+100</f>
        <v>100</v>
      </c>
      <c r="G16" s="460"/>
      <c r="H16" s="456">
        <f>SUMIF(63:63,G17,64:64)-SUMIF(63:63,C17,64:64)+100</f>
        <v>100</v>
      </c>
      <c r="I16" s="458"/>
      <c r="J16" s="456">
        <f>SUMIF(63:63,I17,64:64)-SUMIF(63:63,C17,64:64)+100</f>
        <v>100</v>
      </c>
      <c r="K16" s="615"/>
      <c r="L16" s="1142"/>
      <c r="M16" s="1133"/>
      <c r="N16" s="1133"/>
      <c r="O16" s="1141"/>
      <c r="P16" s="3276"/>
      <c r="Q16" s="1813" t="str">
        <f>B16</f>
        <v>公共配套设施</v>
      </c>
      <c r="R16" s="773" t="s">
        <v>17</v>
      </c>
      <c r="S16" s="774">
        <f>F16</f>
        <v>100</v>
      </c>
      <c r="T16" s="773" t="s">
        <v>17</v>
      </c>
      <c r="U16" s="774">
        <f>H16</f>
        <v>100</v>
      </c>
      <c r="V16" s="773" t="s">
        <v>17</v>
      </c>
      <c r="W16" s="774">
        <f>J16</f>
        <v>100</v>
      </c>
      <c r="X16" s="1816"/>
      <c r="Y16" s="3276"/>
      <c r="Z16" s="1817" t="str">
        <f>Q16</f>
        <v>公共配套设施</v>
      </c>
      <c r="AA16" s="1814">
        <f t="shared" si="3"/>
        <v>1</v>
      </c>
      <c r="AB16" s="1814">
        <f t="shared" si="4"/>
        <v>1</v>
      </c>
      <c r="AC16" s="1814">
        <f t="shared" si="5"/>
        <v>1</v>
      </c>
    </row>
    <row r="17" spans="1:29" ht="15">
      <c r="A17" s="429"/>
      <c r="B17" s="457"/>
      <c r="C17" s="2605"/>
      <c r="D17" s="449"/>
      <c r="E17" s="448"/>
      <c r="F17" s="450"/>
      <c r="G17" s="448"/>
      <c r="H17" s="449"/>
      <c r="I17" s="448"/>
      <c r="J17" s="449"/>
      <c r="K17" s="616"/>
      <c r="L17" s="1142"/>
      <c r="M17" s="1133"/>
      <c r="N17" s="1133"/>
      <c r="O17" s="1141"/>
      <c r="P17" s="3276"/>
      <c r="Q17" s="1813"/>
      <c r="R17" s="773"/>
      <c r="S17" s="774"/>
      <c r="T17" s="773"/>
      <c r="U17" s="774"/>
      <c r="V17" s="773"/>
      <c r="W17" s="774"/>
      <c r="X17" s="1816"/>
      <c r="Y17" s="3276"/>
      <c r="Z17" s="1817"/>
      <c r="AA17" s="1814">
        <v>1</v>
      </c>
      <c r="AB17" s="1814">
        <v>1</v>
      </c>
      <c r="AC17" s="1814">
        <v>1</v>
      </c>
    </row>
    <row r="18" spans="1:29" ht="28.5">
      <c r="A18" s="429"/>
      <c r="B18" s="1386" t="s">
        <v>2684</v>
      </c>
      <c r="C18" s="2604" t="str">
        <f>IF(B1="工业",估价对象房地状况!G6,估价对象房地状况!C8)</f>
        <v>估价对象所在区域基础设施水平</v>
      </c>
      <c r="D18" s="456">
        <v>100</v>
      </c>
      <c r="E18" s="453"/>
      <c r="F18" s="459">
        <f>SUMIF(65:65,E19,66:66)-SUMIF(65:65,C19,66:66)+100</f>
        <v>100</v>
      </c>
      <c r="G18" s="455"/>
      <c r="H18" s="456">
        <f>SUMIF(65:65,G19,66:66)-SUMIF(65:65,C19,66:66)+100</f>
        <v>100</v>
      </c>
      <c r="I18" s="458"/>
      <c r="J18" s="456">
        <f>SUMIF(65:65,I19,66:66)-SUMIF(65:65,C19,66:66)+100</f>
        <v>100</v>
      </c>
      <c r="K18" s="615"/>
      <c r="L18" s="1142"/>
      <c r="M18" s="1133"/>
      <c r="N18" s="1133"/>
      <c r="O18" s="1141"/>
      <c r="P18" s="3276"/>
      <c r="Q18" s="1813" t="str">
        <f>B18</f>
        <v>基础设施水平</v>
      </c>
      <c r="R18" s="773" t="s">
        <v>17</v>
      </c>
      <c r="S18" s="774">
        <f>F18</f>
        <v>100</v>
      </c>
      <c r="T18" s="773" t="s">
        <v>17</v>
      </c>
      <c r="U18" s="774">
        <f>H18</f>
        <v>100</v>
      </c>
      <c r="V18" s="773" t="s">
        <v>17</v>
      </c>
      <c r="W18" s="774">
        <f>J18</f>
        <v>100</v>
      </c>
      <c r="X18" s="1816"/>
      <c r="Y18" s="3276"/>
      <c r="Z18" s="1817" t="str">
        <f>Q18</f>
        <v>基础设施水平</v>
      </c>
      <c r="AA18" s="1814">
        <f t="shared" ref="AA18" si="8">D18/F18</f>
        <v>1</v>
      </c>
      <c r="AB18" s="1814">
        <f t="shared" ref="AB18" si="9">D18/H18</f>
        <v>1</v>
      </c>
      <c r="AC18" s="1814">
        <f t="shared" ref="AC18" si="10">D18/J18</f>
        <v>1</v>
      </c>
    </row>
    <row r="19" spans="1:29" ht="15">
      <c r="A19" s="429"/>
      <c r="B19" s="1386"/>
      <c r="C19" s="2605"/>
      <c r="D19" s="451"/>
      <c r="E19" s="2605"/>
      <c r="F19" s="454"/>
      <c r="G19" s="2605"/>
      <c r="H19" s="449"/>
      <c r="I19" s="448"/>
      <c r="J19" s="449"/>
      <c r="K19" s="1385"/>
      <c r="L19" s="1142"/>
      <c r="M19" s="1133"/>
      <c r="N19" s="1133"/>
      <c r="O19" s="1141"/>
      <c r="P19" s="3276"/>
      <c r="Q19" s="1813"/>
      <c r="R19" s="773"/>
      <c r="S19" s="774"/>
      <c r="T19" s="773"/>
      <c r="U19" s="774"/>
      <c r="V19" s="773"/>
      <c r="W19" s="774"/>
      <c r="X19" s="1816"/>
      <c r="Y19" s="3276"/>
      <c r="Z19" s="1817"/>
      <c r="AA19" s="1814">
        <v>1</v>
      </c>
      <c r="AB19" s="1814">
        <v>1</v>
      </c>
      <c r="AC19" s="1814">
        <v>1</v>
      </c>
    </row>
    <row r="20" spans="1:29" ht="57">
      <c r="A20" s="429"/>
      <c r="B20" s="452" t="s">
        <v>2705</v>
      </c>
      <c r="C20" s="2604" t="str">
        <f>IF(B1="工业",估价对象房地状况!G7,估价对象房地状况!C9)</f>
        <v>区域自然环境：；人文环境；综合评价环境状况一般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2"/>
      <c r="M20" s="1133"/>
      <c r="N20" s="1133"/>
      <c r="O20" s="1141"/>
      <c r="P20" s="3276"/>
      <c r="Q20" s="1813" t="str">
        <f>B20</f>
        <v>自然及人文环境</v>
      </c>
      <c r="R20" s="773" t="s">
        <v>17</v>
      </c>
      <c r="S20" s="774">
        <f>F20</f>
        <v>100</v>
      </c>
      <c r="T20" s="773" t="s">
        <v>17</v>
      </c>
      <c r="U20" s="774">
        <f>H20</f>
        <v>100</v>
      </c>
      <c r="V20" s="773" t="s">
        <v>17</v>
      </c>
      <c r="W20" s="774">
        <f>J20</f>
        <v>100</v>
      </c>
      <c r="X20" s="1816"/>
      <c r="Y20" s="3276"/>
      <c r="Z20" s="1817" t="str">
        <f>Q20</f>
        <v>自然及人文环境</v>
      </c>
      <c r="AA20" s="1814">
        <f t="shared" si="3"/>
        <v>1</v>
      </c>
      <c r="AB20" s="1814">
        <f t="shared" si="4"/>
        <v>1</v>
      </c>
      <c r="AC20" s="1814">
        <f t="shared" si="5"/>
        <v>1</v>
      </c>
    </row>
    <row r="21" spans="1:29" ht="15">
      <c r="A21" s="429"/>
      <c r="B21" s="457"/>
      <c r="C21" s="448"/>
      <c r="D21" s="449"/>
      <c r="E21" s="448"/>
      <c r="F21" s="450"/>
      <c r="G21" s="448"/>
      <c r="H21" s="449"/>
      <c r="I21" s="448"/>
      <c r="J21" s="449"/>
      <c r="K21" s="616"/>
      <c r="L21" s="1142"/>
      <c r="M21" s="1133"/>
      <c r="N21" s="1133"/>
      <c r="O21" s="1141"/>
      <c r="P21" s="3276"/>
      <c r="Q21" s="1813"/>
      <c r="R21" s="773"/>
      <c r="S21" s="774"/>
      <c r="T21" s="773"/>
      <c r="U21" s="774"/>
      <c r="V21" s="773"/>
      <c r="W21" s="774"/>
      <c r="X21" s="1816"/>
      <c r="Y21" s="3276"/>
      <c r="Z21" s="1817"/>
      <c r="AA21" s="1814">
        <v>1</v>
      </c>
      <c r="AB21" s="1814">
        <v>1</v>
      </c>
      <c r="AC21" s="1814">
        <v>1</v>
      </c>
    </row>
    <row r="22" spans="1:29" ht="15">
      <c r="A22" s="429"/>
      <c r="B22" s="452" t="s">
        <v>2706</v>
      </c>
      <c r="C22" s="617"/>
      <c r="D22" s="451">
        <v>100</v>
      </c>
      <c r="E22" s="617"/>
      <c r="F22" s="462">
        <f>SUMIF(69:69,E22,70:70)-SUMIF(69:69,C22,70:70)+100</f>
        <v>100</v>
      </c>
      <c r="G22" s="617"/>
      <c r="H22" s="436">
        <f>SUMIF(69:69,G22,70:70)-SUMIF(69:69,C22,70:70)+100</f>
        <v>100</v>
      </c>
      <c r="I22" s="617"/>
      <c r="J22" s="436">
        <f>SUMIF(69:69,I22,70:70)-SUMIF(69:69,C22,70:70)+100</f>
        <v>100</v>
      </c>
      <c r="K22" s="613"/>
      <c r="L22" s="1142"/>
      <c r="M22" s="1133"/>
      <c r="N22" s="1133"/>
      <c r="O22" s="1141"/>
      <c r="P22" s="3276"/>
      <c r="Q22" s="1813" t="str">
        <f>B22</f>
        <v>楼层</v>
      </c>
      <c r="R22" s="773" t="s">
        <v>17</v>
      </c>
      <c r="S22" s="774">
        <f>F22</f>
        <v>100</v>
      </c>
      <c r="T22" s="773" t="s">
        <v>17</v>
      </c>
      <c r="U22" s="774">
        <f>H22</f>
        <v>100</v>
      </c>
      <c r="V22" s="773" t="s">
        <v>17</v>
      </c>
      <c r="W22" s="774">
        <f>J22</f>
        <v>100</v>
      </c>
      <c r="X22" s="1816"/>
      <c r="Y22" s="3276"/>
      <c r="Z22" s="1817" t="str">
        <f>Q22</f>
        <v>楼层</v>
      </c>
      <c r="AA22" s="1814">
        <f t="shared" si="3"/>
        <v>1</v>
      </c>
      <c r="AB22" s="1814">
        <f t="shared" si="4"/>
        <v>1</v>
      </c>
      <c r="AC22" s="1814">
        <f t="shared" si="5"/>
        <v>1</v>
      </c>
    </row>
    <row r="23" spans="1:29" ht="15">
      <c r="A23" s="405"/>
      <c r="B23" s="2597">
        <v>111</v>
      </c>
      <c r="C23" s="433"/>
      <c r="D23" s="436">
        <v>100</v>
      </c>
      <c r="E23" s="435"/>
      <c r="F23" s="462">
        <f>SUMIF(71:71,E23,72:72)-SUMIF(71:71,C23,72:72)+100</f>
        <v>100</v>
      </c>
      <c r="G23" s="435"/>
      <c r="H23" s="436">
        <f>SUMIF(71:71,G23,72:72)-SUMIF(71:71,C23,72:72)+100</f>
        <v>100</v>
      </c>
      <c r="I23" s="435"/>
      <c r="J23" s="436">
        <f>SUMIF(71:71,I23,72:72)-SUMIF(71:71,C23,72:72)+100</f>
        <v>100</v>
      </c>
      <c r="K23" s="614"/>
      <c r="L23" s="1142"/>
      <c r="M23" s="1133"/>
      <c r="N23" s="1133"/>
      <c r="O23" s="1141"/>
      <c r="P23" s="3276"/>
      <c r="Q23" s="1813">
        <f>B23</f>
        <v>111</v>
      </c>
      <c r="R23" s="773" t="s">
        <v>17</v>
      </c>
      <c r="S23" s="774">
        <f>F23</f>
        <v>100</v>
      </c>
      <c r="T23" s="773" t="s">
        <v>17</v>
      </c>
      <c r="U23" s="774">
        <f>H23</f>
        <v>100</v>
      </c>
      <c r="V23" s="773" t="s">
        <v>17</v>
      </c>
      <c r="W23" s="774">
        <f>J23</f>
        <v>100</v>
      </c>
      <c r="X23" s="1816"/>
      <c r="Y23" s="3276"/>
      <c r="Z23" s="1817">
        <f>Q23</f>
        <v>111</v>
      </c>
      <c r="AA23" s="1814">
        <f t="shared" si="3"/>
        <v>1</v>
      </c>
      <c r="AB23" s="1814">
        <f t="shared" si="4"/>
        <v>1</v>
      </c>
      <c r="AC23" s="1814">
        <f t="shared" si="5"/>
        <v>1</v>
      </c>
    </row>
    <row r="24" spans="1:29" ht="15">
      <c r="A24" s="429"/>
      <c r="B24" s="2597">
        <v>111</v>
      </c>
      <c r="C24" s="433"/>
      <c r="D24" s="436">
        <v>100</v>
      </c>
      <c r="E24" s="435"/>
      <c r="F24" s="462">
        <f>SUMIF(73:73,E24,74:74)-SUMIF(73:73,C24,74:74)+100</f>
        <v>100</v>
      </c>
      <c r="G24" s="435"/>
      <c r="H24" s="436">
        <f>SUMIF(73:73,G24,74:74)-SUMIF(73:73,C24,74:74)+100</f>
        <v>100</v>
      </c>
      <c r="I24" s="435"/>
      <c r="J24" s="436">
        <f>SUMIF(73:73,I24,74:74)-SUMIF(73:73,C24,74:74)+100</f>
        <v>100</v>
      </c>
      <c r="K24" s="614"/>
      <c r="L24" s="1142"/>
      <c r="M24" s="1133"/>
      <c r="N24" s="1133"/>
      <c r="O24" s="1141"/>
      <c r="P24" s="3276"/>
      <c r="Q24" s="1813">
        <f t="shared" ref="Q24:Q34" si="11">B24</f>
        <v>111</v>
      </c>
      <c r="R24" s="773" t="s">
        <v>17</v>
      </c>
      <c r="S24" s="774">
        <f>F24</f>
        <v>100</v>
      </c>
      <c r="T24" s="773" t="s">
        <v>17</v>
      </c>
      <c r="U24" s="774">
        <f>H24</f>
        <v>100</v>
      </c>
      <c r="V24" s="773" t="s">
        <v>17</v>
      </c>
      <c r="W24" s="774">
        <f>J24</f>
        <v>100</v>
      </c>
      <c r="X24" s="1816"/>
      <c r="Y24" s="3276"/>
      <c r="Z24" s="1817">
        <f>Q24</f>
        <v>111</v>
      </c>
      <c r="AA24" s="1814">
        <f t="shared" si="3"/>
        <v>1</v>
      </c>
      <c r="AB24" s="1814">
        <f t="shared" si="4"/>
        <v>1</v>
      </c>
      <c r="AC24" s="1814">
        <f t="shared" si="5"/>
        <v>1</v>
      </c>
    </row>
    <row r="25" spans="1:29" s="117" customFormat="1" ht="15.75" thickBot="1">
      <c r="A25" s="432"/>
      <c r="B25" s="2597">
        <v>111</v>
      </c>
      <c r="C25" s="2695"/>
      <c r="D25" s="665">
        <v>100</v>
      </c>
      <c r="E25" s="2695"/>
      <c r="F25" s="666">
        <f>SUMIF(75:75,E25,76:76)-SUMIF(75:75,C25,76:76)+100</f>
        <v>100</v>
      </c>
      <c r="G25" s="2695"/>
      <c r="H25" s="665">
        <f>SUMIF(75:75,G25,76:76)-SUMIF(75:75,C25,76:76)+100</f>
        <v>100</v>
      </c>
      <c r="I25" s="2695"/>
      <c r="J25" s="665">
        <f>SUMIF(75:75,I25,76:76)-SUMIF(75:75,C25,76:76)+100</f>
        <v>100</v>
      </c>
      <c r="K25" s="614"/>
      <c r="L25" s="1134"/>
      <c r="M25" s="1135"/>
      <c r="N25" s="1135"/>
      <c r="O25" s="1136"/>
      <c r="P25" s="3276"/>
      <c r="Q25" s="1798">
        <f t="shared" si="11"/>
        <v>111</v>
      </c>
      <c r="R25" s="769" t="s">
        <v>17</v>
      </c>
      <c r="S25" s="770">
        <f>F25</f>
        <v>100</v>
      </c>
      <c r="T25" s="769" t="s">
        <v>17</v>
      </c>
      <c r="U25" s="770">
        <f>H25</f>
        <v>100</v>
      </c>
      <c r="V25" s="769" t="s">
        <v>17</v>
      </c>
      <c r="W25" s="770">
        <f>J25</f>
        <v>100</v>
      </c>
      <c r="X25" s="771"/>
      <c r="Y25" s="3276"/>
      <c r="Z25" s="55">
        <f>Q25</f>
        <v>111</v>
      </c>
      <c r="AA25" s="1814">
        <f>D25/F25</f>
        <v>1</v>
      </c>
      <c r="AB25" s="1814">
        <f>D25/H25</f>
        <v>1</v>
      </c>
      <c r="AC25" s="1814">
        <f>D25/J25</f>
        <v>1</v>
      </c>
    </row>
    <row r="26" spans="1:29" ht="15">
      <c r="A26" s="467" t="s">
        <v>2559</v>
      </c>
      <c r="B26" s="71" t="s">
        <v>2709</v>
      </c>
      <c r="C26" s="2676"/>
      <c r="D26" s="468">
        <v>100</v>
      </c>
      <c r="E26" s="2676"/>
      <c r="F26" s="667">
        <f>SUMIF(77:77,E26,78:78)-SUMIF(77:77,C26,78:78)+100</f>
        <v>100</v>
      </c>
      <c r="G26" s="2676"/>
      <c r="H26" s="468">
        <f>SUMIF(77:77,G26,78:78)-SUMIF(77:77,C26,78:78)+100</f>
        <v>100</v>
      </c>
      <c r="I26" s="2676"/>
      <c r="J26" s="468">
        <f>SUMIF(77:77,I26,78:78)-SUMIF(77:77,C26,78:78)+100</f>
        <v>100</v>
      </c>
      <c r="K26" s="613"/>
      <c r="L26" s="1142"/>
      <c r="M26" s="1133"/>
      <c r="N26" s="1133"/>
      <c r="O26" s="1141"/>
      <c r="P26" s="3277" t="s">
        <v>2561</v>
      </c>
      <c r="Q26" s="1813" t="str">
        <f t="shared" si="11"/>
        <v>公共部分装修</v>
      </c>
      <c r="R26" s="773" t="s">
        <v>17</v>
      </c>
      <c r="S26" s="774">
        <f t="shared" ref="S26:S34" si="12">F26</f>
        <v>100</v>
      </c>
      <c r="T26" s="773" t="s">
        <v>17</v>
      </c>
      <c r="U26" s="774">
        <f t="shared" ref="U26:U34" si="13">H26</f>
        <v>100</v>
      </c>
      <c r="V26" s="773" t="s">
        <v>17</v>
      </c>
      <c r="W26" s="774">
        <f t="shared" ref="W26:W34" si="14">J26</f>
        <v>100</v>
      </c>
      <c r="X26" s="1816"/>
      <c r="Y26" s="3278" t="s">
        <v>2561</v>
      </c>
      <c r="Z26" s="1817" t="str">
        <f t="shared" ref="Z26:Z34" si="15">Q26</f>
        <v>公共部分装修</v>
      </c>
      <c r="AA26" s="1814">
        <f t="shared" si="3"/>
        <v>1</v>
      </c>
      <c r="AB26" s="1814">
        <f t="shared" si="4"/>
        <v>1</v>
      </c>
      <c r="AC26" s="1814">
        <f t="shared" si="5"/>
        <v>1</v>
      </c>
    </row>
    <row r="27" spans="1:29" s="472" customFormat="1" ht="15">
      <c r="A27" s="469"/>
      <c r="B27" s="423" t="s">
        <v>2710</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0"/>
      <c r="M27" s="1143"/>
      <c r="N27" s="1143"/>
      <c r="O27" s="1144"/>
      <c r="P27" s="3278"/>
      <c r="Q27" s="775" t="str">
        <f t="shared" si="11"/>
        <v>成新率</v>
      </c>
      <c r="R27" s="776" t="s">
        <v>17</v>
      </c>
      <c r="S27" s="777" t="e">
        <f t="shared" si="12"/>
        <v>#N/A</v>
      </c>
      <c r="T27" s="776" t="s">
        <v>17</v>
      </c>
      <c r="U27" s="777" t="e">
        <f t="shared" si="13"/>
        <v>#N/A</v>
      </c>
      <c r="V27" s="776" t="s">
        <v>17</v>
      </c>
      <c r="W27" s="777" t="e">
        <f t="shared" si="14"/>
        <v>#N/A</v>
      </c>
      <c r="X27" s="778"/>
      <c r="Y27" s="3278"/>
      <c r="Z27" s="779" t="str">
        <f t="shared" si="15"/>
        <v>成新率</v>
      </c>
      <c r="AA27" s="1814" t="e">
        <f t="shared" si="3"/>
        <v>#N/A</v>
      </c>
      <c r="AB27" s="1814" t="e">
        <f t="shared" si="4"/>
        <v>#N/A</v>
      </c>
      <c r="AC27" s="1814" t="e">
        <f t="shared" si="5"/>
        <v>#N/A</v>
      </c>
    </row>
    <row r="28" spans="1:29" ht="15">
      <c r="A28" s="473"/>
      <c r="B28" s="423" t="s">
        <v>2711</v>
      </c>
      <c r="C28" s="461"/>
      <c r="D28" s="436">
        <v>100</v>
      </c>
      <c r="E28" s="461"/>
      <c r="F28" s="462">
        <f>SUMIF(82:82,E28,83:83)-SUMIF(82:82,C28,83:83)+100</f>
        <v>100</v>
      </c>
      <c r="G28" s="461"/>
      <c r="H28" s="436">
        <f>SUMIF(82:82,G28,83:83)-SUMIF(82:82,C28,83:83)+100</f>
        <v>100</v>
      </c>
      <c r="I28" s="461"/>
      <c r="J28" s="436">
        <f>SUMIF(82:82,I28,83:83)-SUMIF(82:82,C28,83:83)+100</f>
        <v>100</v>
      </c>
      <c r="K28" s="613"/>
      <c r="L28" s="1142"/>
      <c r="M28" s="1133"/>
      <c r="N28" s="1133"/>
      <c r="O28" s="1141"/>
      <c r="P28" s="3278"/>
      <c r="Q28" s="1813" t="str">
        <f t="shared" si="11"/>
        <v>物业等级</v>
      </c>
      <c r="R28" s="773" t="s">
        <v>17</v>
      </c>
      <c r="S28" s="774">
        <f t="shared" si="12"/>
        <v>100</v>
      </c>
      <c r="T28" s="773" t="s">
        <v>17</v>
      </c>
      <c r="U28" s="774">
        <f t="shared" si="13"/>
        <v>100</v>
      </c>
      <c r="V28" s="773" t="s">
        <v>17</v>
      </c>
      <c r="W28" s="774">
        <f t="shared" si="14"/>
        <v>100</v>
      </c>
      <c r="X28" s="1816"/>
      <c r="Y28" s="3278"/>
      <c r="Z28" s="1817" t="str">
        <f t="shared" si="15"/>
        <v>物业等级</v>
      </c>
      <c r="AA28" s="1814">
        <f t="shared" si="3"/>
        <v>1</v>
      </c>
      <c r="AB28" s="1814">
        <f t="shared" si="4"/>
        <v>1</v>
      </c>
      <c r="AC28" s="1814">
        <f t="shared" si="5"/>
        <v>1</v>
      </c>
    </row>
    <row r="29" spans="1:29" ht="15">
      <c r="A29" s="473"/>
      <c r="B29" s="423" t="s">
        <v>2732</v>
      </c>
      <c r="C29" s="657"/>
      <c r="D29" s="436">
        <v>100</v>
      </c>
      <c r="E29" s="657"/>
      <c r="F29" s="462">
        <f>SUMIF(84:84,E29,85:85)-SUMIF(84:84,C29,85:85)+100</f>
        <v>100</v>
      </c>
      <c r="G29" s="657"/>
      <c r="H29" s="436">
        <f>SUMIF(84:84,G29,85:85)-SUMIF(84:84,C29,85:85)+100</f>
        <v>100</v>
      </c>
      <c r="I29" s="657"/>
      <c r="J29" s="436">
        <f>SUMIF(84:84,I29,85:85)-SUMIF(84:84,C29,85:85)+100</f>
        <v>100</v>
      </c>
      <c r="K29" s="613"/>
      <c r="L29" s="1142"/>
      <c r="M29" s="1133"/>
      <c r="N29" s="1133"/>
      <c r="O29" s="1141"/>
      <c r="P29" s="3278"/>
      <c r="Q29" s="1813" t="str">
        <f t="shared" si="11"/>
        <v>有无电梯</v>
      </c>
      <c r="R29" s="773" t="s">
        <v>17</v>
      </c>
      <c r="S29" s="774">
        <f t="shared" si="12"/>
        <v>100</v>
      </c>
      <c r="T29" s="773" t="s">
        <v>17</v>
      </c>
      <c r="U29" s="774">
        <f t="shared" si="13"/>
        <v>100</v>
      </c>
      <c r="V29" s="773" t="s">
        <v>17</v>
      </c>
      <c r="W29" s="774">
        <f t="shared" si="14"/>
        <v>100</v>
      </c>
      <c r="X29" s="1816"/>
      <c r="Y29" s="3278"/>
      <c r="Z29" s="1817" t="str">
        <f t="shared" si="15"/>
        <v>有无电梯</v>
      </c>
      <c r="AA29" s="1814">
        <f t="shared" si="3"/>
        <v>1</v>
      </c>
      <c r="AB29" s="1814">
        <f t="shared" si="4"/>
        <v>1</v>
      </c>
      <c r="AC29" s="1814">
        <f t="shared" si="5"/>
        <v>1</v>
      </c>
    </row>
    <row r="30" spans="1:29" ht="15">
      <c r="A30" s="473"/>
      <c r="B30" s="423" t="s">
        <v>2733</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2"/>
      <c r="M30" s="1133"/>
      <c r="N30" s="1133"/>
      <c r="O30" s="1141"/>
      <c r="P30" s="3278"/>
      <c r="Q30" s="1813" t="str">
        <f t="shared" si="11"/>
        <v>建筑面积</v>
      </c>
      <c r="R30" s="773" t="s">
        <v>17</v>
      </c>
      <c r="S30" s="774" t="e">
        <f t="shared" si="12"/>
        <v>#N/A</v>
      </c>
      <c r="T30" s="773" t="s">
        <v>17</v>
      </c>
      <c r="U30" s="774" t="e">
        <f t="shared" si="13"/>
        <v>#N/A</v>
      </c>
      <c r="V30" s="773" t="s">
        <v>17</v>
      </c>
      <c r="W30" s="774" t="e">
        <f t="shared" si="14"/>
        <v>#N/A</v>
      </c>
      <c r="X30" s="1816"/>
      <c r="Y30" s="3278"/>
      <c r="Z30" s="1817" t="str">
        <f t="shared" si="15"/>
        <v>建筑面积</v>
      </c>
      <c r="AA30" s="1814" t="e">
        <f t="shared" si="3"/>
        <v>#N/A</v>
      </c>
      <c r="AB30" s="1814" t="e">
        <f t="shared" si="4"/>
        <v>#N/A</v>
      </c>
      <c r="AC30" s="1814" t="e">
        <f t="shared" si="5"/>
        <v>#N/A</v>
      </c>
    </row>
    <row r="31" spans="1:29" s="117" customFormat="1" ht="15">
      <c r="A31" s="474"/>
      <c r="B31" s="423" t="s">
        <v>2734</v>
      </c>
      <c r="C31" s="657"/>
      <c r="D31" s="136">
        <v>100</v>
      </c>
      <c r="E31" s="657"/>
      <c r="F31" s="462">
        <f>SUMIF(89:89,E31,90:90)-SUMIF(89:89,C31,90:90)+100</f>
        <v>100</v>
      </c>
      <c r="G31" s="657"/>
      <c r="H31" s="436">
        <f>SUMIF(89:89,G31,90:90)-SUMIF(89:89,C31,90:90)+100</f>
        <v>100</v>
      </c>
      <c r="I31" s="657"/>
      <c r="J31" s="436">
        <f>SUMIF(89:89,I31,90:90)-SUMIF(89:89,C31,90:90)+100</f>
        <v>100</v>
      </c>
      <c r="K31" s="613"/>
      <c r="L31" s="1134"/>
      <c r="M31" s="1135"/>
      <c r="N31" s="1135"/>
      <c r="O31" s="1136"/>
      <c r="P31" s="3278"/>
      <c r="Q31" s="1798" t="str">
        <f t="shared" si="11"/>
        <v>是否封闭</v>
      </c>
      <c r="R31" s="769" t="s">
        <v>17</v>
      </c>
      <c r="S31" s="770">
        <f t="shared" si="12"/>
        <v>100</v>
      </c>
      <c r="T31" s="769" t="s">
        <v>17</v>
      </c>
      <c r="U31" s="770">
        <f t="shared" si="13"/>
        <v>100</v>
      </c>
      <c r="V31" s="769" t="s">
        <v>17</v>
      </c>
      <c r="W31" s="770">
        <f t="shared" si="14"/>
        <v>100</v>
      </c>
      <c r="X31" s="771"/>
      <c r="Y31" s="3278"/>
      <c r="Z31" s="55" t="str">
        <f t="shared" si="15"/>
        <v>是否封闭</v>
      </c>
      <c r="AA31" s="772">
        <f t="shared" si="3"/>
        <v>1</v>
      </c>
      <c r="AB31" s="772">
        <f t="shared" si="4"/>
        <v>1</v>
      </c>
      <c r="AC31" s="772">
        <f t="shared" si="5"/>
        <v>1</v>
      </c>
    </row>
    <row r="32" spans="1:29" ht="15">
      <c r="A32" s="473"/>
      <c r="B32" s="2597">
        <v>111</v>
      </c>
      <c r="C32" s="433"/>
      <c r="D32" s="436">
        <v>100</v>
      </c>
      <c r="E32" s="470"/>
      <c r="F32" s="462">
        <f>SUMIF(91:91,E32,92:92)-SUMIF(91:91,C32,92:92)+100</f>
        <v>100</v>
      </c>
      <c r="G32" s="470"/>
      <c r="H32" s="436">
        <f>SUMIF(91:91,G32,92:92)-SUMIF(91:91,C32,92:92)+100</f>
        <v>100</v>
      </c>
      <c r="I32" s="470"/>
      <c r="J32" s="436">
        <f>SUMIF(91:91,I32,92:92)-SUMIF(91:91,C32,92:92)+100</f>
        <v>100</v>
      </c>
      <c r="K32" s="614"/>
      <c r="L32" s="1142"/>
      <c r="M32" s="1133"/>
      <c r="N32" s="1133"/>
      <c r="O32" s="1141"/>
      <c r="P32" s="3278" t="s">
        <v>2561</v>
      </c>
      <c r="Q32" s="1813">
        <f t="shared" si="11"/>
        <v>111</v>
      </c>
      <c r="R32" s="773" t="s">
        <v>17</v>
      </c>
      <c r="S32" s="774">
        <f t="shared" si="12"/>
        <v>100</v>
      </c>
      <c r="T32" s="773" t="s">
        <v>17</v>
      </c>
      <c r="U32" s="774">
        <f t="shared" si="13"/>
        <v>100</v>
      </c>
      <c r="V32" s="773" t="s">
        <v>17</v>
      </c>
      <c r="W32" s="774">
        <f t="shared" si="14"/>
        <v>100</v>
      </c>
      <c r="X32" s="1816"/>
      <c r="Y32" s="3278" t="s">
        <v>2561</v>
      </c>
      <c r="Z32" s="1817">
        <f t="shared" si="15"/>
        <v>111</v>
      </c>
      <c r="AA32" s="1814">
        <f t="shared" si="3"/>
        <v>1</v>
      </c>
      <c r="AB32" s="1814">
        <f t="shared" si="4"/>
        <v>1</v>
      </c>
      <c r="AC32" s="1814">
        <f t="shared" si="5"/>
        <v>1</v>
      </c>
    </row>
    <row r="33" spans="1:29" ht="15">
      <c r="A33" s="473"/>
      <c r="B33" s="2597">
        <v>111</v>
      </c>
      <c r="C33" s="433"/>
      <c r="D33" s="436">
        <v>100</v>
      </c>
      <c r="E33" s="470"/>
      <c r="F33" s="462">
        <f>SUMIF(93:93,E33,94:94)-SUMIF(93:93,C33,94:94)+100</f>
        <v>100</v>
      </c>
      <c r="G33" s="470"/>
      <c r="H33" s="436">
        <f>SUMIF(93:93,G33,94:94)-SUMIF(93:93,C33,94:94)+100</f>
        <v>100</v>
      </c>
      <c r="I33" s="470"/>
      <c r="J33" s="436">
        <f>SUMIF(93:93,I33,94:94)-SUMIF(93:93,C33,94:94)+100</f>
        <v>100</v>
      </c>
      <c r="K33" s="614"/>
      <c r="L33" s="1142"/>
      <c r="M33" s="1133"/>
      <c r="N33" s="1133"/>
      <c r="O33" s="1141"/>
      <c r="P33" s="3278"/>
      <c r="Q33" s="1813">
        <f t="shared" si="11"/>
        <v>111</v>
      </c>
      <c r="R33" s="773" t="s">
        <v>17</v>
      </c>
      <c r="S33" s="774">
        <f t="shared" si="12"/>
        <v>100</v>
      </c>
      <c r="T33" s="773" t="s">
        <v>17</v>
      </c>
      <c r="U33" s="774">
        <f t="shared" si="13"/>
        <v>100</v>
      </c>
      <c r="V33" s="773" t="s">
        <v>17</v>
      </c>
      <c r="W33" s="774">
        <f t="shared" si="14"/>
        <v>100</v>
      </c>
      <c r="X33" s="1816"/>
      <c r="Y33" s="3278"/>
      <c r="Z33" s="1817">
        <f t="shared" si="15"/>
        <v>111</v>
      </c>
      <c r="AA33" s="1814">
        <f t="shared" si="3"/>
        <v>1</v>
      </c>
      <c r="AB33" s="1814">
        <f t="shared" si="4"/>
        <v>1</v>
      </c>
      <c r="AC33" s="1814">
        <f t="shared" si="5"/>
        <v>1</v>
      </c>
    </row>
    <row r="34" spans="1:29" ht="15.75" thickBot="1">
      <c r="A34" s="479"/>
      <c r="B34" s="2599">
        <v>111</v>
      </c>
      <c r="C34" s="438"/>
      <c r="D34" s="439">
        <v>100</v>
      </c>
      <c r="E34" s="2694"/>
      <c r="F34" s="440">
        <f>SUMIF(95:95,E34,96:96)-SUMIF(95:95,C34,96:96)+100</f>
        <v>100</v>
      </c>
      <c r="G34" s="2694"/>
      <c r="H34" s="439">
        <f>SUMIF(95:95,G34,96:96)-SUMIF(95:95,C34,96:96)+100</f>
        <v>100</v>
      </c>
      <c r="I34" s="2694"/>
      <c r="J34" s="439">
        <f>SUMIF(95:95,I34,96:96)-SUMIF(95:95,C34,96:96)+100</f>
        <v>100</v>
      </c>
      <c r="K34" s="614"/>
      <c r="L34" s="1142"/>
      <c r="M34" s="1133"/>
      <c r="N34" s="1133"/>
      <c r="O34" s="1141"/>
      <c r="P34" s="3278"/>
      <c r="Q34" s="1813">
        <f t="shared" si="11"/>
        <v>111</v>
      </c>
      <c r="R34" s="773" t="s">
        <v>17</v>
      </c>
      <c r="S34" s="774">
        <f t="shared" si="12"/>
        <v>100</v>
      </c>
      <c r="T34" s="773" t="s">
        <v>17</v>
      </c>
      <c r="U34" s="774">
        <f t="shared" si="13"/>
        <v>100</v>
      </c>
      <c r="V34" s="773" t="s">
        <v>17</v>
      </c>
      <c r="W34" s="774">
        <f t="shared" si="14"/>
        <v>100</v>
      </c>
      <c r="X34" s="1816"/>
      <c r="Y34" s="3278"/>
      <c r="Z34" s="1817">
        <f t="shared" si="15"/>
        <v>111</v>
      </c>
      <c r="AA34" s="1814">
        <f t="shared" si="3"/>
        <v>1</v>
      </c>
      <c r="AB34" s="1814">
        <f t="shared" si="4"/>
        <v>1</v>
      </c>
      <c r="AC34" s="1814">
        <f t="shared" si="5"/>
        <v>1</v>
      </c>
    </row>
    <row r="35" spans="1:29" ht="15">
      <c r="A35" s="480" t="s">
        <v>2573</v>
      </c>
      <c r="B35" s="481"/>
      <c r="C35" s="1409" t="s">
        <v>1</v>
      </c>
      <c r="D35" s="1410"/>
      <c r="E35" s="1411"/>
      <c r="F35" s="1412"/>
      <c r="G35" s="1413"/>
      <c r="H35" s="1414"/>
      <c r="I35" s="1411"/>
      <c r="J35" s="1414"/>
      <c r="K35" s="782"/>
      <c r="L35" s="1145"/>
      <c r="M35" s="1146"/>
      <c r="N35" s="1133"/>
      <c r="O35" s="1146"/>
      <c r="P35" s="3273" t="str">
        <f>A35</f>
        <v>成交单价（元/平方米）</v>
      </c>
      <c r="Q35" s="3273"/>
      <c r="R35" s="3340">
        <f>E35</f>
        <v>0</v>
      </c>
      <c r="S35" s="3340"/>
      <c r="T35" s="3340">
        <f>G35</f>
        <v>0</v>
      </c>
      <c r="U35" s="3340"/>
      <c r="V35" s="3340">
        <f>I35</f>
        <v>0</v>
      </c>
      <c r="W35" s="3340"/>
      <c r="X35" s="758"/>
      <c r="Y35" s="780"/>
      <c r="Z35" s="758"/>
      <c r="AA35" s="758"/>
      <c r="AB35" s="758"/>
      <c r="AC35" s="758"/>
    </row>
    <row r="36" spans="1:29" ht="15.75" thickBot="1">
      <c r="A36" s="487" t="s">
        <v>2664</v>
      </c>
      <c r="B36" s="488"/>
      <c r="C36" s="1415" t="e">
        <f>R37</f>
        <v>#DIV/0!</v>
      </c>
      <c r="D36" s="1416"/>
      <c r="E36" s="1417" t="e">
        <f>R36</f>
        <v>#DIV/0!</v>
      </c>
      <c r="F36" s="1417"/>
      <c r="G36" s="1415" t="e">
        <f>T36</f>
        <v>#DIV/0!</v>
      </c>
      <c r="H36" s="1416"/>
      <c r="I36" s="1417" t="e">
        <f>V36</f>
        <v>#DIV/0!</v>
      </c>
      <c r="J36" s="1416"/>
      <c r="K36" s="783"/>
      <c r="L36" s="1145"/>
      <c r="M36" s="1146"/>
      <c r="N36" s="1133"/>
      <c r="O36" s="1146"/>
      <c r="P36" s="3273" t="str">
        <f>A36</f>
        <v>比较价值（元/平方米）</v>
      </c>
      <c r="Q36" s="3273"/>
      <c r="R36" s="3340" t="e">
        <f>IF(F1="售价",ROUND(PRODUCT(R35,AA7:AA34),0),ROUND(PRODUCT(R35,AA7:AA34),1))</f>
        <v>#DIV/0!</v>
      </c>
      <c r="S36" s="3340"/>
      <c r="T36" s="3340" t="e">
        <f>IF(F1="售价",ROUND(PRODUCT(T35,AB7:AB34),0),ROUND(PRODUCT(T35,AB7:AB34),1))</f>
        <v>#DIV/0!</v>
      </c>
      <c r="U36" s="3340"/>
      <c r="V36" s="3340" t="e">
        <f>IF(F1="售价",ROUND(PRODUCT(V35,AC7:AC34),0),ROUND(PRODUCT(V35,AC7:AC34),1))</f>
        <v>#DIV/0!</v>
      </c>
      <c r="W36" s="3340"/>
      <c r="X36" s="758"/>
      <c r="Y36" s="758"/>
      <c r="Z36" s="758"/>
      <c r="AA36" s="758"/>
      <c r="AB36" s="758"/>
      <c r="AC36" s="758"/>
    </row>
    <row r="37" spans="1:29" ht="15.75" thickBot="1">
      <c r="A37" s="493" t="s">
        <v>2665</v>
      </c>
      <c r="B37" s="494"/>
      <c r="C37" s="1419" t="e">
        <f>R37</f>
        <v>#DIV/0!</v>
      </c>
      <c r="D37" s="1419"/>
      <c r="E37" s="1419"/>
      <c r="F37" s="1419"/>
      <c r="G37" s="1419"/>
      <c r="H37" s="1419"/>
      <c r="I37" s="1419"/>
      <c r="J37" s="1419"/>
      <c r="K37" s="784"/>
      <c r="L37" s="1145"/>
      <c r="M37" s="1146"/>
      <c r="N37" s="1146"/>
      <c r="O37" s="1146"/>
      <c r="P37" s="3267" t="str">
        <f>A37</f>
        <v>估价对象XX用房的比较价值（楼面单价，元/平方米）</v>
      </c>
      <c r="Q37" s="3268"/>
      <c r="R37" s="3339" t="e">
        <f>IF(F1="售价",ROUND(AVERAGE(R36:V36),0),ROUND(AVERAGE(R36:V36),1))</f>
        <v>#DIV/0!</v>
      </c>
      <c r="S37" s="3339"/>
      <c r="T37" s="3339"/>
      <c r="U37" s="3339"/>
      <c r="V37" s="3339"/>
      <c r="W37" s="3339"/>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8" t="s">
        <v>2666</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7"/>
      <c r="L40" s="1108"/>
      <c r="M40" s="1146"/>
      <c r="N40" s="1146"/>
      <c r="O40" s="1146"/>
    </row>
    <row r="41" spans="1:29" ht="13.5" customHeight="1">
      <c r="A41" s="1146"/>
      <c r="B41" s="1146"/>
      <c r="C41" s="498" t="s">
        <v>2667</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7"/>
      <c r="L41" s="1108"/>
      <c r="M41" s="1146"/>
      <c r="N41" s="1146"/>
      <c r="O41" s="1146"/>
    </row>
    <row r="42" spans="1:29" s="503" customFormat="1" ht="13.5" customHeight="1">
      <c r="A42" s="1147"/>
      <c r="B42" s="1147"/>
      <c r="C42" s="498" t="s">
        <v>2668</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0"/>
      <c r="L42" s="1151"/>
      <c r="M42" s="1147"/>
      <c r="N42" s="1147"/>
      <c r="O42" s="1147"/>
    </row>
    <row r="43" spans="1:29" s="503"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2669</v>
      </c>
      <c r="B45" s="758"/>
      <c r="C45" s="763"/>
      <c r="D45" s="763"/>
      <c r="E45" s="763"/>
      <c r="F45" s="764"/>
      <c r="G45" s="764"/>
      <c r="H45" s="763"/>
      <c r="I45" s="763"/>
      <c r="J45" s="763"/>
      <c r="K45" s="765"/>
      <c r="L45" s="766"/>
      <c r="M45" s="763"/>
      <c r="N45" s="763"/>
      <c r="O45" s="763"/>
      <c r="P45" s="504"/>
      <c r="Q45" s="505"/>
    </row>
    <row r="46" spans="1:29" s="509" customFormat="1" ht="15">
      <c r="A46" s="506" t="s">
        <v>2544</v>
      </c>
      <c r="B46" s="507"/>
      <c r="C46" s="1577" t="str">
        <f>YEAR(C7)&amp;"-"&amp;MONTH(C7)</f>
        <v>2017-11</v>
      </c>
      <c r="D46" s="1578">
        <f>EDATE(C46,-1)</f>
        <v>43009</v>
      </c>
      <c r="E46" s="1578">
        <f t="shared" ref="E46:O46" si="16">EDATE(D46,-1)</f>
        <v>42979</v>
      </c>
      <c r="F46" s="1578">
        <f t="shared" si="16"/>
        <v>42948</v>
      </c>
      <c r="G46" s="1578">
        <f t="shared" si="16"/>
        <v>42917</v>
      </c>
      <c r="H46" s="1578">
        <f t="shared" si="16"/>
        <v>42887</v>
      </c>
      <c r="I46" s="1578">
        <f t="shared" si="16"/>
        <v>42856</v>
      </c>
      <c r="J46" s="1578">
        <f t="shared" si="16"/>
        <v>42826</v>
      </c>
      <c r="K46" s="1578">
        <f t="shared" si="16"/>
        <v>42795</v>
      </c>
      <c r="L46" s="1578">
        <f t="shared" si="16"/>
        <v>42767</v>
      </c>
      <c r="M46" s="1578">
        <f t="shared" si="16"/>
        <v>42736</v>
      </c>
      <c r="N46" s="1578">
        <f t="shared" si="16"/>
        <v>42705</v>
      </c>
      <c r="O46" s="1578">
        <f t="shared" si="16"/>
        <v>42675</v>
      </c>
      <c r="P46" s="508"/>
    </row>
    <row r="47" spans="1:29" s="117" customFormat="1" ht="15">
      <c r="A47" s="510"/>
      <c r="B47" s="511"/>
      <c r="C47" s="1576">
        <v>100</v>
      </c>
      <c r="D47" s="513"/>
      <c r="E47" s="513"/>
      <c r="F47" s="513"/>
      <c r="G47" s="513"/>
      <c r="H47" s="513"/>
      <c r="I47" s="513"/>
      <c r="J47" s="513"/>
      <c r="K47" s="513"/>
      <c r="L47" s="513"/>
      <c r="M47" s="514"/>
      <c r="N47" s="513"/>
      <c r="O47" s="515"/>
      <c r="P47" s="505"/>
    </row>
    <row r="48" spans="1:29" s="117" customFormat="1" ht="15.75" thickBot="1">
      <c r="A48" s="516" t="s">
        <v>2581</v>
      </c>
      <c r="B48" s="517"/>
      <c r="C48" s="518"/>
      <c r="D48" s="519"/>
      <c r="E48" s="519"/>
      <c r="F48" s="519"/>
      <c r="G48" s="519"/>
      <c r="H48" s="519"/>
      <c r="I48" s="519"/>
      <c r="J48" s="519"/>
      <c r="K48" s="519"/>
      <c r="L48" s="519"/>
      <c r="M48" s="520"/>
      <c r="N48" s="519"/>
      <c r="O48" s="521"/>
      <c r="P48" s="505"/>
      <c r="Q48" s="505"/>
    </row>
    <row r="49" spans="1:17" s="117" customFormat="1" ht="15">
      <c r="A49" s="522" t="s">
        <v>2546</v>
      </c>
      <c r="B49" s="511"/>
      <c r="C49" s="523" t="s">
        <v>2648</v>
      </c>
      <c r="D49" s="524"/>
      <c r="E49" s="524"/>
      <c r="F49" s="524"/>
      <c r="G49" s="524"/>
      <c r="H49" s="524"/>
      <c r="I49" s="524"/>
      <c r="J49" s="524"/>
      <c r="K49" s="524"/>
      <c r="L49" s="525"/>
      <c r="M49" s="526"/>
      <c r="N49" s="1153"/>
      <c r="O49" s="1153"/>
      <c r="P49" s="527"/>
      <c r="Q49" s="505"/>
    </row>
    <row r="50" spans="1:17" s="117" customFormat="1" ht="15.75" thickBot="1">
      <c r="A50" s="522"/>
      <c r="B50" s="511"/>
      <c r="C50" s="639">
        <v>100</v>
      </c>
      <c r="D50" s="513"/>
      <c r="E50" s="513"/>
      <c r="F50" s="513"/>
      <c r="G50" s="513"/>
      <c r="H50" s="513"/>
      <c r="I50" s="513"/>
      <c r="J50" s="513"/>
      <c r="K50" s="513"/>
      <c r="L50" s="513"/>
      <c r="M50" s="515"/>
      <c r="N50" s="1153"/>
      <c r="O50" s="1153"/>
      <c r="P50" s="505"/>
      <c r="Q50" s="505"/>
    </row>
    <row r="51" spans="1:17">
      <c r="A51" s="528" t="s">
        <v>2584</v>
      </c>
      <c r="B51" s="529" t="s">
        <v>2550</v>
      </c>
      <c r="C51" s="530">
        <f>C9</f>
        <v>0</v>
      </c>
      <c r="D51" s="531"/>
      <c r="E51" s="531"/>
      <c r="F51" s="531"/>
      <c r="G51" s="531"/>
      <c r="H51" s="531"/>
      <c r="I51" s="531"/>
      <c r="J51" s="531"/>
      <c r="K51" s="532"/>
      <c r="L51" s="533"/>
      <c r="M51" s="534"/>
      <c r="N51" s="1154"/>
      <c r="O51" s="1154"/>
      <c r="P51" s="45"/>
      <c r="Q51" s="505"/>
    </row>
    <row r="52" spans="1:17" ht="15.75" thickBot="1">
      <c r="A52" s="535"/>
      <c r="B52" s="536"/>
      <c r="C52" s="537">
        <v>100</v>
      </c>
      <c r="D52" s="537"/>
      <c r="E52" s="537"/>
      <c r="F52" s="537"/>
      <c r="G52" s="537"/>
      <c r="H52" s="537"/>
      <c r="I52" s="537"/>
      <c r="J52" s="537"/>
      <c r="K52" s="537"/>
      <c r="L52" s="537"/>
      <c r="M52" s="538"/>
      <c r="N52" s="1155"/>
      <c r="O52" s="1155"/>
      <c r="P52" s="45"/>
      <c r="Q52" s="505"/>
    </row>
    <row r="53" spans="1:17" ht="27.75" thickTop="1">
      <c r="A53" s="535"/>
      <c r="B53" s="539" t="s">
        <v>2553</v>
      </c>
      <c r="C53" s="540" t="s">
        <v>2585</v>
      </c>
      <c r="D53" s="540" t="s">
        <v>2586</v>
      </c>
      <c r="E53" s="540" t="s">
        <v>2587</v>
      </c>
      <c r="F53" s="540" t="s">
        <v>2588</v>
      </c>
      <c r="G53" s="540" t="s">
        <v>2589</v>
      </c>
      <c r="H53" s="540" t="s">
        <v>2590</v>
      </c>
      <c r="I53" s="540" t="s">
        <v>2591</v>
      </c>
      <c r="J53" s="540"/>
      <c r="K53" s="541"/>
      <c r="L53" s="542"/>
      <c r="M53" s="543"/>
      <c r="N53" s="1154"/>
      <c r="O53" s="1154"/>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5"/>
      <c r="O54" s="1155"/>
      <c r="P54" s="45"/>
      <c r="Q54" s="505"/>
    </row>
    <row r="55" spans="1:17" ht="15.75" thickTop="1">
      <c r="A55" s="535"/>
      <c r="B55" s="660">
        <f>B11</f>
        <v>111</v>
      </c>
      <c r="C55" s="550"/>
      <c r="D55" s="550"/>
      <c r="E55" s="550"/>
      <c r="F55" s="550"/>
      <c r="G55" s="550"/>
      <c r="H55" s="550"/>
      <c r="I55" s="550"/>
      <c r="J55" s="550"/>
      <c r="K55" s="551"/>
      <c r="L55" s="552"/>
      <c r="M55" s="553"/>
      <c r="N55" s="1154"/>
      <c r="O55" s="1154"/>
      <c r="P55" s="45"/>
      <c r="Q55" s="505"/>
    </row>
    <row r="56" spans="1:17" ht="15.75" thickBot="1">
      <c r="A56" s="535"/>
      <c r="B56" s="536"/>
      <c r="C56" s="561"/>
      <c r="D56" s="537"/>
      <c r="E56" s="537"/>
      <c r="F56" s="537"/>
      <c r="G56" s="537"/>
      <c r="H56" s="537"/>
      <c r="I56" s="537"/>
      <c r="J56" s="537"/>
      <c r="K56" s="537"/>
      <c r="L56" s="537"/>
      <c r="M56" s="538"/>
      <c r="N56" s="1155"/>
      <c r="O56" s="1155"/>
      <c r="P56" s="45"/>
      <c r="Q56" s="505"/>
    </row>
    <row r="57" spans="1:17" s="472" customFormat="1" ht="15.75" thickTop="1">
      <c r="A57" s="554"/>
      <c r="B57" s="539">
        <f>B12</f>
        <v>111</v>
      </c>
      <c r="C57" s="550"/>
      <c r="D57" s="550"/>
      <c r="E57" s="550"/>
      <c r="F57" s="550"/>
      <c r="G57" s="555"/>
      <c r="H57" s="556"/>
      <c r="I57" s="556"/>
      <c r="J57" s="556"/>
      <c r="K57" s="556"/>
      <c r="L57" s="557"/>
      <c r="M57" s="558"/>
      <c r="N57" s="1156"/>
      <c r="O57" s="1156"/>
      <c r="P57" s="559"/>
      <c r="Q57" s="560"/>
    </row>
    <row r="58" spans="1:17" s="472" customFormat="1" ht="15.75" thickBot="1">
      <c r="A58" s="554"/>
      <c r="B58" s="544"/>
      <c r="C58" s="561"/>
      <c r="D58" s="537"/>
      <c r="E58" s="537"/>
      <c r="F58" s="537"/>
      <c r="G58" s="537"/>
      <c r="H58" s="537"/>
      <c r="I58" s="537"/>
      <c r="J58" s="537"/>
      <c r="K58" s="537"/>
      <c r="L58" s="537"/>
      <c r="M58" s="538"/>
      <c r="N58" s="1155"/>
      <c r="O58" s="1155"/>
      <c r="P58" s="559"/>
      <c r="Q58" s="560"/>
    </row>
    <row r="59" spans="1:17" s="472" customFormat="1" ht="15.75" thickTop="1">
      <c r="A59" s="554"/>
      <c r="B59" s="539">
        <f>B13</f>
        <v>111</v>
      </c>
      <c r="C59" s="550"/>
      <c r="D59" s="550"/>
      <c r="E59" s="550"/>
      <c r="F59" s="550"/>
      <c r="G59" s="555"/>
      <c r="H59" s="556"/>
      <c r="I59" s="556"/>
      <c r="J59" s="556"/>
      <c r="K59" s="556"/>
      <c r="L59" s="557"/>
      <c r="M59" s="558"/>
      <c r="N59" s="1156"/>
      <c r="O59" s="1156"/>
      <c r="P59" s="471"/>
      <c r="Q59" s="562"/>
    </row>
    <row r="60" spans="1:17" s="472" customFormat="1" ht="15.75" thickBot="1">
      <c r="A60" s="554"/>
      <c r="B60" s="544"/>
      <c r="C60" s="561"/>
      <c r="D60" s="561"/>
      <c r="E60" s="561"/>
      <c r="F60" s="561"/>
      <c r="G60" s="561"/>
      <c r="H60" s="563"/>
      <c r="I60" s="563"/>
      <c r="J60" s="563"/>
      <c r="K60" s="563"/>
      <c r="L60" s="563"/>
      <c r="M60" s="564"/>
      <c r="N60" s="1156"/>
      <c r="O60" s="1156"/>
      <c r="P60" s="559"/>
      <c r="Q60" s="560"/>
    </row>
    <row r="61" spans="1:17" ht="15" thickTop="1">
      <c r="A61" s="528" t="s">
        <v>2555</v>
      </c>
      <c r="B61" s="529" t="s">
        <v>2598</v>
      </c>
      <c r="C61" s="574" t="s">
        <v>2593</v>
      </c>
      <c r="D61" s="574" t="s">
        <v>2594</v>
      </c>
      <c r="E61" s="574" t="s">
        <v>2595</v>
      </c>
      <c r="F61" s="574" t="s">
        <v>2596</v>
      </c>
      <c r="G61" s="574" t="s">
        <v>2597</v>
      </c>
      <c r="H61" s="530"/>
      <c r="I61" s="530"/>
      <c r="J61" s="530"/>
      <c r="K61" s="575"/>
      <c r="L61" s="576"/>
      <c r="M61" s="577"/>
      <c r="N61" s="1154"/>
      <c r="O61" s="1154"/>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5"/>
      <c r="O62" s="1155"/>
      <c r="P62" s="45"/>
      <c r="Q62" s="505"/>
    </row>
    <row r="63" spans="1:17" ht="27.75" thickTop="1">
      <c r="A63" s="535"/>
      <c r="B63" s="539" t="s">
        <v>2735</v>
      </c>
      <c r="C63" s="579" t="s">
        <v>2593</v>
      </c>
      <c r="D63" s="579" t="s">
        <v>2594</v>
      </c>
      <c r="E63" s="579" t="s">
        <v>2595</v>
      </c>
      <c r="F63" s="579" t="s">
        <v>2596</v>
      </c>
      <c r="G63" s="579" t="s">
        <v>2597</v>
      </c>
      <c r="H63" s="540"/>
      <c r="I63" s="540"/>
      <c r="J63" s="540"/>
      <c r="K63" s="541"/>
      <c r="L63" s="542"/>
      <c r="M63" s="543"/>
      <c r="N63" s="1154"/>
      <c r="O63" s="1154"/>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5"/>
      <c r="O64" s="1155"/>
      <c r="P64" s="45"/>
      <c r="Q64" s="505"/>
    </row>
    <row r="65" spans="1:17" ht="15.75" thickTop="1">
      <c r="A65" s="535"/>
      <c r="B65" s="547" t="s">
        <v>2684</v>
      </c>
      <c r="C65" s="660" t="s">
        <v>2670</v>
      </c>
      <c r="D65" s="660" t="s">
        <v>2671</v>
      </c>
      <c r="E65" s="660" t="s">
        <v>2672</v>
      </c>
      <c r="F65" s="660" t="s">
        <v>2673</v>
      </c>
      <c r="G65" s="660" t="s">
        <v>2674</v>
      </c>
      <c r="H65" s="540"/>
      <c r="I65" s="540"/>
      <c r="J65" s="540"/>
      <c r="K65" s="540"/>
      <c r="L65" s="540"/>
      <c r="M65" s="1384"/>
      <c r="N65" s="1155"/>
      <c r="O65" s="1155"/>
      <c r="P65" s="45"/>
      <c r="Q65" s="505"/>
    </row>
    <row r="66" spans="1:17" ht="15.75" thickBot="1">
      <c r="A66" s="535"/>
      <c r="B66" s="547"/>
      <c r="C66" s="545">
        <v>100</v>
      </c>
      <c r="D66" s="545">
        <f>C66-$K18</f>
        <v>100</v>
      </c>
      <c r="E66" s="545">
        <f>D66-$K18</f>
        <v>100</v>
      </c>
      <c r="F66" s="545">
        <f>E66-$K18</f>
        <v>100</v>
      </c>
      <c r="G66" s="545">
        <f>F66-$K18</f>
        <v>100</v>
      </c>
      <c r="H66" s="660"/>
      <c r="I66" s="660"/>
      <c r="J66" s="660"/>
      <c r="K66" s="660"/>
      <c r="L66" s="660"/>
      <c r="M66" s="451"/>
      <c r="N66" s="1155"/>
      <c r="O66" s="1155"/>
      <c r="P66" s="45"/>
      <c r="Q66" s="505"/>
    </row>
    <row r="67" spans="1:17" ht="15.75" thickTop="1">
      <c r="A67" s="535"/>
      <c r="B67" s="539" t="s">
        <v>2605</v>
      </c>
      <c r="C67" s="579" t="s">
        <v>2593</v>
      </c>
      <c r="D67" s="579" t="s">
        <v>2594</v>
      </c>
      <c r="E67" s="579" t="s">
        <v>2595</v>
      </c>
      <c r="F67" s="579" t="s">
        <v>2596</v>
      </c>
      <c r="G67" s="579" t="s">
        <v>2597</v>
      </c>
      <c r="H67" s="540"/>
      <c r="I67" s="540"/>
      <c r="J67" s="540"/>
      <c r="K67" s="541"/>
      <c r="L67" s="542"/>
      <c r="M67" s="543"/>
      <c r="N67" s="1154"/>
      <c r="O67" s="1154"/>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5"/>
      <c r="O68" s="1155"/>
      <c r="P68" s="45"/>
      <c r="Q68" s="505"/>
    </row>
    <row r="69" spans="1:17" ht="15.75" thickTop="1">
      <c r="A69" s="535"/>
      <c r="B69" s="539" t="s">
        <v>2724</v>
      </c>
      <c r="C69" s="555"/>
      <c r="D69" s="555"/>
      <c r="E69" s="555"/>
      <c r="F69" s="555"/>
      <c r="G69" s="555"/>
      <c r="H69" s="584"/>
      <c r="I69" s="584"/>
      <c r="J69" s="584"/>
      <c r="K69" s="585"/>
      <c r="L69" s="586"/>
      <c r="M69" s="587"/>
      <c r="N69" s="1154"/>
      <c r="O69" s="1154"/>
      <c r="P69" s="45"/>
      <c r="Q69" s="505"/>
    </row>
    <row r="70" spans="1:17" ht="15.75" thickBot="1">
      <c r="A70" s="535"/>
      <c r="B70" s="544"/>
      <c r="C70" s="545">
        <v>100</v>
      </c>
      <c r="D70" s="545">
        <f>C70-$K22</f>
        <v>100</v>
      </c>
      <c r="E70" s="545"/>
      <c r="F70" s="545"/>
      <c r="G70" s="545"/>
      <c r="H70" s="545"/>
      <c r="I70" s="545"/>
      <c r="J70" s="545"/>
      <c r="K70" s="545"/>
      <c r="L70" s="545"/>
      <c r="M70" s="546"/>
      <c r="N70" s="1155"/>
      <c r="O70" s="1155"/>
      <c r="P70" s="45"/>
      <c r="Q70" s="505"/>
    </row>
    <row r="71" spans="1:17" s="117" customFormat="1" ht="15.75" thickTop="1">
      <c r="A71" s="580"/>
      <c r="B71" s="539">
        <f>B23</f>
        <v>111</v>
      </c>
      <c r="C71" s="550"/>
      <c r="D71" s="550"/>
      <c r="E71" s="550"/>
      <c r="F71" s="550"/>
      <c r="G71" s="555"/>
      <c r="H71" s="555"/>
      <c r="I71" s="555"/>
      <c r="J71" s="555"/>
      <c r="K71" s="555"/>
      <c r="L71" s="581"/>
      <c r="M71" s="582"/>
      <c r="N71" s="1153"/>
      <c r="O71" s="1153"/>
      <c r="P71" s="45"/>
      <c r="Q71" s="505"/>
    </row>
    <row r="72" spans="1:17" s="117" customFormat="1" ht="15.75" thickBot="1">
      <c r="A72" s="580"/>
      <c r="B72" s="544"/>
      <c r="C72" s="561"/>
      <c r="D72" s="537"/>
      <c r="E72" s="537"/>
      <c r="F72" s="537"/>
      <c r="G72" s="537"/>
      <c r="H72" s="537"/>
      <c r="I72" s="537"/>
      <c r="J72" s="537"/>
      <c r="K72" s="537"/>
      <c r="L72" s="537"/>
      <c r="M72" s="538"/>
      <c r="N72" s="1155"/>
      <c r="O72" s="1155"/>
      <c r="P72" s="45"/>
      <c r="Q72" s="505"/>
    </row>
    <row r="73" spans="1:17" s="117" customFormat="1" ht="15.75" thickTop="1">
      <c r="A73" s="580"/>
      <c r="B73" s="539">
        <f>B24</f>
        <v>111</v>
      </c>
      <c r="C73" s="550"/>
      <c r="D73" s="550"/>
      <c r="E73" s="550"/>
      <c r="F73" s="550"/>
      <c r="G73" s="555"/>
      <c r="H73" s="555"/>
      <c r="I73" s="555"/>
      <c r="J73" s="555"/>
      <c r="K73" s="555"/>
      <c r="L73" s="555"/>
      <c r="M73" s="582"/>
      <c r="N73" s="1153"/>
      <c r="O73" s="1153"/>
      <c r="P73" s="45"/>
      <c r="Q73" s="505"/>
    </row>
    <row r="74" spans="1:17" s="117" customFormat="1" ht="15.75" thickBot="1">
      <c r="A74" s="580"/>
      <c r="B74" s="544"/>
      <c r="C74" s="561"/>
      <c r="D74" s="537"/>
      <c r="E74" s="537"/>
      <c r="F74" s="537"/>
      <c r="G74" s="537"/>
      <c r="H74" s="537"/>
      <c r="I74" s="537"/>
      <c r="J74" s="537"/>
      <c r="K74" s="537"/>
      <c r="L74" s="537"/>
      <c r="M74" s="538"/>
      <c r="N74" s="1155"/>
      <c r="O74" s="1155"/>
      <c r="P74" s="45"/>
      <c r="Q74" s="505"/>
    </row>
    <row r="75" spans="1:17" s="472" customFormat="1" ht="15.75" thickTop="1">
      <c r="A75" s="554"/>
      <c r="B75" s="539">
        <f>B25</f>
        <v>111</v>
      </c>
      <c r="C75" s="550"/>
      <c r="D75" s="550"/>
      <c r="E75" s="550"/>
      <c r="F75" s="550"/>
      <c r="G75" s="555"/>
      <c r="H75" s="556"/>
      <c r="I75" s="556"/>
      <c r="J75" s="556"/>
      <c r="K75" s="556"/>
      <c r="L75" s="557"/>
      <c r="M75" s="558"/>
      <c r="N75" s="1156"/>
      <c r="O75" s="1156"/>
      <c r="P75" s="559"/>
      <c r="Q75" s="560"/>
    </row>
    <row r="76" spans="1:17" s="472" customFormat="1" ht="15.75" thickBot="1">
      <c r="A76" s="554"/>
      <c r="B76" s="544"/>
      <c r="C76" s="561"/>
      <c r="D76" s="561"/>
      <c r="E76" s="561"/>
      <c r="F76" s="561"/>
      <c r="G76" s="537"/>
      <c r="H76" s="537"/>
      <c r="I76" s="537"/>
      <c r="J76" s="537"/>
      <c r="K76" s="537"/>
      <c r="L76" s="537"/>
      <c r="M76" s="538"/>
      <c r="N76" s="1156"/>
      <c r="O76" s="1156"/>
      <c r="P76" s="559"/>
      <c r="Q76" s="560"/>
    </row>
    <row r="77" spans="1:17" ht="15" thickTop="1">
      <c r="A77" s="528" t="s">
        <v>2559</v>
      </c>
      <c r="B77" s="529" t="s">
        <v>2612</v>
      </c>
      <c r="C77" s="555"/>
      <c r="D77" s="555"/>
      <c r="E77" s="531"/>
      <c r="F77" s="531"/>
      <c r="G77" s="531"/>
      <c r="H77" s="531"/>
      <c r="I77" s="531"/>
      <c r="J77" s="531"/>
      <c r="K77" s="532"/>
      <c r="L77" s="533"/>
      <c r="M77" s="534"/>
      <c r="N77" s="1154"/>
      <c r="O77" s="1154"/>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5"/>
      <c r="O78" s="1155"/>
      <c r="P78" s="45"/>
      <c r="Q78" s="505"/>
    </row>
    <row r="79" spans="1:17" ht="15.75" thickTop="1">
      <c r="A79" s="535"/>
      <c r="B79" s="539" t="s">
        <v>2727</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3"/>
      <c r="O79" s="1153"/>
      <c r="P79" s="45"/>
      <c r="Q79" s="505"/>
    </row>
    <row r="80" spans="1:17" ht="15">
      <c r="A80" s="535"/>
      <c r="B80" s="547"/>
      <c r="C80" s="604">
        <v>0.5</v>
      </c>
      <c r="D80" s="604">
        <v>0.6</v>
      </c>
      <c r="E80" s="604">
        <v>0.7</v>
      </c>
      <c r="F80" s="604">
        <v>0.8</v>
      </c>
      <c r="G80" s="604">
        <v>0.9</v>
      </c>
      <c r="H80" s="604">
        <v>1.0001</v>
      </c>
      <c r="I80" s="660"/>
      <c r="J80" s="660"/>
      <c r="K80" s="668"/>
      <c r="L80" s="669"/>
      <c r="M80" s="670"/>
      <c r="N80" s="1153"/>
      <c r="O80" s="1153"/>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5"/>
      <c r="O81" s="1155"/>
      <c r="P81" s="559"/>
      <c r="Q81" s="560"/>
    </row>
    <row r="82" spans="1:17" ht="15" thickTop="1">
      <c r="A82" s="600"/>
      <c r="B82" s="547" t="s">
        <v>2728</v>
      </c>
      <c r="C82" s="555"/>
      <c r="D82" s="555"/>
      <c r="E82" s="584"/>
      <c r="F82" s="584"/>
      <c r="G82" s="584"/>
      <c r="H82" s="584"/>
      <c r="I82" s="584"/>
      <c r="J82" s="584"/>
      <c r="K82" s="585"/>
      <c r="L82" s="586"/>
      <c r="M82" s="587"/>
      <c r="N82" s="1154"/>
      <c r="O82" s="1154"/>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5"/>
      <c r="O83" s="1155"/>
      <c r="P83" s="45"/>
      <c r="Q83" s="505"/>
    </row>
    <row r="84" spans="1:17" ht="15" thickTop="1">
      <c r="A84" s="600"/>
      <c r="B84" s="539" t="s">
        <v>2736</v>
      </c>
      <c r="C84" s="555"/>
      <c r="D84" s="555"/>
      <c r="E84" s="555"/>
      <c r="F84" s="555"/>
      <c r="G84" s="555"/>
      <c r="H84" s="555"/>
      <c r="I84" s="584"/>
      <c r="J84" s="584"/>
      <c r="K84" s="585"/>
      <c r="L84" s="586"/>
      <c r="M84" s="587"/>
      <c r="N84" s="1154"/>
      <c r="O84" s="1154"/>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5"/>
      <c r="O85" s="1155"/>
      <c r="P85" s="45"/>
      <c r="Q85" s="505"/>
    </row>
    <row r="86" spans="1:17" ht="15" thickTop="1">
      <c r="A86" s="600"/>
      <c r="B86" s="547" t="s">
        <v>2737</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2" t="str">
        <f>M87&amp;"(含)"&amp;"-"&amp;P87</f>
        <v>(含)-</v>
      </c>
      <c r="N86" s="1154"/>
      <c r="O86" s="1154"/>
      <c r="P86" s="45"/>
      <c r="Q86" s="505"/>
    </row>
    <row r="87" spans="1:17">
      <c r="A87" s="600"/>
      <c r="B87" s="547"/>
      <c r="C87" s="596"/>
      <c r="D87" s="596"/>
      <c r="E87" s="596"/>
      <c r="F87" s="596"/>
      <c r="G87" s="596"/>
      <c r="H87" s="596"/>
      <c r="I87" s="596"/>
      <c r="J87" s="597"/>
      <c r="K87" s="597"/>
      <c r="L87" s="598"/>
      <c r="M87" s="599"/>
      <c r="N87" s="1154"/>
      <c r="O87" s="1154"/>
      <c r="P87" s="45"/>
      <c r="Q87" s="505"/>
    </row>
    <row r="88" spans="1:17" ht="15.75" thickBot="1">
      <c r="A88" s="535"/>
      <c r="B88" s="544"/>
      <c r="C88" s="561"/>
      <c r="D88" s="537"/>
      <c r="E88" s="537"/>
      <c r="F88" s="537"/>
      <c r="G88" s="537"/>
      <c r="H88" s="537"/>
      <c r="I88" s="537"/>
      <c r="J88" s="537"/>
      <c r="K88" s="537"/>
      <c r="L88" s="537"/>
      <c r="M88" s="537"/>
      <c r="N88" s="1155"/>
      <c r="O88" s="1155"/>
      <c r="P88" s="45"/>
      <c r="Q88" s="505"/>
    </row>
    <row r="89" spans="1:17" s="472" customFormat="1" ht="15" thickTop="1">
      <c r="A89" s="594"/>
      <c r="B89" s="539" t="s">
        <v>2738</v>
      </c>
      <c r="C89" s="555"/>
      <c r="D89" s="555"/>
      <c r="E89" s="555"/>
      <c r="F89" s="555"/>
      <c r="G89" s="555"/>
      <c r="H89" s="555"/>
      <c r="I89" s="555"/>
      <c r="J89" s="555"/>
      <c r="K89" s="555"/>
      <c r="L89" s="555"/>
      <c r="M89" s="582"/>
      <c r="N89" s="1156"/>
      <c r="O89" s="1156"/>
      <c r="P89" s="559"/>
      <c r="Q89" s="560"/>
    </row>
    <row r="90" spans="1:17" s="472" customFormat="1" ht="15.75" thickBot="1">
      <c r="A90" s="554"/>
      <c r="B90" s="544"/>
      <c r="C90" s="561"/>
      <c r="D90" s="537"/>
      <c r="E90" s="537"/>
      <c r="F90" s="537"/>
      <c r="G90" s="537"/>
      <c r="H90" s="537"/>
      <c r="I90" s="537"/>
      <c r="J90" s="537"/>
      <c r="K90" s="537"/>
      <c r="L90" s="537"/>
      <c r="M90" s="538"/>
      <c r="N90" s="1156"/>
      <c r="O90" s="1156"/>
      <c r="P90" s="559"/>
      <c r="Q90" s="560"/>
    </row>
    <row r="91" spans="1:17" ht="15" thickTop="1">
      <c r="A91" s="600"/>
      <c r="B91" s="539">
        <f>B32</f>
        <v>111</v>
      </c>
      <c r="C91" s="550"/>
      <c r="D91" s="550"/>
      <c r="E91" s="550"/>
      <c r="F91" s="550"/>
      <c r="G91" s="555"/>
      <c r="H91" s="556"/>
      <c r="I91" s="556"/>
      <c r="J91" s="556"/>
      <c r="K91" s="556"/>
      <c r="L91" s="557"/>
      <c r="M91" s="558"/>
      <c r="N91" s="1154"/>
      <c r="O91" s="1154"/>
      <c r="P91" s="45"/>
      <c r="Q91" s="505"/>
    </row>
    <row r="92" spans="1:17" ht="15.75" thickBot="1">
      <c r="A92" s="535"/>
      <c r="B92" s="544"/>
      <c r="C92" s="561"/>
      <c r="D92" s="537"/>
      <c r="E92" s="537"/>
      <c r="F92" s="537"/>
      <c r="G92" s="561"/>
      <c r="H92" s="563"/>
      <c r="I92" s="563"/>
      <c r="J92" s="563"/>
      <c r="K92" s="563"/>
      <c r="L92" s="563"/>
      <c r="M92" s="564"/>
      <c r="N92" s="1155"/>
      <c r="O92" s="1155"/>
      <c r="P92" s="45"/>
      <c r="Q92" s="505"/>
    </row>
    <row r="93" spans="1:17" ht="15" thickTop="1">
      <c r="A93" s="600"/>
      <c r="B93" s="539">
        <f>B33</f>
        <v>111</v>
      </c>
      <c r="C93" s="550"/>
      <c r="D93" s="550"/>
      <c r="E93" s="550"/>
      <c r="F93" s="550"/>
      <c r="G93" s="555"/>
      <c r="H93" s="556"/>
      <c r="I93" s="556"/>
      <c r="J93" s="556"/>
      <c r="K93" s="556"/>
      <c r="L93" s="557"/>
      <c r="M93" s="558"/>
      <c r="N93" s="1154"/>
      <c r="O93" s="1154"/>
      <c r="P93" s="45"/>
      <c r="Q93" s="505"/>
    </row>
    <row r="94" spans="1:17" ht="15.75" thickBot="1">
      <c r="A94" s="535"/>
      <c r="B94" s="544"/>
      <c r="C94" s="561"/>
      <c r="D94" s="537"/>
      <c r="E94" s="537"/>
      <c r="F94" s="537"/>
      <c r="G94" s="561"/>
      <c r="H94" s="563"/>
      <c r="I94" s="563"/>
      <c r="J94" s="563"/>
      <c r="K94" s="563"/>
      <c r="L94" s="563"/>
      <c r="M94" s="564"/>
      <c r="N94" s="1155"/>
      <c r="O94" s="1155"/>
      <c r="P94" s="45"/>
      <c r="Q94" s="505"/>
    </row>
    <row r="95" spans="1:17" ht="15" thickTop="1">
      <c r="A95" s="600"/>
      <c r="B95" s="636">
        <f>B34</f>
        <v>111</v>
      </c>
      <c r="C95" s="550"/>
      <c r="D95" s="550"/>
      <c r="E95" s="550"/>
      <c r="F95" s="550"/>
      <c r="G95" s="555"/>
      <c r="H95" s="556"/>
      <c r="I95" s="556"/>
      <c r="J95" s="556"/>
      <c r="K95" s="556"/>
      <c r="L95" s="557"/>
      <c r="M95" s="558"/>
      <c r="N95" s="1155"/>
      <c r="O95" s="1155"/>
      <c r="P95" s="637"/>
      <c r="Q95" s="638"/>
    </row>
    <row r="96" spans="1:17" ht="15.75" thickBot="1">
      <c r="A96" s="535"/>
      <c r="B96" s="544"/>
      <c r="C96" s="561"/>
      <c r="D96" s="561"/>
      <c r="E96" s="561"/>
      <c r="F96" s="561"/>
      <c r="G96" s="561"/>
      <c r="H96" s="563"/>
      <c r="I96" s="563"/>
      <c r="J96" s="563"/>
      <c r="K96" s="563"/>
      <c r="L96" s="563"/>
      <c r="M96" s="564"/>
      <c r="N96" s="1155"/>
      <c r="O96" s="1155"/>
      <c r="P96" s="45"/>
      <c r="Q96" s="505"/>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2739</v>
      </c>
      <c r="B1" s="396"/>
      <c r="C1" s="397" t="s">
        <v>2791</v>
      </c>
      <c r="D1" s="754"/>
      <c r="E1" s="754"/>
      <c r="F1" s="753" t="s">
        <v>2639</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9" customFormat="1" ht="28.5" customHeight="1">
      <c r="A2" s="246" t="s">
        <v>2326</v>
      </c>
      <c r="B2" s="671"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9" customFormat="1" ht="28.5" customHeight="1" thickBot="1">
      <c r="A3" s="248" t="s">
        <v>2328</v>
      </c>
      <c r="B3" s="610" t="e">
        <f>ROUND(IF(D3="",B2*10000/'数据-汇总表'!E3,B2*10000/D3),0)</f>
        <v>#DIV/0!</v>
      </c>
      <c r="C3" s="248" t="s">
        <v>2741</v>
      </c>
      <c r="D3" s="1586"/>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2" t="s">
        <v>2641</v>
      </c>
      <c r="B4" s="403"/>
      <c r="C4" s="3270" t="s">
        <v>2642</v>
      </c>
      <c r="D4" s="3283"/>
      <c r="E4" s="3284" t="s">
        <v>2643</v>
      </c>
      <c r="F4" s="3285"/>
      <c r="G4" s="3270" t="s">
        <v>2644</v>
      </c>
      <c r="H4" s="3283"/>
      <c r="I4" s="3270" t="s">
        <v>2645</v>
      </c>
      <c r="J4" s="3283"/>
      <c r="K4" s="611" t="s">
        <v>2646</v>
      </c>
      <c r="L4" s="1132"/>
      <c r="M4" s="1133"/>
      <c r="N4" s="1133"/>
      <c r="O4" s="1133"/>
      <c r="P4" s="3286" t="s">
        <v>2647</v>
      </c>
      <c r="Q4" s="3287"/>
      <c r="R4" s="3292" t="s">
        <v>2643</v>
      </c>
      <c r="S4" s="3293"/>
      <c r="T4" s="3292" t="s">
        <v>2644</v>
      </c>
      <c r="U4" s="3293"/>
      <c r="V4" s="3279" t="s">
        <v>2645</v>
      </c>
      <c r="W4" s="3279"/>
      <c r="X4" s="1816"/>
      <c r="Y4" s="3292" t="s">
        <v>2647</v>
      </c>
      <c r="Z4" s="3293"/>
      <c r="AA4" s="3280" t="s">
        <v>2643</v>
      </c>
      <c r="AB4" s="3281" t="s">
        <v>2644</v>
      </c>
      <c r="AC4" s="3280" t="s">
        <v>2645</v>
      </c>
    </row>
    <row r="5" spans="1:29" ht="15">
      <c r="A5" s="405"/>
      <c r="B5" s="406"/>
      <c r="C5" s="3348" t="s">
        <v>2538</v>
      </c>
      <c r="D5" s="3301"/>
      <c r="E5" s="3365" t="s">
        <v>2539</v>
      </c>
      <c r="F5" s="3310"/>
      <c r="G5" s="3348" t="s">
        <v>2540</v>
      </c>
      <c r="H5" s="3301"/>
      <c r="I5" s="3348" t="s">
        <v>2541</v>
      </c>
      <c r="J5" s="3301"/>
      <c r="K5" s="611"/>
      <c r="L5" s="1132"/>
      <c r="M5" s="1133"/>
      <c r="N5" s="1133"/>
      <c r="O5" s="1133"/>
      <c r="P5" s="3288"/>
      <c r="Q5" s="3289"/>
      <c r="R5" s="3294"/>
      <c r="S5" s="3295"/>
      <c r="T5" s="3294"/>
      <c r="U5" s="3295"/>
      <c r="V5" s="3279"/>
      <c r="W5" s="3279"/>
      <c r="X5" s="1816"/>
      <c r="Y5" s="3294"/>
      <c r="Z5" s="3295"/>
      <c r="AA5" s="3281"/>
      <c r="AB5" s="3281"/>
      <c r="AC5" s="3281"/>
    </row>
    <row r="6" spans="1:29" ht="15.75" thickBot="1">
      <c r="A6" s="407"/>
      <c r="B6" s="408"/>
      <c r="C6" s="3366" t="s">
        <v>2792</v>
      </c>
      <c r="D6" s="3367"/>
      <c r="E6" s="3368" t="s">
        <v>2792</v>
      </c>
      <c r="F6" s="3369"/>
      <c r="G6" s="3366" t="s">
        <v>2792</v>
      </c>
      <c r="H6" s="3367"/>
      <c r="I6" s="3366" t="s">
        <v>2792</v>
      </c>
      <c r="J6" s="3367"/>
      <c r="K6" s="611" t="s">
        <v>2543</v>
      </c>
      <c r="L6" s="1132"/>
      <c r="M6" s="1133"/>
      <c r="N6" s="1133"/>
      <c r="O6" s="1133"/>
      <c r="P6" s="3290"/>
      <c r="Q6" s="3291"/>
      <c r="R6" s="3294"/>
      <c r="S6" s="3295"/>
      <c r="T6" s="3296"/>
      <c r="U6" s="3297"/>
      <c r="V6" s="3279"/>
      <c r="W6" s="3279"/>
      <c r="X6" s="1816"/>
      <c r="Y6" s="3296"/>
      <c r="Z6" s="3297"/>
      <c r="AA6" s="3282"/>
      <c r="AB6" s="3282"/>
      <c r="AC6" s="3282"/>
    </row>
    <row r="7" spans="1:29" s="117" customFormat="1" ht="15.75" thickBot="1">
      <c r="A7" s="409" t="s">
        <v>2544</v>
      </c>
      <c r="B7" s="410"/>
      <c r="C7" s="411">
        <f>'数据-取费表'!B2</f>
        <v>43049</v>
      </c>
      <c r="D7" s="412">
        <v>100</v>
      </c>
      <c r="E7" s="413"/>
      <c r="F7" s="414">
        <f>SUMIF(65:65,YEAR(E7)&amp;"-"&amp;INT((MONTH(E7)+2)/3),66:66)</f>
        <v>0</v>
      </c>
      <c r="G7" s="2693"/>
      <c r="H7" s="412">
        <f>SUMIF(65:65,YEAR(G7)&amp;"-"&amp;INT((MONTH(G7)+2)/3),66:66)</f>
        <v>0</v>
      </c>
      <c r="I7" s="2693"/>
      <c r="J7" s="412">
        <f>SUMIF(65:65,YEAR(I7)&amp;"-"&amp;INT((MONTH(I7)+2)/3),66:66)</f>
        <v>0</v>
      </c>
      <c r="K7" s="612"/>
      <c r="L7" s="1134"/>
      <c r="M7" s="1135"/>
      <c r="N7" s="1135"/>
      <c r="O7" s="1135"/>
      <c r="P7" s="3302" t="s">
        <v>2545</v>
      </c>
      <c r="Q7" s="3304"/>
      <c r="R7" s="769" t="s">
        <v>17</v>
      </c>
      <c r="S7" s="770">
        <f t="shared" ref="S7:S15" si="0">F7</f>
        <v>0</v>
      </c>
      <c r="T7" s="769" t="s">
        <v>17</v>
      </c>
      <c r="U7" s="770">
        <f t="shared" ref="U7:U15" si="1">H7</f>
        <v>0</v>
      </c>
      <c r="V7" s="769" t="s">
        <v>17</v>
      </c>
      <c r="W7" s="770">
        <f t="shared" ref="W7:W15" si="2">J7</f>
        <v>0</v>
      </c>
      <c r="X7" s="771"/>
      <c r="Y7" s="3302" t="s">
        <v>2545</v>
      </c>
      <c r="Z7" s="3303"/>
      <c r="AA7" s="772" t="e">
        <f>D7/F7</f>
        <v>#DIV/0!</v>
      </c>
      <c r="AB7" s="772" t="e">
        <f>D7/H7</f>
        <v>#DIV/0!</v>
      </c>
      <c r="AC7" s="772" t="e">
        <f>D7/J7</f>
        <v>#DIV/0!</v>
      </c>
    </row>
    <row r="8" spans="1:29" s="117" customFormat="1" ht="15.75" thickBot="1">
      <c r="A8" s="409" t="s">
        <v>2546</v>
      </c>
      <c r="B8" s="410"/>
      <c r="C8" s="415" t="s">
        <v>2547</v>
      </c>
      <c r="D8" s="412">
        <v>100</v>
      </c>
      <c r="E8" s="415"/>
      <c r="F8" s="414">
        <f>SUMIF(68:68,E8,69:69)-SUMIF(68:68,C8,69:69)+100</f>
        <v>0</v>
      </c>
      <c r="G8" s="415"/>
      <c r="H8" s="412">
        <f>SUMIF(68:68,G8,69:69)-SUMIF(68:68,C8,69:69)+100</f>
        <v>0</v>
      </c>
      <c r="I8" s="415"/>
      <c r="J8" s="412">
        <f>SUMIF(68:68,I8,69:69)-SUMIF(68:68,C8,69:69)+100</f>
        <v>0</v>
      </c>
      <c r="K8" s="612"/>
      <c r="L8" s="1134"/>
      <c r="M8" s="1135"/>
      <c r="N8" s="1135"/>
      <c r="O8" s="1135"/>
      <c r="P8" s="3302" t="s">
        <v>2548</v>
      </c>
      <c r="Q8" s="3303"/>
      <c r="R8" s="769" t="s">
        <v>17</v>
      </c>
      <c r="S8" s="770">
        <f t="shared" si="0"/>
        <v>0</v>
      </c>
      <c r="T8" s="769" t="s">
        <v>17</v>
      </c>
      <c r="U8" s="770">
        <f t="shared" si="1"/>
        <v>0</v>
      </c>
      <c r="V8" s="769" t="s">
        <v>17</v>
      </c>
      <c r="W8" s="770">
        <f t="shared" si="2"/>
        <v>0</v>
      </c>
      <c r="X8" s="771"/>
      <c r="Y8" s="3302" t="s">
        <v>2548</v>
      </c>
      <c r="Z8" s="3303"/>
      <c r="AA8" s="772" t="e">
        <f t="shared" ref="AA8:AA40" si="3">D8/F8</f>
        <v>#DIV/0!</v>
      </c>
      <c r="AB8" s="772" t="e">
        <f t="shared" ref="AB8:AB40" si="4">D8/H8</f>
        <v>#DIV/0!</v>
      </c>
      <c r="AC8" s="772" t="e">
        <f t="shared" ref="AC8:AC40" si="5">D8/J8</f>
        <v>#DIV/0!</v>
      </c>
    </row>
    <row r="9" spans="1:29" s="117" customFormat="1">
      <c r="A9" s="416" t="s">
        <v>2549</v>
      </c>
      <c r="B9" s="71" t="s">
        <v>2550</v>
      </c>
      <c r="C9" s="2696"/>
      <c r="D9" s="135">
        <v>100</v>
      </c>
      <c r="E9" s="2696"/>
      <c r="F9" s="135">
        <f>SUMIF(70:70,E9,71:71)-SUMIF(70:70,C9,71:71)+100</f>
        <v>100</v>
      </c>
      <c r="G9" s="2696"/>
      <c r="H9" s="135">
        <f>SUMIF(70:70,G9,71:71)-SUMIF(70:70,C9,71:71)+100</f>
        <v>100</v>
      </c>
      <c r="I9" s="2696"/>
      <c r="J9" s="135">
        <f>SUMIF(70:70,I9,71:71)-SUMIF(70:70,C9,71:71)+100</f>
        <v>100</v>
      </c>
      <c r="K9" s="612"/>
      <c r="L9" s="1134"/>
      <c r="M9" s="1135"/>
      <c r="N9" s="1135"/>
      <c r="O9" s="1136"/>
      <c r="P9" s="3273" t="s">
        <v>2551</v>
      </c>
      <c r="Q9" s="1798" t="str">
        <f t="shared" ref="Q9:Q15" si="6">B9</f>
        <v>用途</v>
      </c>
      <c r="R9" s="769" t="s">
        <v>17</v>
      </c>
      <c r="S9" s="770">
        <f t="shared" si="0"/>
        <v>100</v>
      </c>
      <c r="T9" s="769" t="s">
        <v>17</v>
      </c>
      <c r="U9" s="770">
        <f t="shared" si="1"/>
        <v>100</v>
      </c>
      <c r="V9" s="769" t="s">
        <v>17</v>
      </c>
      <c r="W9" s="770">
        <f t="shared" si="2"/>
        <v>100</v>
      </c>
      <c r="X9" s="771"/>
      <c r="Y9" s="3121" t="s">
        <v>2552</v>
      </c>
      <c r="Z9" s="55" t="str">
        <f t="shared" ref="Z9:Z15" si="7">Q9</f>
        <v>用途</v>
      </c>
      <c r="AA9" s="772">
        <f t="shared" si="3"/>
        <v>1</v>
      </c>
      <c r="AB9" s="772">
        <f t="shared" si="4"/>
        <v>1</v>
      </c>
      <c r="AC9" s="772">
        <f t="shared" si="5"/>
        <v>1</v>
      </c>
    </row>
    <row r="10" spans="1:29" s="428" customFormat="1" ht="27">
      <c r="A10" s="422"/>
      <c r="B10" s="423" t="s">
        <v>2553</v>
      </c>
      <c r="C10" s="433"/>
      <c r="D10" s="136">
        <v>100</v>
      </c>
      <c r="E10" s="433"/>
      <c r="F10" s="136">
        <f>ROUND(100/'数据-取费表'!G16,0)</f>
        <v>106</v>
      </c>
      <c r="G10" s="433"/>
      <c r="H10" s="136">
        <f>ROUND(100/'数据-取费表'!G16,0)</f>
        <v>106</v>
      </c>
      <c r="I10" s="433"/>
      <c r="J10" s="136">
        <f>ROUND(100/'数据-取费表'!G16,0)</f>
        <v>106</v>
      </c>
      <c r="K10" s="672"/>
      <c r="L10" s="1137"/>
      <c r="M10" s="1138"/>
      <c r="N10" s="1138"/>
      <c r="O10" s="1139"/>
      <c r="P10" s="3273"/>
      <c r="Q10" s="1798" t="str">
        <f t="shared" si="6"/>
        <v>土地使用年限（年）</v>
      </c>
      <c r="R10" s="769" t="s">
        <v>17</v>
      </c>
      <c r="S10" s="770">
        <f t="shared" si="0"/>
        <v>106</v>
      </c>
      <c r="T10" s="769" t="s">
        <v>17</v>
      </c>
      <c r="U10" s="770">
        <f t="shared" si="1"/>
        <v>106</v>
      </c>
      <c r="V10" s="769" t="s">
        <v>17</v>
      </c>
      <c r="W10" s="770">
        <f t="shared" si="2"/>
        <v>106</v>
      </c>
      <c r="X10" s="771"/>
      <c r="Y10" s="3121"/>
      <c r="Z10" s="55" t="str">
        <f t="shared" si="7"/>
        <v>土地使用年限（年）</v>
      </c>
      <c r="AA10" s="772">
        <f t="shared" si="3"/>
        <v>0.94339622641509435</v>
      </c>
      <c r="AB10" s="772">
        <f t="shared" si="4"/>
        <v>0.94339622641509435</v>
      </c>
      <c r="AC10" s="772">
        <f t="shared" si="5"/>
        <v>0.94339622641509435</v>
      </c>
    </row>
    <row r="11" spans="1:29" ht="15">
      <c r="A11" s="429"/>
      <c r="B11" s="423" t="s">
        <v>2554</v>
      </c>
      <c r="C11" s="430"/>
      <c r="D11" s="136">
        <v>100</v>
      </c>
      <c r="E11" s="430"/>
      <c r="F11" s="136" t="e">
        <f>LOOKUP(E11,75:75,76:76)-LOOKUP(C11,75:75,76:76)+100</f>
        <v>#N/A</v>
      </c>
      <c r="G11" s="431"/>
      <c r="H11" s="136" t="e">
        <f>LOOKUP(G11,75:75,76:76)-LOOKUP(C11,75:75,76:76)+100</f>
        <v>#N/A</v>
      </c>
      <c r="I11" s="430"/>
      <c r="J11" s="136" t="e">
        <f>LOOKUP(I11,75:75,76:76)-LOOKUP(C11,75:75,76:76)+100</f>
        <v>#N/A</v>
      </c>
      <c r="K11" s="673"/>
      <c r="L11" s="1140"/>
      <c r="M11" s="1133"/>
      <c r="N11" s="1133"/>
      <c r="O11" s="1141"/>
      <c r="P11" s="3273"/>
      <c r="Q11" s="1798" t="str">
        <f t="shared" si="6"/>
        <v>容积率</v>
      </c>
      <c r="R11" s="769" t="s">
        <v>17</v>
      </c>
      <c r="S11" s="770" t="e">
        <f t="shared" si="0"/>
        <v>#N/A</v>
      </c>
      <c r="T11" s="769" t="s">
        <v>17</v>
      </c>
      <c r="U11" s="770" t="e">
        <f t="shared" si="1"/>
        <v>#N/A</v>
      </c>
      <c r="V11" s="769" t="s">
        <v>17</v>
      </c>
      <c r="W11" s="770" t="e">
        <f t="shared" si="2"/>
        <v>#N/A</v>
      </c>
      <c r="X11" s="771"/>
      <c r="Y11" s="3121"/>
      <c r="Z11" s="55" t="str">
        <f t="shared" si="7"/>
        <v>容积率</v>
      </c>
      <c r="AA11" s="772" t="e">
        <f t="shared" si="3"/>
        <v>#N/A</v>
      </c>
      <c r="AB11" s="772" t="e">
        <f t="shared" si="4"/>
        <v>#N/A</v>
      </c>
      <c r="AC11" s="772" t="e">
        <f t="shared" si="5"/>
        <v>#N/A</v>
      </c>
    </row>
    <row r="12" spans="1:29" s="117" customFormat="1" ht="15">
      <c r="A12" s="432"/>
      <c r="B12" s="2597">
        <v>111</v>
      </c>
      <c r="C12" s="433"/>
      <c r="D12" s="434">
        <v>100</v>
      </c>
      <c r="E12" s="550"/>
      <c r="F12" s="136">
        <f>SUMIF(77:77,E12,78:78)-SUMIF(77:77,C12,78:78)+100</f>
        <v>100</v>
      </c>
      <c r="G12" s="674"/>
      <c r="H12" s="136">
        <f>SUMIF(77:77,G12,78:78)-SUMIF(77:77,C12,78:78)+100</f>
        <v>100</v>
      </c>
      <c r="I12" s="550"/>
      <c r="J12" s="136">
        <f>SUMIF(77:77,I12,78:78)-SUMIF(77:77,C12,78:78)+100</f>
        <v>100</v>
      </c>
      <c r="K12" s="672"/>
      <c r="L12" s="1134"/>
      <c r="M12" s="1135"/>
      <c r="N12" s="1135"/>
      <c r="O12" s="1136"/>
      <c r="P12" s="3273"/>
      <c r="Q12" s="1798">
        <f t="shared" si="6"/>
        <v>111</v>
      </c>
      <c r="R12" s="769" t="s">
        <v>17</v>
      </c>
      <c r="S12" s="770">
        <f t="shared" si="0"/>
        <v>100</v>
      </c>
      <c r="T12" s="769" t="s">
        <v>17</v>
      </c>
      <c r="U12" s="770">
        <f t="shared" si="1"/>
        <v>100</v>
      </c>
      <c r="V12" s="769" t="s">
        <v>17</v>
      </c>
      <c r="W12" s="770">
        <f t="shared" si="2"/>
        <v>100</v>
      </c>
      <c r="X12" s="771"/>
      <c r="Y12" s="3121"/>
      <c r="Z12" s="55">
        <f t="shared" si="7"/>
        <v>111</v>
      </c>
      <c r="AA12" s="772">
        <f>D12/F12</f>
        <v>1</v>
      </c>
      <c r="AB12" s="772">
        <f>D12/H12</f>
        <v>1</v>
      </c>
      <c r="AC12" s="772">
        <f>D12/J12</f>
        <v>1</v>
      </c>
    </row>
    <row r="13" spans="1:29" ht="15">
      <c r="A13" s="429"/>
      <c r="B13" s="2597">
        <v>111</v>
      </c>
      <c r="C13" s="435"/>
      <c r="D13" s="436">
        <v>100</v>
      </c>
      <c r="E13" s="550"/>
      <c r="F13" s="136">
        <f>SUMIF(79:79,E13,80:80)-SUMIF(79:79,C13,80:80)+100</f>
        <v>100</v>
      </c>
      <c r="G13" s="674"/>
      <c r="H13" s="436">
        <f>SUMIF(79:79,G13,80:80)-SUMIF(79:79,C13,80:80)+100</f>
        <v>100</v>
      </c>
      <c r="I13" s="550"/>
      <c r="J13" s="436">
        <f>SUMIF(79:79,I13,80:80)-SUMIF(79:79,C13,80:80)+100</f>
        <v>100</v>
      </c>
      <c r="K13" s="672"/>
      <c r="L13" s="1142"/>
      <c r="M13" s="1133"/>
      <c r="N13" s="1133"/>
      <c r="O13" s="1141"/>
      <c r="P13" s="3273"/>
      <c r="Q13" s="1798">
        <f t="shared" si="6"/>
        <v>111</v>
      </c>
      <c r="R13" s="769" t="s">
        <v>17</v>
      </c>
      <c r="S13" s="770">
        <f t="shared" si="0"/>
        <v>100</v>
      </c>
      <c r="T13" s="769" t="s">
        <v>17</v>
      </c>
      <c r="U13" s="770">
        <f t="shared" si="1"/>
        <v>100</v>
      </c>
      <c r="V13" s="769" t="s">
        <v>17</v>
      </c>
      <c r="W13" s="770">
        <f t="shared" si="2"/>
        <v>100</v>
      </c>
      <c r="X13" s="771"/>
      <c r="Y13" s="3121"/>
      <c r="Z13" s="55">
        <f t="shared" si="7"/>
        <v>111</v>
      </c>
      <c r="AA13" s="772">
        <f t="shared" si="3"/>
        <v>1</v>
      </c>
      <c r="AB13" s="772">
        <f t="shared" si="4"/>
        <v>1</v>
      </c>
      <c r="AC13" s="772">
        <f t="shared" si="5"/>
        <v>1</v>
      </c>
    </row>
    <row r="14" spans="1:29" ht="15.75" thickBot="1">
      <c r="A14" s="437"/>
      <c r="B14" s="2599">
        <v>111</v>
      </c>
      <c r="C14" s="438"/>
      <c r="D14" s="439">
        <v>100</v>
      </c>
      <c r="E14" s="550"/>
      <c r="F14" s="439">
        <f>SUMIF(81:81,E14,82:82)-SUMIF(81:81,C14,82:82)+100</f>
        <v>100</v>
      </c>
      <c r="G14" s="674"/>
      <c r="H14" s="439">
        <f>SUMIF(81:81,G14,82:82)-SUMIF(81:81,C14,82:82)+100</f>
        <v>100</v>
      </c>
      <c r="I14" s="550"/>
      <c r="J14" s="439">
        <f>SUMIF(81:81,I14,82:82)-SUMIF(81:81,C14,82:82)+100</f>
        <v>100</v>
      </c>
      <c r="K14" s="672"/>
      <c r="L14" s="1142"/>
      <c r="M14" s="1133"/>
      <c r="N14" s="1133"/>
      <c r="O14" s="1141"/>
      <c r="P14" s="3273"/>
      <c r="Q14" s="1798">
        <f t="shared" si="6"/>
        <v>111</v>
      </c>
      <c r="R14" s="769" t="s">
        <v>17</v>
      </c>
      <c r="S14" s="770">
        <f t="shared" si="0"/>
        <v>100</v>
      </c>
      <c r="T14" s="769" t="s">
        <v>17</v>
      </c>
      <c r="U14" s="770">
        <f t="shared" si="1"/>
        <v>100</v>
      </c>
      <c r="V14" s="769" t="s">
        <v>17</v>
      </c>
      <c r="W14" s="770">
        <f t="shared" si="2"/>
        <v>100</v>
      </c>
      <c r="X14" s="771"/>
      <c r="Y14" s="3121"/>
      <c r="Z14" s="55">
        <f t="shared" si="7"/>
        <v>111</v>
      </c>
      <c r="AA14" s="772">
        <f t="shared" si="3"/>
        <v>1</v>
      </c>
      <c r="AB14" s="772">
        <f t="shared" si="4"/>
        <v>1</v>
      </c>
      <c r="AC14" s="772">
        <f t="shared" si="5"/>
        <v>1</v>
      </c>
    </row>
    <row r="15" spans="1:29" ht="57">
      <c r="A15" s="441" t="s">
        <v>2555</v>
      </c>
      <c r="B15" s="629" t="s">
        <v>2793</v>
      </c>
      <c r="C15" s="2690"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3"/>
      <c r="L15" s="1142"/>
      <c r="M15" s="1133"/>
      <c r="N15" s="1133"/>
      <c r="O15" s="1141"/>
      <c r="P15" s="3275" t="s">
        <v>2556</v>
      </c>
      <c r="Q15" s="1813" t="str">
        <f t="shared" si="6"/>
        <v>产业集聚程度</v>
      </c>
      <c r="R15" s="773" t="s">
        <v>17</v>
      </c>
      <c r="S15" s="774">
        <f t="shared" si="0"/>
        <v>100</v>
      </c>
      <c r="T15" s="773" t="s">
        <v>17</v>
      </c>
      <c r="U15" s="774">
        <f t="shared" si="1"/>
        <v>100</v>
      </c>
      <c r="V15" s="773" t="s">
        <v>17</v>
      </c>
      <c r="W15" s="774">
        <f t="shared" si="2"/>
        <v>100</v>
      </c>
      <c r="X15" s="1816"/>
      <c r="Y15" s="3275" t="s">
        <v>2556</v>
      </c>
      <c r="Z15" s="1817" t="str">
        <f t="shared" si="7"/>
        <v>产业集聚程度</v>
      </c>
      <c r="AA15" s="1814">
        <f t="shared" si="3"/>
        <v>1</v>
      </c>
      <c r="AB15" s="1814">
        <f t="shared" si="4"/>
        <v>1</v>
      </c>
      <c r="AC15" s="1814">
        <f t="shared" si="5"/>
        <v>1</v>
      </c>
    </row>
    <row r="16" spans="1:29" ht="15">
      <c r="A16" s="429"/>
      <c r="B16" s="630"/>
      <c r="C16" s="448"/>
      <c r="D16" s="449"/>
      <c r="E16" s="2608"/>
      <c r="F16" s="449"/>
      <c r="G16" s="2608"/>
      <c r="H16" s="451"/>
      <c r="I16" s="2608"/>
      <c r="J16" s="449"/>
      <c r="K16" s="672"/>
      <c r="L16" s="1142"/>
      <c r="M16" s="1133"/>
      <c r="N16" s="1133"/>
      <c r="O16" s="1141"/>
      <c r="P16" s="3276"/>
      <c r="Q16" s="1813"/>
      <c r="R16" s="773"/>
      <c r="S16" s="774"/>
      <c r="T16" s="773"/>
      <c r="U16" s="774"/>
      <c r="V16" s="773"/>
      <c r="W16" s="774"/>
      <c r="X16" s="1816"/>
      <c r="Y16" s="3276"/>
      <c r="Z16" s="1817"/>
      <c r="AA16" s="1814">
        <v>1</v>
      </c>
      <c r="AB16" s="1814">
        <v>1</v>
      </c>
      <c r="AC16" s="1814">
        <v>1</v>
      </c>
    </row>
    <row r="17" spans="1:29" ht="85.5">
      <c r="A17" s="429"/>
      <c r="B17" s="631" t="s">
        <v>2704</v>
      </c>
      <c r="C17" s="2604"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3"/>
      <c r="L17" s="1142"/>
      <c r="M17" s="1133"/>
      <c r="N17" s="1133"/>
      <c r="O17" s="1141"/>
      <c r="P17" s="3276"/>
      <c r="Q17" s="1813" t="str">
        <f>B17</f>
        <v>交通便捷度</v>
      </c>
      <c r="R17" s="773" t="s">
        <v>17</v>
      </c>
      <c r="S17" s="774">
        <f>F17</f>
        <v>100</v>
      </c>
      <c r="T17" s="773" t="s">
        <v>17</v>
      </c>
      <c r="U17" s="774">
        <f>H17</f>
        <v>100</v>
      </c>
      <c r="V17" s="773" t="s">
        <v>17</v>
      </c>
      <c r="W17" s="774">
        <f>J17</f>
        <v>100</v>
      </c>
      <c r="X17" s="1816"/>
      <c r="Y17" s="3276"/>
      <c r="Z17" s="1817" t="str">
        <f>Q17</f>
        <v>交通便捷度</v>
      </c>
      <c r="AA17" s="1814">
        <f t="shared" si="3"/>
        <v>1</v>
      </c>
      <c r="AB17" s="1814">
        <f t="shared" si="4"/>
        <v>1</v>
      </c>
      <c r="AC17" s="1814">
        <f t="shared" si="5"/>
        <v>1</v>
      </c>
    </row>
    <row r="18" spans="1:29" ht="15">
      <c r="A18" s="429"/>
      <c r="B18" s="632"/>
      <c r="C18" s="448"/>
      <c r="D18" s="449"/>
      <c r="E18" s="2602"/>
      <c r="F18" s="449"/>
      <c r="G18" s="2602"/>
      <c r="H18" s="449"/>
      <c r="I18" s="2601"/>
      <c r="J18" s="449"/>
      <c r="K18" s="672"/>
      <c r="L18" s="1142"/>
      <c r="M18" s="1133"/>
      <c r="N18" s="1133"/>
      <c r="O18" s="1141"/>
      <c r="P18" s="3276"/>
      <c r="Q18" s="1813"/>
      <c r="R18" s="773"/>
      <c r="S18" s="774"/>
      <c r="T18" s="773"/>
      <c r="U18" s="774"/>
      <c r="V18" s="773"/>
      <c r="W18" s="774"/>
      <c r="X18" s="1816"/>
      <c r="Y18" s="3276"/>
      <c r="Z18" s="1817"/>
      <c r="AA18" s="1814">
        <v>1</v>
      </c>
      <c r="AB18" s="1814">
        <v>1</v>
      </c>
      <c r="AC18" s="1814">
        <v>1</v>
      </c>
    </row>
    <row r="19" spans="1:29" ht="15">
      <c r="A19" s="429"/>
      <c r="B19" s="631" t="s">
        <v>2743</v>
      </c>
      <c r="C19" s="2604">
        <f>估价对象房地状况!G17</f>
        <v>0</v>
      </c>
      <c r="D19" s="451">
        <v>100</v>
      </c>
      <c r="E19" s="453"/>
      <c r="F19" s="456">
        <f>SUMIF(87:87,E20,88:88)-SUMIF(87:87,C20,88:88)+100</f>
        <v>100</v>
      </c>
      <c r="G19" s="453"/>
      <c r="H19" s="456">
        <f>SUMIF(87:87,G20,88:88)-SUMIF(87:87,C20,88:88)+100</f>
        <v>100</v>
      </c>
      <c r="I19" s="453"/>
      <c r="J19" s="456">
        <f>SUMIF(87:87,I20,88:88)-SUMIF(87:87,C20,88:88)+100</f>
        <v>100</v>
      </c>
      <c r="K19" s="673"/>
      <c r="L19" s="1142"/>
      <c r="M19" s="1133"/>
      <c r="N19" s="1133"/>
      <c r="O19" s="1141"/>
      <c r="P19" s="3276"/>
      <c r="Q19" s="1813" t="str">
        <f t="shared" ref="Q19:Q33" si="8">B19</f>
        <v>区域土地利用方向</v>
      </c>
      <c r="R19" s="773" t="s">
        <v>17</v>
      </c>
      <c r="S19" s="774">
        <f>F19</f>
        <v>100</v>
      </c>
      <c r="T19" s="773" t="s">
        <v>17</v>
      </c>
      <c r="U19" s="774">
        <f>H19</f>
        <v>100</v>
      </c>
      <c r="V19" s="773" t="s">
        <v>17</v>
      </c>
      <c r="W19" s="774">
        <f>J19</f>
        <v>100</v>
      </c>
      <c r="X19" s="1816"/>
      <c r="Y19" s="3276"/>
      <c r="Z19" s="1817" t="str">
        <f>Q19</f>
        <v>区域土地利用方向</v>
      </c>
      <c r="AA19" s="1814">
        <f t="shared" si="3"/>
        <v>1</v>
      </c>
      <c r="AB19" s="1814">
        <f t="shared" si="4"/>
        <v>1</v>
      </c>
      <c r="AC19" s="1814">
        <f t="shared" si="5"/>
        <v>1</v>
      </c>
    </row>
    <row r="20" spans="1:29" ht="15">
      <c r="A20" s="405"/>
      <c r="B20" s="632"/>
      <c r="C20" s="448"/>
      <c r="D20" s="449"/>
      <c r="E20" s="2602"/>
      <c r="F20" s="449"/>
      <c r="G20" s="2602"/>
      <c r="H20" s="449"/>
      <c r="I20" s="2602"/>
      <c r="J20" s="449"/>
      <c r="K20" s="811"/>
      <c r="L20" s="1142"/>
      <c r="M20" s="1133"/>
      <c r="N20" s="1133"/>
      <c r="O20" s="1141"/>
      <c r="P20" s="3276"/>
      <c r="Q20" s="1813"/>
      <c r="R20" s="773"/>
      <c r="S20" s="774"/>
      <c r="T20" s="773"/>
      <c r="U20" s="774"/>
      <c r="V20" s="773"/>
      <c r="W20" s="774"/>
      <c r="X20" s="1816"/>
      <c r="Y20" s="3276"/>
      <c r="Z20" s="1817"/>
      <c r="AA20" s="1814"/>
      <c r="AB20" s="1814"/>
      <c r="AC20" s="1814"/>
    </row>
    <row r="21" spans="1:29" ht="71.25">
      <c r="A21" s="405"/>
      <c r="B21" s="631" t="s">
        <v>2794</v>
      </c>
      <c r="C21" s="2604"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3"/>
      <c r="L21" s="1142"/>
      <c r="M21" s="1133"/>
      <c r="N21" s="1133"/>
      <c r="O21" s="1141"/>
      <c r="P21" s="3276"/>
      <c r="Q21" s="1813" t="str">
        <f t="shared" si="8"/>
        <v>环境状况</v>
      </c>
      <c r="R21" s="773" t="s">
        <v>17</v>
      </c>
      <c r="S21" s="774">
        <f>F21</f>
        <v>100</v>
      </c>
      <c r="T21" s="773" t="s">
        <v>17</v>
      </c>
      <c r="U21" s="774">
        <f>H21</f>
        <v>100</v>
      </c>
      <c r="V21" s="773" t="s">
        <v>17</v>
      </c>
      <c r="W21" s="774">
        <f>J21</f>
        <v>100</v>
      </c>
      <c r="X21" s="1816"/>
      <c r="Y21" s="3276"/>
      <c r="Z21" s="1817" t="str">
        <f>Q21</f>
        <v>环境状况</v>
      </c>
      <c r="AA21" s="1814">
        <f t="shared" si="3"/>
        <v>1</v>
      </c>
      <c r="AB21" s="1814">
        <f t="shared" si="4"/>
        <v>1</v>
      </c>
      <c r="AC21" s="1814">
        <f t="shared" si="5"/>
        <v>1</v>
      </c>
    </row>
    <row r="22" spans="1:29" ht="15">
      <c r="A22" s="405"/>
      <c r="B22" s="632"/>
      <c r="C22" s="448"/>
      <c r="D22" s="449"/>
      <c r="E22" s="2608"/>
      <c r="F22" s="449"/>
      <c r="G22" s="2608"/>
      <c r="H22" s="449"/>
      <c r="I22" s="448"/>
      <c r="J22" s="449"/>
      <c r="K22" s="672"/>
      <c r="L22" s="1142"/>
      <c r="M22" s="1133"/>
      <c r="N22" s="1133"/>
      <c r="O22" s="1141"/>
      <c r="P22" s="3276"/>
      <c r="Q22" s="1813"/>
      <c r="R22" s="773"/>
      <c r="S22" s="774"/>
      <c r="T22" s="773"/>
      <c r="U22" s="774"/>
      <c r="V22" s="773"/>
      <c r="W22" s="774"/>
      <c r="X22" s="1816"/>
      <c r="Y22" s="3276"/>
      <c r="Z22" s="1817"/>
      <c r="AA22" s="1814">
        <v>1</v>
      </c>
      <c r="AB22" s="1814">
        <v>1</v>
      </c>
      <c r="AC22" s="1814">
        <v>1</v>
      </c>
    </row>
    <row r="23" spans="1:29" s="117" customFormat="1" ht="42.75">
      <c r="A23" s="649"/>
      <c r="B23" s="633" t="s">
        <v>2650</v>
      </c>
      <c r="C23" s="2604"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3"/>
      <c r="L23" s="1134"/>
      <c r="M23" s="1135"/>
      <c r="N23" s="1135"/>
      <c r="O23" s="1136"/>
      <c r="P23" s="3276"/>
      <c r="Q23" s="1798" t="str">
        <f t="shared" si="8"/>
        <v>公共配套设施</v>
      </c>
      <c r="R23" s="769" t="s">
        <v>17</v>
      </c>
      <c r="S23" s="770">
        <f>F23</f>
        <v>100</v>
      </c>
      <c r="T23" s="769" t="s">
        <v>17</v>
      </c>
      <c r="U23" s="770">
        <f>H23</f>
        <v>100</v>
      </c>
      <c r="V23" s="769" t="s">
        <v>17</v>
      </c>
      <c r="W23" s="770">
        <f>J23</f>
        <v>100</v>
      </c>
      <c r="X23" s="771"/>
      <c r="Y23" s="3276"/>
      <c r="Z23" s="55" t="str">
        <f>Q23</f>
        <v>公共配套设施</v>
      </c>
      <c r="AA23" s="1814">
        <f>D23/F23</f>
        <v>1</v>
      </c>
      <c r="AB23" s="1814">
        <f>D23/H23</f>
        <v>1</v>
      </c>
      <c r="AC23" s="1814">
        <f>D23/J23</f>
        <v>1</v>
      </c>
    </row>
    <row r="24" spans="1:29" s="117" customFormat="1" ht="15">
      <c r="A24" s="649"/>
      <c r="B24" s="632"/>
      <c r="C24" s="2697"/>
      <c r="D24" s="449"/>
      <c r="E24" s="2608"/>
      <c r="F24" s="449"/>
      <c r="G24" s="2608"/>
      <c r="H24" s="449"/>
      <c r="I24" s="448"/>
      <c r="J24" s="449"/>
      <c r="K24" s="672"/>
      <c r="L24" s="1134"/>
      <c r="M24" s="1135"/>
      <c r="N24" s="1135"/>
      <c r="O24" s="1136"/>
      <c r="P24" s="3276"/>
      <c r="Q24" s="1798"/>
      <c r="R24" s="769"/>
      <c r="S24" s="770"/>
      <c r="T24" s="769"/>
      <c r="U24" s="770"/>
      <c r="V24" s="769"/>
      <c r="W24" s="770"/>
      <c r="X24" s="771"/>
      <c r="Y24" s="3276"/>
      <c r="Z24" s="55"/>
      <c r="AA24" s="772">
        <v>1</v>
      </c>
      <c r="AB24" s="772">
        <v>1</v>
      </c>
      <c r="AC24" s="772">
        <v>1</v>
      </c>
    </row>
    <row r="25" spans="1:29" s="117" customFormat="1" ht="28.5">
      <c r="A25" s="649"/>
      <c r="B25" s="633" t="s">
        <v>2651</v>
      </c>
      <c r="C25" s="2604"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3"/>
      <c r="L25" s="1134"/>
      <c r="M25" s="1135"/>
      <c r="N25" s="1135"/>
      <c r="O25" s="1136"/>
      <c r="P25" s="3276"/>
      <c r="Q25" s="1798" t="str">
        <f t="shared" ref="Q25" si="9">B25</f>
        <v>基础设施水平</v>
      </c>
      <c r="R25" s="769" t="s">
        <v>17</v>
      </c>
      <c r="S25" s="770">
        <f>F25</f>
        <v>100</v>
      </c>
      <c r="T25" s="769" t="s">
        <v>17</v>
      </c>
      <c r="U25" s="770">
        <f>H25</f>
        <v>100</v>
      </c>
      <c r="V25" s="769" t="s">
        <v>17</v>
      </c>
      <c r="W25" s="770">
        <f>J25</f>
        <v>100</v>
      </c>
      <c r="X25" s="771"/>
      <c r="Y25" s="3276"/>
      <c r="Z25" s="55" t="str">
        <f>Q25</f>
        <v>基础设施水平</v>
      </c>
      <c r="AA25" s="1814">
        <f>D25/F25</f>
        <v>1</v>
      </c>
      <c r="AB25" s="1814">
        <f>D25/H25</f>
        <v>1</v>
      </c>
      <c r="AC25" s="1814">
        <f>D25/J25</f>
        <v>1</v>
      </c>
    </row>
    <row r="26" spans="1:29" s="117" customFormat="1" ht="15">
      <c r="A26" s="649"/>
      <c r="B26" s="632"/>
      <c r="C26" s="2697"/>
      <c r="D26" s="449"/>
      <c r="E26" s="2698"/>
      <c r="F26" s="449"/>
      <c r="G26" s="2698"/>
      <c r="H26" s="449"/>
      <c r="I26" s="2698"/>
      <c r="J26" s="449"/>
      <c r="K26" s="672"/>
      <c r="L26" s="1134"/>
      <c r="M26" s="1135"/>
      <c r="N26" s="1135"/>
      <c r="O26" s="1136"/>
      <c r="P26" s="3276"/>
      <c r="Q26" s="1798"/>
      <c r="R26" s="769"/>
      <c r="S26" s="770"/>
      <c r="T26" s="769"/>
      <c r="U26" s="770"/>
      <c r="V26" s="769"/>
      <c r="W26" s="770"/>
      <c r="X26" s="771"/>
      <c r="Y26" s="3276"/>
      <c r="Z26" s="55"/>
      <c r="AA26" s="772">
        <v>1</v>
      </c>
      <c r="AB26" s="772">
        <v>1</v>
      </c>
      <c r="AC26" s="772">
        <v>1</v>
      </c>
    </row>
    <row r="27" spans="1:29" ht="15">
      <c r="A27" s="429"/>
      <c r="B27" s="632" t="s">
        <v>2652</v>
      </c>
      <c r="C27" s="617"/>
      <c r="D27" s="436">
        <v>100</v>
      </c>
      <c r="E27" s="634"/>
      <c r="F27" s="436">
        <f>SUMIF(95:95,E27,96:96)-SUMIF(95:95,C27,96:96)+100</f>
        <v>100</v>
      </c>
      <c r="G27" s="634"/>
      <c r="H27" s="436">
        <f>SUMIF(95:95,G27,96:96)-SUMIF(95:95,C27,96:96)+100</f>
        <v>100</v>
      </c>
      <c r="I27" s="634"/>
      <c r="J27" s="436">
        <f>SUMIF(95:95,I27,96:96)-SUMIF(95:95,C27,96:96)+100</f>
        <v>100</v>
      </c>
      <c r="K27" s="673"/>
      <c r="L27" s="1142"/>
      <c r="M27" s="1133"/>
      <c r="N27" s="1133"/>
      <c r="O27" s="1141"/>
      <c r="P27" s="3276"/>
      <c r="Q27" s="1813" t="str">
        <f t="shared" si="8"/>
        <v>临街状况</v>
      </c>
      <c r="R27" s="773" t="s">
        <v>17</v>
      </c>
      <c r="S27" s="774">
        <f t="shared" ref="S27:S40" si="10">F27</f>
        <v>100</v>
      </c>
      <c r="T27" s="773" t="s">
        <v>17</v>
      </c>
      <c r="U27" s="774">
        <f t="shared" ref="U27:U40" si="11">H27</f>
        <v>100</v>
      </c>
      <c r="V27" s="773" t="s">
        <v>17</v>
      </c>
      <c r="W27" s="774">
        <f t="shared" ref="W27:W40" si="12">J27</f>
        <v>100</v>
      </c>
      <c r="X27" s="1816"/>
      <c r="Y27" s="3276"/>
      <c r="Z27" s="1817" t="str">
        <f t="shared" ref="Z27:Z40" si="13">Q27</f>
        <v>临街状况</v>
      </c>
      <c r="AA27" s="1814">
        <f t="shared" si="3"/>
        <v>1</v>
      </c>
      <c r="AB27" s="1814">
        <f t="shared" si="4"/>
        <v>1</v>
      </c>
      <c r="AC27" s="1814">
        <f t="shared" si="5"/>
        <v>1</v>
      </c>
    </row>
    <row r="28" spans="1:29" ht="27">
      <c r="A28" s="429"/>
      <c r="B28" s="633" t="s">
        <v>2686</v>
      </c>
      <c r="C28" s="2710">
        <f>估价对象房地状况!G22</f>
        <v>0</v>
      </c>
      <c r="D28" s="451">
        <v>100</v>
      </c>
      <c r="E28" s="453"/>
      <c r="F28" s="451">
        <f>SUMIF(97:97,E29,98:98)-SUMIF(97:97,C29,98:98)+100</f>
        <v>100</v>
      </c>
      <c r="G28" s="453"/>
      <c r="H28" s="451">
        <f>SUMIF(97:97,G29,98:98)-SUMIF(97:97,C29,98:98)+100</f>
        <v>100</v>
      </c>
      <c r="I28" s="455"/>
      <c r="J28" s="451">
        <f>SUMIF(97:97,I29,98:98)-SUMIF(97:97,C29,98:98)+100</f>
        <v>100</v>
      </c>
      <c r="K28" s="673"/>
      <c r="L28" s="1142"/>
      <c r="M28" s="1133"/>
      <c r="N28" s="1133"/>
      <c r="O28" s="1141"/>
      <c r="P28" s="3276"/>
      <c r="Q28" s="1813" t="str">
        <f t="shared" si="8"/>
        <v>毗邻道路的类型与等级</v>
      </c>
      <c r="R28" s="773" t="s">
        <v>17</v>
      </c>
      <c r="S28" s="774">
        <f t="shared" si="10"/>
        <v>100</v>
      </c>
      <c r="T28" s="773" t="s">
        <v>17</v>
      </c>
      <c r="U28" s="774">
        <f t="shared" si="11"/>
        <v>100</v>
      </c>
      <c r="V28" s="773" t="s">
        <v>17</v>
      </c>
      <c r="W28" s="774">
        <f t="shared" si="12"/>
        <v>100</v>
      </c>
      <c r="X28" s="1816"/>
      <c r="Y28" s="3276"/>
      <c r="Z28" s="1817" t="str">
        <f t="shared" si="13"/>
        <v>毗邻道路的类型与等级</v>
      </c>
      <c r="AA28" s="1814">
        <f t="shared" si="3"/>
        <v>1</v>
      </c>
      <c r="AB28" s="1814">
        <f t="shared" si="4"/>
        <v>1</v>
      </c>
      <c r="AC28" s="1814">
        <f t="shared" si="5"/>
        <v>1</v>
      </c>
    </row>
    <row r="29" spans="1:29" ht="15">
      <c r="A29" s="429"/>
      <c r="B29" s="632"/>
      <c r="C29" s="448"/>
      <c r="D29" s="449"/>
      <c r="E29" s="2608"/>
      <c r="F29" s="449"/>
      <c r="G29" s="2608"/>
      <c r="H29" s="449"/>
      <c r="I29" s="2608"/>
      <c r="J29" s="449"/>
      <c r="K29" s="614"/>
      <c r="L29" s="1142"/>
      <c r="M29" s="1133"/>
      <c r="N29" s="1133"/>
      <c r="O29" s="1141"/>
      <c r="P29" s="3276"/>
      <c r="Q29" s="1813"/>
      <c r="R29" s="773"/>
      <c r="S29" s="774"/>
      <c r="T29" s="773"/>
      <c r="U29" s="774"/>
      <c r="V29" s="773"/>
      <c r="W29" s="774"/>
      <c r="X29" s="1816"/>
      <c r="Y29" s="3276"/>
      <c r="Z29" s="1817"/>
      <c r="AA29" s="1814">
        <v>1</v>
      </c>
      <c r="AB29" s="1814">
        <v>1</v>
      </c>
      <c r="AC29" s="1814">
        <v>1</v>
      </c>
    </row>
    <row r="30" spans="1:29" ht="15">
      <c r="A30" s="429"/>
      <c r="B30" s="654" t="s">
        <v>2745</v>
      </c>
      <c r="C30" s="1391">
        <f>估价对象房地状况!G23</f>
        <v>0</v>
      </c>
      <c r="D30" s="436">
        <v>100</v>
      </c>
      <c r="E30" s="634"/>
      <c r="F30" s="436">
        <f>SUMIF(99:99,E30,100:100)-SUMIF(99:99,C30,100:100)+100</f>
        <v>100</v>
      </c>
      <c r="G30" s="634"/>
      <c r="H30" s="436">
        <f>SUMIF(99:99,G30,100:100)-SUMIF(99:99,C30,100:100)+100</f>
        <v>100</v>
      </c>
      <c r="I30" s="634"/>
      <c r="J30" s="436">
        <f>SUMIF(99:99,I30,100:100)-SUMIF(99:99,C30,100:100)+100</f>
        <v>100</v>
      </c>
      <c r="K30" s="613"/>
      <c r="L30" s="1142"/>
      <c r="M30" s="1133"/>
      <c r="N30" s="1133"/>
      <c r="O30" s="1141"/>
      <c r="P30" s="3276"/>
      <c r="Q30" s="1813" t="str">
        <f t="shared" si="8"/>
        <v>土地级别</v>
      </c>
      <c r="R30" s="773" t="s">
        <v>17</v>
      </c>
      <c r="S30" s="774">
        <f t="shared" si="10"/>
        <v>100</v>
      </c>
      <c r="T30" s="773" t="s">
        <v>17</v>
      </c>
      <c r="U30" s="774">
        <f t="shared" si="11"/>
        <v>100</v>
      </c>
      <c r="V30" s="773" t="s">
        <v>17</v>
      </c>
      <c r="W30" s="774">
        <f t="shared" si="12"/>
        <v>100</v>
      </c>
      <c r="X30" s="1816"/>
      <c r="Y30" s="3276"/>
      <c r="Z30" s="1817" t="str">
        <f t="shared" si="13"/>
        <v>土地级别</v>
      </c>
      <c r="AA30" s="1814">
        <f t="shared" si="3"/>
        <v>1</v>
      </c>
      <c r="AB30" s="1814">
        <f t="shared" si="4"/>
        <v>1</v>
      </c>
      <c r="AC30" s="1814">
        <f t="shared" si="5"/>
        <v>1</v>
      </c>
    </row>
    <row r="31" spans="1:29" ht="15">
      <c r="A31" s="405"/>
      <c r="B31" s="2675">
        <v>111</v>
      </c>
      <c r="C31" s="674"/>
      <c r="D31" s="436">
        <v>100</v>
      </c>
      <c r="E31" s="478"/>
      <c r="F31" s="436">
        <f>SUMIF(101:101,E31,102:102)-SUMIF(101:101,C31,102:102)+100</f>
        <v>100</v>
      </c>
      <c r="G31" s="478"/>
      <c r="H31" s="436">
        <f>SUMIF(101:101,G31,102:102)-SUMIF(101:101,C31,102:102)+100</f>
        <v>100</v>
      </c>
      <c r="I31" s="550"/>
      <c r="J31" s="436">
        <f>SUMIF(101:101,I31,102:102)-SUMIF(101:101,C31,102:102)+100</f>
        <v>100</v>
      </c>
      <c r="K31" s="614"/>
      <c r="L31" s="1142"/>
      <c r="M31" s="1133"/>
      <c r="N31" s="1133"/>
      <c r="O31" s="1141"/>
      <c r="P31" s="3276"/>
      <c r="Q31" s="1813">
        <f t="shared" si="8"/>
        <v>111</v>
      </c>
      <c r="R31" s="773" t="s">
        <v>17</v>
      </c>
      <c r="S31" s="774">
        <f t="shared" si="10"/>
        <v>100</v>
      </c>
      <c r="T31" s="773" t="s">
        <v>17</v>
      </c>
      <c r="U31" s="774">
        <f t="shared" si="11"/>
        <v>100</v>
      </c>
      <c r="V31" s="773" t="s">
        <v>17</v>
      </c>
      <c r="W31" s="774">
        <f t="shared" si="12"/>
        <v>100</v>
      </c>
      <c r="X31" s="1816"/>
      <c r="Y31" s="3276"/>
      <c r="Z31" s="1817">
        <f t="shared" si="13"/>
        <v>111</v>
      </c>
      <c r="AA31" s="1814">
        <f t="shared" si="3"/>
        <v>1</v>
      </c>
      <c r="AB31" s="1814">
        <f t="shared" si="4"/>
        <v>1</v>
      </c>
      <c r="AC31" s="1814">
        <f t="shared" si="5"/>
        <v>1</v>
      </c>
    </row>
    <row r="32" spans="1:29" ht="15">
      <c r="A32" s="675"/>
      <c r="B32" s="2711">
        <v>111</v>
      </c>
      <c r="C32" s="674"/>
      <c r="D32" s="436">
        <v>100</v>
      </c>
      <c r="E32" s="478"/>
      <c r="F32" s="436">
        <f>SUMIF(103:103,E33,104:104)-SUMIF(103:103,C33,104:104)+100</f>
        <v>100</v>
      </c>
      <c r="G32" s="478"/>
      <c r="H32" s="436">
        <f>SUMIF(103:103,G32,104:104)-SUMIF(103:103,C32,104:104)+100</f>
        <v>100</v>
      </c>
      <c r="I32" s="674"/>
      <c r="J32" s="436">
        <f>SUMIF(103:103,I32,104:104)-SUMIF(103:103,C32,104:104)+100</f>
        <v>100</v>
      </c>
      <c r="K32" s="614"/>
      <c r="L32" s="1142"/>
      <c r="M32" s="1133"/>
      <c r="N32" s="1133"/>
      <c r="O32" s="1141"/>
      <c r="P32" s="3277" t="s">
        <v>2561</v>
      </c>
      <c r="Q32" s="1813">
        <f t="shared" si="8"/>
        <v>111</v>
      </c>
      <c r="R32" s="773" t="s">
        <v>17</v>
      </c>
      <c r="S32" s="774">
        <f t="shared" si="10"/>
        <v>100</v>
      </c>
      <c r="T32" s="773" t="s">
        <v>17</v>
      </c>
      <c r="U32" s="774">
        <f t="shared" si="11"/>
        <v>100</v>
      </c>
      <c r="V32" s="773" t="s">
        <v>17</v>
      </c>
      <c r="W32" s="774">
        <f t="shared" si="12"/>
        <v>100</v>
      </c>
      <c r="X32" s="1816"/>
      <c r="Y32" s="3278" t="s">
        <v>2561</v>
      </c>
      <c r="Z32" s="1817">
        <f t="shared" si="13"/>
        <v>111</v>
      </c>
      <c r="AA32" s="1814">
        <f t="shared" si="3"/>
        <v>1</v>
      </c>
      <c r="AB32" s="1814">
        <f t="shared" si="4"/>
        <v>1</v>
      </c>
      <c r="AC32" s="1814">
        <f t="shared" si="5"/>
        <v>1</v>
      </c>
    </row>
    <row r="33" spans="1:29" s="472" customFormat="1" ht="15.75" thickBot="1">
      <c r="A33" s="676"/>
      <c r="B33" s="2712">
        <v>111</v>
      </c>
      <c r="C33" s="678"/>
      <c r="D33" s="137">
        <v>100</v>
      </c>
      <c r="E33" s="701"/>
      <c r="F33" s="439">
        <f>SUMIF(105:105,E33,106:106)-SUMIF(105:105,C33,106:106)+100</f>
        <v>100</v>
      </c>
      <c r="G33" s="701"/>
      <c r="H33" s="439">
        <f>SUMIF(105:105,G33,106:106)-SUMIF(105:105,C33,106:106)+100</f>
        <v>100</v>
      </c>
      <c r="I33" s="678"/>
      <c r="J33" s="439">
        <f>SUMIF(105:105,I33,106:106)-SUMIF(105:105,C33,106:106)+100</f>
        <v>100</v>
      </c>
      <c r="K33" s="614"/>
      <c r="L33" s="1140"/>
      <c r="M33" s="1143"/>
      <c r="N33" s="1143"/>
      <c r="O33" s="1144"/>
      <c r="P33" s="3278"/>
      <c r="Q33" s="1813">
        <f t="shared" si="8"/>
        <v>111</v>
      </c>
      <c r="R33" s="776" t="s">
        <v>17</v>
      </c>
      <c r="S33" s="777">
        <f t="shared" si="10"/>
        <v>100</v>
      </c>
      <c r="T33" s="776" t="s">
        <v>17</v>
      </c>
      <c r="U33" s="777">
        <f t="shared" si="11"/>
        <v>100</v>
      </c>
      <c r="V33" s="776" t="s">
        <v>17</v>
      </c>
      <c r="W33" s="777">
        <f t="shared" si="12"/>
        <v>100</v>
      </c>
      <c r="X33" s="778"/>
      <c r="Y33" s="3278"/>
      <c r="Z33" s="779">
        <f t="shared" si="13"/>
        <v>111</v>
      </c>
      <c r="AA33" s="1814">
        <f t="shared" si="3"/>
        <v>1</v>
      </c>
      <c r="AB33" s="1814">
        <f t="shared" si="4"/>
        <v>1</v>
      </c>
      <c r="AC33" s="1814">
        <f t="shared" si="5"/>
        <v>1</v>
      </c>
    </row>
    <row r="34" spans="1:29" ht="15">
      <c r="A34" s="441" t="s">
        <v>2559</v>
      </c>
      <c r="B34" s="457" t="s">
        <v>2746</v>
      </c>
      <c r="C34" s="679"/>
      <c r="D34" s="468">
        <v>100</v>
      </c>
      <c r="E34" s="679"/>
      <c r="F34" s="468" t="e">
        <f>LOOKUP(E34,108:108,109:109)-LOOKUP(C34,108:108,109:109)+100</f>
        <v>#N/A</v>
      </c>
      <c r="G34" s="679"/>
      <c r="H34" s="468" t="e">
        <f>LOOKUP(G34,108:108,109:109)-LOOKUP(C34,108:108,109:109)+100</f>
        <v>#N/A</v>
      </c>
      <c r="I34" s="531"/>
      <c r="J34" s="468" t="e">
        <f>LOOKUP(I34,108:108,109:109)-LOOKUP(C34,108:108,109:109)+100</f>
        <v>#N/A</v>
      </c>
      <c r="K34" s="614"/>
      <c r="L34" s="1142"/>
      <c r="M34" s="1133"/>
      <c r="N34" s="1133"/>
      <c r="O34" s="1141"/>
      <c r="P34" s="3278"/>
      <c r="Q34" s="1813" t="str">
        <f>B34</f>
        <v>宗地面积</v>
      </c>
      <c r="R34" s="773" t="s">
        <v>17</v>
      </c>
      <c r="S34" s="774" t="e">
        <f t="shared" si="10"/>
        <v>#N/A</v>
      </c>
      <c r="T34" s="773" t="s">
        <v>17</v>
      </c>
      <c r="U34" s="774" t="e">
        <f t="shared" si="11"/>
        <v>#N/A</v>
      </c>
      <c r="V34" s="773" t="s">
        <v>17</v>
      </c>
      <c r="W34" s="774" t="e">
        <f t="shared" si="12"/>
        <v>#N/A</v>
      </c>
      <c r="X34" s="1816"/>
      <c r="Y34" s="3278"/>
      <c r="Z34" s="1817" t="str">
        <f t="shared" si="13"/>
        <v>宗地面积</v>
      </c>
      <c r="AA34" s="1814" t="e">
        <f t="shared" si="3"/>
        <v>#N/A</v>
      </c>
      <c r="AB34" s="1814" t="e">
        <f t="shared" si="4"/>
        <v>#N/A</v>
      </c>
      <c r="AC34" s="1814" t="e">
        <f t="shared" si="5"/>
        <v>#N/A</v>
      </c>
    </row>
    <row r="35" spans="1:29" ht="15">
      <c r="A35" s="473"/>
      <c r="B35" s="423" t="s">
        <v>2747</v>
      </c>
      <c r="C35" s="2610"/>
      <c r="D35" s="436">
        <v>100</v>
      </c>
      <c r="E35" s="2610"/>
      <c r="F35" s="436">
        <f>SUMIF(110:110,E35,111:111)-SUMIF(110:110,C35,111:111)+100</f>
        <v>100</v>
      </c>
      <c r="G35" s="2610"/>
      <c r="H35" s="436">
        <f>SUMIF(110:110,G35,111:111)-SUMIF(110:110,C35,111:111)+100</f>
        <v>100</v>
      </c>
      <c r="I35" s="2610"/>
      <c r="J35" s="436">
        <f>SUMIF(110:110,I35,111:111)-SUMIF(110:110,C35,111:111)+100</f>
        <v>100</v>
      </c>
      <c r="K35" s="613"/>
      <c r="L35" s="1142"/>
      <c r="M35" s="1133"/>
      <c r="N35" s="1133"/>
      <c r="O35" s="1141"/>
      <c r="P35" s="3278"/>
      <c r="Q35" s="1813" t="str">
        <f t="shared" ref="Q35:Q40" si="14">B35</f>
        <v>宗地形状</v>
      </c>
      <c r="R35" s="773" t="s">
        <v>17</v>
      </c>
      <c r="S35" s="774">
        <f t="shared" si="10"/>
        <v>100</v>
      </c>
      <c r="T35" s="773" t="s">
        <v>17</v>
      </c>
      <c r="U35" s="774">
        <f t="shared" si="11"/>
        <v>100</v>
      </c>
      <c r="V35" s="773" t="s">
        <v>17</v>
      </c>
      <c r="W35" s="774">
        <f t="shared" si="12"/>
        <v>100</v>
      </c>
      <c r="X35" s="1816"/>
      <c r="Y35" s="3278"/>
      <c r="Z35" s="1817" t="str">
        <f t="shared" si="13"/>
        <v>宗地形状</v>
      </c>
      <c r="AA35" s="1814">
        <f t="shared" si="3"/>
        <v>1</v>
      </c>
      <c r="AB35" s="1814">
        <f t="shared" si="4"/>
        <v>1</v>
      </c>
      <c r="AC35" s="1814">
        <f t="shared" si="5"/>
        <v>1</v>
      </c>
    </row>
    <row r="36" spans="1:29" s="117" customFormat="1" ht="15">
      <c r="A36" s="474"/>
      <c r="B36" s="423" t="s">
        <v>2749</v>
      </c>
      <c r="C36" s="2699"/>
      <c r="D36" s="136">
        <v>100</v>
      </c>
      <c r="E36" s="2699"/>
      <c r="F36" s="436">
        <f>SUMIF(112:112,E36,113:113)-SUMIF(112:112,C36,113:113)+100</f>
        <v>100</v>
      </c>
      <c r="G36" s="2699"/>
      <c r="H36" s="436">
        <f>SUMIF(112:112,G36,113:113)-SUMIF(112:112,C36,113:113)+100</f>
        <v>100</v>
      </c>
      <c r="I36" s="2699"/>
      <c r="J36" s="436">
        <f>SUMIF(112:112,I36,113:113)-SUMIF(112:112,C36,113:113)+100</f>
        <v>100</v>
      </c>
      <c r="K36" s="613"/>
      <c r="L36" s="1134"/>
      <c r="M36" s="1135"/>
      <c r="N36" s="1135"/>
      <c r="O36" s="1136"/>
      <c r="P36" s="3278"/>
      <c r="Q36" s="1813" t="str">
        <f t="shared" si="14"/>
        <v>宗地开发程度</v>
      </c>
      <c r="R36" s="769" t="s">
        <v>17</v>
      </c>
      <c r="S36" s="770">
        <f t="shared" si="10"/>
        <v>100</v>
      </c>
      <c r="T36" s="769" t="s">
        <v>17</v>
      </c>
      <c r="U36" s="770">
        <f t="shared" si="11"/>
        <v>100</v>
      </c>
      <c r="V36" s="769" t="s">
        <v>17</v>
      </c>
      <c r="W36" s="770">
        <f t="shared" si="12"/>
        <v>100</v>
      </c>
      <c r="X36" s="771"/>
      <c r="Y36" s="3278"/>
      <c r="Z36" s="55" t="str">
        <f t="shared" si="13"/>
        <v>宗地开发程度</v>
      </c>
      <c r="AA36" s="772">
        <f t="shared" si="3"/>
        <v>1</v>
      </c>
      <c r="AB36" s="772">
        <f t="shared" si="4"/>
        <v>1</v>
      </c>
      <c r="AC36" s="772">
        <f t="shared" si="5"/>
        <v>1</v>
      </c>
    </row>
    <row r="37" spans="1:29" ht="15">
      <c r="A37" s="473"/>
      <c r="B37" s="423" t="s">
        <v>2750</v>
      </c>
      <c r="C37" s="2610"/>
      <c r="D37" s="436">
        <v>100</v>
      </c>
      <c r="E37" s="2610"/>
      <c r="F37" s="436">
        <f>SUMIF(114:114,E37,115:115)-SUMIF(114:114,C37,115:115)+100</f>
        <v>100</v>
      </c>
      <c r="G37" s="2610"/>
      <c r="H37" s="436">
        <f>SUMIF(114:114,G37,115:115)-SUMIF(114:114,C37,115:115)+100</f>
        <v>100</v>
      </c>
      <c r="I37" s="2610"/>
      <c r="J37" s="436">
        <f>SUMIF(114:114,I37,115:115)-SUMIF(114:114,C37,115:115)+100</f>
        <v>100</v>
      </c>
      <c r="K37" s="613"/>
      <c r="L37" s="1142"/>
      <c r="M37" s="1133"/>
      <c r="N37" s="1133"/>
      <c r="O37" s="1141"/>
      <c r="P37" s="3278" t="s">
        <v>2561</v>
      </c>
      <c r="Q37" s="1813" t="str">
        <f t="shared" si="14"/>
        <v>工程地质条件</v>
      </c>
      <c r="R37" s="773" t="s">
        <v>17</v>
      </c>
      <c r="S37" s="774">
        <f t="shared" si="10"/>
        <v>100</v>
      </c>
      <c r="T37" s="773" t="s">
        <v>17</v>
      </c>
      <c r="U37" s="774">
        <f t="shared" si="11"/>
        <v>100</v>
      </c>
      <c r="V37" s="773" t="s">
        <v>17</v>
      </c>
      <c r="W37" s="774">
        <f t="shared" si="12"/>
        <v>100</v>
      </c>
      <c r="X37" s="1816"/>
      <c r="Y37" s="3278" t="s">
        <v>2561</v>
      </c>
      <c r="Z37" s="1817" t="str">
        <f t="shared" si="13"/>
        <v>工程地质条件</v>
      </c>
      <c r="AA37" s="1814">
        <f t="shared" si="3"/>
        <v>1</v>
      </c>
      <c r="AB37" s="1814">
        <f t="shared" si="4"/>
        <v>1</v>
      </c>
      <c r="AC37" s="1814">
        <f t="shared" si="5"/>
        <v>1</v>
      </c>
    </row>
    <row r="38" spans="1:29" ht="15">
      <c r="A38" s="473"/>
      <c r="B38" s="1389">
        <v>111</v>
      </c>
      <c r="C38" s="674"/>
      <c r="D38" s="436">
        <v>100</v>
      </c>
      <c r="E38" s="674"/>
      <c r="F38" s="436">
        <f>SUMIF(116:116,E38,117:117)-SUMIF(116:116,C38,117:117)+100</f>
        <v>100</v>
      </c>
      <c r="G38" s="674"/>
      <c r="H38" s="436">
        <f>SUMIF(116:116,G38,117:117)-SUMIF(116:116,C38,117:117)+100</f>
        <v>100</v>
      </c>
      <c r="I38" s="550"/>
      <c r="J38" s="436">
        <f>SUMIF(116:116,I38,117:117)-SUMIF(116:116,C38,117:117)+100</f>
        <v>100</v>
      </c>
      <c r="K38" s="614"/>
      <c r="L38" s="1142"/>
      <c r="M38" s="1133"/>
      <c r="N38" s="1133"/>
      <c r="O38" s="1141"/>
      <c r="P38" s="3278"/>
      <c r="Q38" s="1813">
        <f t="shared" si="14"/>
        <v>111</v>
      </c>
      <c r="R38" s="773" t="s">
        <v>17</v>
      </c>
      <c r="S38" s="774">
        <f t="shared" si="10"/>
        <v>100</v>
      </c>
      <c r="T38" s="773" t="s">
        <v>17</v>
      </c>
      <c r="U38" s="774">
        <f t="shared" si="11"/>
        <v>100</v>
      </c>
      <c r="V38" s="773" t="s">
        <v>17</v>
      </c>
      <c r="W38" s="774">
        <f t="shared" si="12"/>
        <v>100</v>
      </c>
      <c r="X38" s="1816"/>
      <c r="Y38" s="3278"/>
      <c r="Z38" s="1817">
        <f t="shared" si="13"/>
        <v>111</v>
      </c>
      <c r="AA38" s="1814">
        <f t="shared" si="3"/>
        <v>1</v>
      </c>
      <c r="AB38" s="1814">
        <f t="shared" si="4"/>
        <v>1</v>
      </c>
      <c r="AC38" s="1814">
        <f t="shared" si="5"/>
        <v>1</v>
      </c>
    </row>
    <row r="39" spans="1:29" ht="15">
      <c r="A39" s="473"/>
      <c r="B39" s="1389">
        <v>111</v>
      </c>
      <c r="C39" s="674"/>
      <c r="D39" s="436">
        <v>100</v>
      </c>
      <c r="E39" s="674"/>
      <c r="F39" s="436">
        <f>SUMIF(118:118,E39,119:119)-SUMIF(118:118,C39,119:119)+100</f>
        <v>100</v>
      </c>
      <c r="G39" s="674"/>
      <c r="H39" s="436">
        <f>SUMIF(118:118,G39,119:119)-SUMIF(118:118,C39,119:119)+100</f>
        <v>100</v>
      </c>
      <c r="I39" s="550"/>
      <c r="J39" s="436">
        <f>SUMIF(118:118,I39,119:119)-SUMIF(118:118,C39,119:119)+100</f>
        <v>100</v>
      </c>
      <c r="K39" s="614"/>
      <c r="L39" s="1142"/>
      <c r="M39" s="1133"/>
      <c r="N39" s="1133"/>
      <c r="O39" s="1141"/>
      <c r="P39" s="3278"/>
      <c r="Q39" s="1813">
        <f t="shared" si="14"/>
        <v>111</v>
      </c>
      <c r="R39" s="773" t="s">
        <v>17</v>
      </c>
      <c r="S39" s="774">
        <f t="shared" si="10"/>
        <v>100</v>
      </c>
      <c r="T39" s="773" t="s">
        <v>17</v>
      </c>
      <c r="U39" s="774">
        <f t="shared" si="11"/>
        <v>100</v>
      </c>
      <c r="V39" s="773" t="s">
        <v>17</v>
      </c>
      <c r="W39" s="774">
        <f t="shared" si="12"/>
        <v>100</v>
      </c>
      <c r="X39" s="1816"/>
      <c r="Y39" s="3278"/>
      <c r="Z39" s="1817">
        <f t="shared" si="13"/>
        <v>111</v>
      </c>
      <c r="AA39" s="1814">
        <f t="shared" si="3"/>
        <v>1</v>
      </c>
      <c r="AB39" s="1814">
        <f t="shared" si="4"/>
        <v>1</v>
      </c>
      <c r="AC39" s="1814">
        <f t="shared" si="5"/>
        <v>1</v>
      </c>
    </row>
    <row r="40" spans="1:29" s="472" customFormat="1" ht="15.75" thickBot="1">
      <c r="A40" s="469"/>
      <c r="B40" s="1389">
        <v>111</v>
      </c>
      <c r="C40" s="2700"/>
      <c r="D40" s="137">
        <v>100</v>
      </c>
      <c r="E40" s="674"/>
      <c r="F40" s="439">
        <f>SUMIF(120:120,E40,121:121)-SUMIF(120:120,C40,121:121)+100</f>
        <v>100</v>
      </c>
      <c r="G40" s="674"/>
      <c r="H40" s="439">
        <f>SUMIF(120:120,G40,121:121)-SUMIF(120:120,C40,121:121)+100</f>
        <v>100</v>
      </c>
      <c r="I40" s="550"/>
      <c r="J40" s="439">
        <f>SUMIF(120:120,I40,121:121)-SUMIF(120:120,C40,121:121)+100</f>
        <v>100</v>
      </c>
      <c r="K40" s="681"/>
      <c r="L40" s="1140"/>
      <c r="M40" s="1143"/>
      <c r="N40" s="1143"/>
      <c r="O40" s="1144"/>
      <c r="P40" s="3278"/>
      <c r="Q40" s="1813">
        <f t="shared" si="14"/>
        <v>111</v>
      </c>
      <c r="R40" s="776" t="s">
        <v>17</v>
      </c>
      <c r="S40" s="777">
        <f t="shared" si="10"/>
        <v>100</v>
      </c>
      <c r="T40" s="776" t="s">
        <v>17</v>
      </c>
      <c r="U40" s="777">
        <f t="shared" si="11"/>
        <v>100</v>
      </c>
      <c r="V40" s="776" t="s">
        <v>17</v>
      </c>
      <c r="W40" s="777">
        <f t="shared" si="12"/>
        <v>100</v>
      </c>
      <c r="X40" s="778"/>
      <c r="Y40" s="3278"/>
      <c r="Z40" s="779">
        <f t="shared" si="13"/>
        <v>111</v>
      </c>
      <c r="AA40" s="1814">
        <f t="shared" si="3"/>
        <v>1</v>
      </c>
      <c r="AB40" s="1814">
        <f t="shared" si="4"/>
        <v>1</v>
      </c>
      <c r="AC40" s="1814">
        <f t="shared" si="5"/>
        <v>1</v>
      </c>
    </row>
    <row r="41" spans="1:29" ht="15">
      <c r="A41" s="480" t="s">
        <v>2715</v>
      </c>
      <c r="B41" s="2701" t="s">
        <v>2795</v>
      </c>
      <c r="C41" s="682" t="s">
        <v>1</v>
      </c>
      <c r="D41" s="482"/>
      <c r="E41" s="483"/>
      <c r="F41" s="484"/>
      <c r="G41" s="485"/>
      <c r="H41" s="486"/>
      <c r="I41" s="483"/>
      <c r="J41" s="486"/>
      <c r="K41" s="782"/>
      <c r="L41" s="1145"/>
      <c r="M41" s="1133"/>
      <c r="N41" s="1133"/>
      <c r="O41" s="1146"/>
      <c r="P41" s="3273" t="str">
        <f>A41</f>
        <v>成交单价</v>
      </c>
      <c r="Q41" s="3273"/>
      <c r="R41" s="3279">
        <f>E41</f>
        <v>0</v>
      </c>
      <c r="S41" s="3279"/>
      <c r="T41" s="3279">
        <f>G41</f>
        <v>0</v>
      </c>
      <c r="U41" s="3279"/>
      <c r="V41" s="3279">
        <f>I41</f>
        <v>0</v>
      </c>
      <c r="W41" s="3279"/>
      <c r="X41" s="758"/>
      <c r="Y41" s="780"/>
      <c r="Z41" s="758"/>
      <c r="AA41" s="758"/>
      <c r="AB41" s="758"/>
      <c r="AC41" s="758"/>
    </row>
    <row r="42" spans="1:29" ht="15.75" thickBot="1">
      <c r="A42" s="487" t="s">
        <v>2664</v>
      </c>
      <c r="B42" s="683"/>
      <c r="C42" s="491" t="e">
        <f>R43</f>
        <v>#DIV/0!</v>
      </c>
      <c r="D42" s="490"/>
      <c r="E42" s="491" t="e">
        <f>R42</f>
        <v>#DIV/0!</v>
      </c>
      <c r="F42" s="492"/>
      <c r="G42" s="489" t="e">
        <f>T42</f>
        <v>#DIV/0!</v>
      </c>
      <c r="H42" s="490"/>
      <c r="I42" s="491" t="e">
        <f>V42</f>
        <v>#DIV/0!</v>
      </c>
      <c r="J42" s="490"/>
      <c r="K42" s="783"/>
      <c r="L42" s="1145"/>
      <c r="M42" s="1133"/>
      <c r="N42" s="1133"/>
      <c r="O42" s="1146"/>
      <c r="P42" s="3273" t="str">
        <f>A42</f>
        <v>比较价值（元/平方米）</v>
      </c>
      <c r="Q42" s="3273"/>
      <c r="R42" s="3266" t="e">
        <f>ROUND(PRODUCT(R41,AA7:AA40),0)</f>
        <v>#DIV/0!</v>
      </c>
      <c r="S42" s="3266"/>
      <c r="T42" s="3266" t="e">
        <f>ROUND(PRODUCT(T41,AB7:AB40),0)</f>
        <v>#DIV/0!</v>
      </c>
      <c r="U42" s="3266"/>
      <c r="V42" s="3266" t="e">
        <f>ROUND(PRODUCT(V41,AC7:AC40),0)</f>
        <v>#DIV/0!</v>
      </c>
      <c r="W42" s="3266"/>
      <c r="X42" s="758"/>
      <c r="Y42" s="758"/>
      <c r="Z42" s="758"/>
      <c r="AA42" s="758"/>
      <c r="AB42" s="758"/>
      <c r="AC42" s="758"/>
    </row>
    <row r="43" spans="1:29" ht="15.75" thickBot="1">
      <c r="A43" s="493" t="s">
        <v>2665</v>
      </c>
      <c r="B43" s="494"/>
      <c r="C43" s="495" t="e">
        <f>R43</f>
        <v>#DIV/0!</v>
      </c>
      <c r="D43" s="495"/>
      <c r="E43" s="495"/>
      <c r="F43" s="495"/>
      <c r="G43" s="495"/>
      <c r="H43" s="495"/>
      <c r="I43" s="495"/>
      <c r="J43" s="495"/>
      <c r="K43" s="784"/>
      <c r="L43" s="1145"/>
      <c r="M43" s="1133"/>
      <c r="N43" s="1133"/>
      <c r="O43" s="1146"/>
      <c r="P43" s="3267" t="str">
        <f>A43</f>
        <v>估价对象XX用房的比较价值（楼面单价，元/平方米）</v>
      </c>
      <c r="Q43" s="3268"/>
      <c r="R43" s="3269" t="e">
        <f>ROUND(AVERAGE(R42:V42),0)</f>
        <v>#DIV/0!</v>
      </c>
      <c r="S43" s="3269"/>
      <c r="T43" s="3269"/>
      <c r="U43" s="3269"/>
      <c r="V43" s="3269"/>
      <c r="W43" s="3269"/>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8" t="s">
        <v>2666</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7"/>
      <c r="L46" s="1108"/>
      <c r="M46" s="1133"/>
      <c r="N46" s="1133"/>
      <c r="O46" s="1146"/>
    </row>
    <row r="47" spans="1:29" ht="13.5" customHeight="1">
      <c r="A47" s="1146"/>
      <c r="B47" s="1146"/>
      <c r="C47" s="498" t="s">
        <v>2667</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7"/>
      <c r="L47" s="1108"/>
      <c r="M47" s="1146"/>
      <c r="N47" s="1146"/>
      <c r="O47" s="1146"/>
    </row>
    <row r="48" spans="1:29" s="503" customFormat="1" ht="13.5" customHeight="1">
      <c r="A48" s="1147"/>
      <c r="B48" s="1147"/>
      <c r="C48" s="498" t="s">
        <v>2668</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0"/>
      <c r="L48" s="1151"/>
      <c r="M48" s="1147"/>
      <c r="N48" s="1147"/>
      <c r="O48" s="1147"/>
    </row>
    <row r="49" spans="1:17" s="503" customFormat="1" ht="15" thickBot="1">
      <c r="A49" s="1147"/>
      <c r="B49" s="1148"/>
      <c r="C49" s="761"/>
      <c r="D49" s="759"/>
      <c r="E49" s="759"/>
      <c r="F49" s="759"/>
      <c r="G49" s="759"/>
      <c r="H49" s="759"/>
      <c r="I49" s="759"/>
      <c r="J49" s="759"/>
      <c r="K49" s="1150"/>
      <c r="L49" s="1151"/>
      <c r="M49" s="1147"/>
      <c r="N49" s="1147"/>
      <c r="O49" s="1147"/>
    </row>
    <row r="50" spans="1:17" ht="27">
      <c r="A50" s="684" t="s">
        <v>2753</v>
      </c>
      <c r="B50" s="685" t="s">
        <v>2754</v>
      </c>
      <c r="C50" s="2702" t="s">
        <v>2755</v>
      </c>
      <c r="D50" s="2703" t="s">
        <v>2756</v>
      </c>
      <c r="E50" s="686" t="s">
        <v>2757</v>
      </c>
      <c r="F50" s="687" t="s">
        <v>2758</v>
      </c>
      <c r="G50" s="3270" t="s">
        <v>2759</v>
      </c>
      <c r="H50" s="3271"/>
      <c r="I50" s="1817" t="s">
        <v>2796</v>
      </c>
      <c r="J50" s="1817" t="str">
        <f>项目基本情况!F35</f>
        <v>河北省保定市涞水县涞水镇</v>
      </c>
      <c r="K50" s="2705" t="s">
        <v>2761</v>
      </c>
      <c r="L50" s="1108"/>
      <c r="M50" s="1146"/>
      <c r="N50" s="1146"/>
      <c r="O50" s="1146"/>
    </row>
    <row r="51" spans="1:17" s="692" customFormat="1">
      <c r="A51" s="688" t="s">
        <v>2762</v>
      </c>
      <c r="B51" s="689" t="e">
        <f>C43</f>
        <v>#DIV/0!</v>
      </c>
      <c r="C51" s="690">
        <v>1</v>
      </c>
      <c r="D51" s="1165">
        <v>1</v>
      </c>
      <c r="E51" s="690">
        <f>'数据-汇总表'!E8+'数据-汇总表'!E9</f>
        <v>7765.3499999999995</v>
      </c>
      <c r="F51" s="691" t="e">
        <f t="shared" ref="F51:F60" si="15">ROUND(B51*E51/10000,0)</f>
        <v>#DIV/0!</v>
      </c>
      <c r="G51" s="3272"/>
      <c r="H51" s="3273"/>
      <c r="I51" s="944">
        <v>1</v>
      </c>
      <c r="J51" s="944">
        <v>1</v>
      </c>
      <c r="K51" s="1147"/>
      <c r="L51" s="943"/>
      <c r="M51" s="943"/>
      <c r="N51" s="943"/>
      <c r="O51" s="943"/>
    </row>
    <row r="52" spans="1:17" s="692" customFormat="1">
      <c r="A52" s="693" t="s">
        <v>2763</v>
      </c>
      <c r="B52" s="263" t="e">
        <f>ROUND($C$43*C52*D52,0)</f>
        <v>#DIV/0!</v>
      </c>
      <c r="C52" s="201">
        <f t="shared" ref="C52:C60" si="16">IF($C$50="北京市系数",I52,J52)</f>
        <v>0</v>
      </c>
      <c r="D52" s="1166">
        <v>0.25</v>
      </c>
      <c r="E52" s="694"/>
      <c r="F52" s="691" t="e">
        <f t="shared" si="15"/>
        <v>#DIV/0!</v>
      </c>
      <c r="G52" s="3274" t="s">
        <v>2764</v>
      </c>
      <c r="H52" s="1106">
        <f>项目基本情况!B37</f>
        <v>0</v>
      </c>
      <c r="I52" s="944">
        <f>SUMIF(修正!A45:A56,H52,修正!B45:B56)</f>
        <v>0</v>
      </c>
      <c r="J52" s="945"/>
      <c r="K52" s="1146"/>
      <c r="L52" s="943"/>
      <c r="M52" s="943"/>
      <c r="N52" s="943"/>
      <c r="O52" s="943"/>
    </row>
    <row r="53" spans="1:17" s="692" customFormat="1">
      <c r="A53" s="693" t="s">
        <v>2765</v>
      </c>
      <c r="B53" s="263" t="e">
        <f t="shared" ref="B53:B60" si="17">ROUND($C$43*C53*D53,0)</f>
        <v>#DIV/0!</v>
      </c>
      <c r="C53" s="201">
        <f t="shared" si="16"/>
        <v>0</v>
      </c>
      <c r="D53" s="1166">
        <v>0.25</v>
      </c>
      <c r="E53" s="694"/>
      <c r="F53" s="691" t="e">
        <f t="shared" si="15"/>
        <v>#DIV/0!</v>
      </c>
      <c r="G53" s="3274"/>
      <c r="H53" s="1106">
        <f>项目基本情况!B37</f>
        <v>0</v>
      </c>
      <c r="I53" s="944">
        <f>SUMIF(修正!A45:A56,H53,修正!C45:C56)</f>
        <v>0</v>
      </c>
      <c r="J53" s="945"/>
      <c r="K53" s="1147"/>
      <c r="L53" s="943"/>
      <c r="M53" s="943"/>
      <c r="N53" s="943"/>
      <c r="O53" s="943"/>
    </row>
    <row r="54" spans="1:17" s="692" customFormat="1">
      <c r="A54" s="693" t="s">
        <v>2766</v>
      </c>
      <c r="B54" s="263" t="e">
        <f t="shared" si="17"/>
        <v>#DIV/0!</v>
      </c>
      <c r="C54" s="201">
        <f t="shared" si="16"/>
        <v>0</v>
      </c>
      <c r="D54" s="1166">
        <v>0.25</v>
      </c>
      <c r="E54" s="694"/>
      <c r="F54" s="691" t="e">
        <f t="shared" si="15"/>
        <v>#DIV/0!</v>
      </c>
      <c r="G54" s="3274"/>
      <c r="H54" s="1106">
        <f>项目基本情况!B37</f>
        <v>0</v>
      </c>
      <c r="I54" s="944">
        <f>SUMIF(修正!A45:A56,H54,修正!D45:D56)</f>
        <v>0</v>
      </c>
      <c r="J54" s="945"/>
      <c r="K54" s="1146"/>
      <c r="L54" s="943"/>
      <c r="M54" s="943"/>
      <c r="N54" s="943"/>
      <c r="O54" s="943"/>
    </row>
    <row r="55" spans="1:17" s="692" customFormat="1">
      <c r="A55" s="693" t="s">
        <v>2767</v>
      </c>
      <c r="B55" s="263" t="e">
        <f t="shared" si="17"/>
        <v>#DIV/0!</v>
      </c>
      <c r="C55" s="201">
        <f t="shared" si="16"/>
        <v>0</v>
      </c>
      <c r="D55" s="1166">
        <v>0.25</v>
      </c>
      <c r="E55" s="694"/>
      <c r="F55" s="691" t="e">
        <f t="shared" si="15"/>
        <v>#DIV/0!</v>
      </c>
      <c r="G55" s="3274"/>
      <c r="H55" s="1106">
        <f>项目基本情况!B37</f>
        <v>0</v>
      </c>
      <c r="I55" s="944">
        <f>SUMIF(修正!A45:A56,H55,修正!E45:E56)</f>
        <v>0</v>
      </c>
      <c r="J55" s="945"/>
      <c r="K55" s="1147"/>
      <c r="L55" s="943"/>
      <c r="M55" s="943"/>
      <c r="N55" s="943"/>
      <c r="O55" s="943"/>
    </row>
    <row r="56" spans="1:17" s="692" customFormat="1">
      <c r="A56" s="693" t="s">
        <v>2768</v>
      </c>
      <c r="B56" s="263" t="e">
        <f t="shared" si="17"/>
        <v>#DIV/0!</v>
      </c>
      <c r="C56" s="201">
        <f t="shared" si="16"/>
        <v>0</v>
      </c>
      <c r="D56" s="1166">
        <v>0.25</v>
      </c>
      <c r="E56" s="262">
        <f>'数据-汇总表'!E11</f>
        <v>0</v>
      </c>
      <c r="F56" s="691" t="e">
        <f t="shared" si="15"/>
        <v>#DIV/0!</v>
      </c>
      <c r="G56" s="2706" t="s">
        <v>2769</v>
      </c>
      <c r="H56" s="1106">
        <f>项目基本情况!C37</f>
        <v>0</v>
      </c>
      <c r="I56" s="944">
        <f>SUMIF(修正!A45:A56,H56,修正!F45:F56)</f>
        <v>0</v>
      </c>
      <c r="J56" s="945"/>
      <c r="K56" s="1146"/>
      <c r="L56" s="943"/>
      <c r="M56" s="943"/>
      <c r="N56" s="943"/>
      <c r="O56" s="943"/>
    </row>
    <row r="57" spans="1:17" s="692" customFormat="1">
      <c r="A57" s="693" t="s">
        <v>2770</v>
      </c>
      <c r="B57" s="263" t="e">
        <f t="shared" si="17"/>
        <v>#DIV/0!</v>
      </c>
      <c r="C57" s="201">
        <f t="shared" si="16"/>
        <v>0</v>
      </c>
      <c r="D57" s="1166">
        <v>0.25</v>
      </c>
      <c r="E57" s="262">
        <f>'数据-汇总表'!E12</f>
        <v>0</v>
      </c>
      <c r="F57" s="691" t="e">
        <f t="shared" si="15"/>
        <v>#DIV/0!</v>
      </c>
      <c r="G57" s="1111" t="s">
        <v>2771</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2" customFormat="1">
      <c r="A58" s="693" t="s">
        <v>2772</v>
      </c>
      <c r="B58" s="263" t="e">
        <f t="shared" si="17"/>
        <v>#DIV/0!</v>
      </c>
      <c r="C58" s="201">
        <f t="shared" si="16"/>
        <v>0</v>
      </c>
      <c r="D58" s="1166">
        <v>0.25</v>
      </c>
      <c r="E58" s="262">
        <f>'数据-汇总表'!E13</f>
        <v>0</v>
      </c>
      <c r="F58" s="691" t="e">
        <f t="shared" si="15"/>
        <v>#DIV/0!</v>
      </c>
      <c r="G58" s="1111" t="s">
        <v>2773</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2774</v>
      </c>
      <c r="B59" s="263" t="e">
        <f t="shared" si="17"/>
        <v>#DIV/0!</v>
      </c>
      <c r="C59" s="201">
        <f t="shared" si="16"/>
        <v>0</v>
      </c>
      <c r="D59" s="1166">
        <v>0.25</v>
      </c>
      <c r="E59" s="262">
        <f>'数据-汇总表'!E14</f>
        <v>0</v>
      </c>
      <c r="F59" s="691" t="e">
        <f t="shared" si="15"/>
        <v>#DIV/0!</v>
      </c>
      <c r="G59" s="2706" t="s">
        <v>2764</v>
      </c>
      <c r="H59" s="1106">
        <f>项目基本情况!B37</f>
        <v>0</v>
      </c>
      <c r="I59" s="944">
        <f>SUMIF(修正!A45:A56,H59,修正!H45:H56)</f>
        <v>0</v>
      </c>
      <c r="J59" s="945"/>
      <c r="K59" s="1147"/>
      <c r="L59" s="943"/>
      <c r="M59" s="943"/>
      <c r="N59" s="943"/>
      <c r="O59" s="943"/>
    </row>
    <row r="60" spans="1:17" s="692" customFormat="1" ht="15" thickBot="1">
      <c r="A60" s="693" t="s">
        <v>2775</v>
      </c>
      <c r="B60" s="263" t="e">
        <f t="shared" si="17"/>
        <v>#DIV/0!</v>
      </c>
      <c r="C60" s="201">
        <f t="shared" si="16"/>
        <v>0</v>
      </c>
      <c r="D60" s="1166">
        <v>0.25</v>
      </c>
      <c r="E60" s="262">
        <f>'数据-汇总表'!E15</f>
        <v>0</v>
      </c>
      <c r="F60" s="691" t="e">
        <f t="shared" si="15"/>
        <v>#DIV/0!</v>
      </c>
      <c r="G60" s="2707" t="s">
        <v>2769</v>
      </c>
      <c r="H60" s="1116">
        <f>项目基本情况!C37</f>
        <v>0</v>
      </c>
      <c r="I60" s="944">
        <f>SUMIF(修正!A45:A56,H60,修正!H45:H56)</f>
        <v>0</v>
      </c>
      <c r="J60" s="945"/>
      <c r="K60" s="1146"/>
      <c r="L60" s="943"/>
      <c r="M60" s="943"/>
      <c r="N60" s="943"/>
      <c r="O60" s="943"/>
    </row>
    <row r="61" spans="1:17" s="692" customFormat="1" ht="15" thickBot="1">
      <c r="A61" s="695" t="s">
        <v>2776</v>
      </c>
      <c r="B61" s="696" t="s">
        <v>28</v>
      </c>
      <c r="C61" s="696" t="s">
        <v>29</v>
      </c>
      <c r="D61" s="696" t="s">
        <v>1029</v>
      </c>
      <c r="E61" s="696">
        <f>IF(B41="楼面地价",SUM(E51:E60),'数据-汇总表'!D3)</f>
        <v>2218.67</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2017-11-1</v>
      </c>
      <c r="D63" s="760">
        <f>EDATE(C63,-3)</f>
        <v>42948</v>
      </c>
      <c r="E63" s="760">
        <f>EDATE(D63,-3)</f>
        <v>42856</v>
      </c>
      <c r="F63" s="760">
        <f t="shared" ref="F63:O63" si="18">EDATE(E63,-3)</f>
        <v>42767</v>
      </c>
      <c r="G63" s="760">
        <f t="shared" si="18"/>
        <v>42675</v>
      </c>
      <c r="H63" s="760">
        <f t="shared" si="18"/>
        <v>42583</v>
      </c>
      <c r="I63" s="760">
        <f t="shared" si="18"/>
        <v>42491</v>
      </c>
      <c r="J63" s="760">
        <f t="shared" si="18"/>
        <v>42401</v>
      </c>
      <c r="K63" s="760">
        <f t="shared" si="18"/>
        <v>42309</v>
      </c>
      <c r="L63" s="760">
        <f t="shared" si="18"/>
        <v>42217</v>
      </c>
      <c r="M63" s="760">
        <f t="shared" si="18"/>
        <v>42125</v>
      </c>
      <c r="N63" s="760">
        <f t="shared" si="18"/>
        <v>42036</v>
      </c>
      <c r="O63" s="760">
        <f t="shared" si="18"/>
        <v>41944</v>
      </c>
    </row>
    <row r="64" spans="1:17" ht="21.75" thickBot="1">
      <c r="A64" s="762" t="s">
        <v>2669</v>
      </c>
      <c r="B64" s="758"/>
      <c r="C64" s="763"/>
      <c r="D64" s="763"/>
      <c r="E64" s="763"/>
      <c r="F64" s="764"/>
      <c r="G64" s="764"/>
      <c r="H64" s="763"/>
      <c r="I64" s="763"/>
      <c r="J64" s="763"/>
      <c r="K64" s="765"/>
      <c r="L64" s="766"/>
      <c r="M64" s="763"/>
      <c r="N64" s="763"/>
      <c r="O64" s="1161"/>
      <c r="P64" s="504"/>
      <c r="Q64" s="505"/>
    </row>
    <row r="65" spans="1:17" s="509" customFormat="1" ht="15">
      <c r="A65" s="2708" t="s">
        <v>2777</v>
      </c>
      <c r="B65" s="1361"/>
      <c r="C65" s="1575" t="str">
        <f>YEAR(C63)&amp;"-"&amp;ROUNDUP(MONTH(C63)/3,0)</f>
        <v>2017-4</v>
      </c>
      <c r="D65" s="1575" t="str">
        <f t="shared" ref="D65:O65" si="19">YEAR(D63)&amp;"-"&amp;ROUNDUP(MONTH(D63)/3,0)</f>
        <v>2017-3</v>
      </c>
      <c r="E65" s="1575" t="str">
        <f t="shared" si="19"/>
        <v>2017-2</v>
      </c>
      <c r="F65" s="1575" t="str">
        <f t="shared" si="19"/>
        <v>2017-1</v>
      </c>
      <c r="G65" s="1575" t="str">
        <f t="shared" si="19"/>
        <v>2016-4</v>
      </c>
      <c r="H65" s="1575" t="str">
        <f t="shared" si="19"/>
        <v>2016-3</v>
      </c>
      <c r="I65" s="1575" t="str">
        <f t="shared" si="19"/>
        <v>2016-2</v>
      </c>
      <c r="J65" s="1575" t="str">
        <f t="shared" si="19"/>
        <v>2016-1</v>
      </c>
      <c r="K65" s="1575" t="str">
        <f t="shared" si="19"/>
        <v>2015-4</v>
      </c>
      <c r="L65" s="1575" t="str">
        <f t="shared" si="19"/>
        <v>2015-3</v>
      </c>
      <c r="M65" s="1575" t="str">
        <f t="shared" si="19"/>
        <v>2015-2</v>
      </c>
      <c r="N65" s="1575" t="str">
        <f t="shared" si="19"/>
        <v>2015-1</v>
      </c>
      <c r="O65" s="1575" t="str">
        <f t="shared" si="19"/>
        <v>2014-4</v>
      </c>
      <c r="P65" s="508"/>
    </row>
    <row r="66" spans="1:17" s="117" customFormat="1" ht="30.75" customHeight="1">
      <c r="A66" s="2713" t="s">
        <v>2797</v>
      </c>
      <c r="B66" s="333" t="str">
        <f>"北京市平均增长率"&amp;TEXT(基准地价修正!P24,"0.00%")</f>
        <v>北京市平均增长率1.39%</v>
      </c>
      <c r="C66" s="604">
        <v>100</v>
      </c>
      <c r="D66" s="596"/>
      <c r="E66" s="596"/>
      <c r="F66" s="596"/>
      <c r="G66" s="596"/>
      <c r="H66" s="596"/>
      <c r="I66" s="596"/>
      <c r="J66" s="596"/>
      <c r="K66" s="596"/>
      <c r="L66" s="596"/>
      <c r="M66" s="1570"/>
      <c r="N66" s="1570"/>
      <c r="O66" s="1572"/>
      <c r="P66" s="505"/>
    </row>
    <row r="67" spans="1:17" s="117" customFormat="1" ht="15.75" thickBot="1">
      <c r="A67" s="516" t="s">
        <v>2581</v>
      </c>
      <c r="B67" s="517"/>
      <c r="C67" s="518"/>
      <c r="D67" s="519"/>
      <c r="E67" s="519"/>
      <c r="F67" s="519"/>
      <c r="G67" s="519"/>
      <c r="H67" s="519"/>
      <c r="I67" s="519"/>
      <c r="J67" s="519"/>
      <c r="K67" s="519"/>
      <c r="L67" s="519"/>
      <c r="M67" s="520"/>
      <c r="N67" s="520"/>
      <c r="O67" s="521"/>
      <c r="P67" s="505"/>
      <c r="Q67" s="505"/>
    </row>
    <row r="68" spans="1:17" s="117" customFormat="1" ht="15">
      <c r="A68" s="522" t="s">
        <v>2546</v>
      </c>
      <c r="B68" s="511"/>
      <c r="C68" s="523" t="s">
        <v>2648</v>
      </c>
      <c r="D68" s="524"/>
      <c r="E68" s="524"/>
      <c r="F68" s="524"/>
      <c r="G68" s="524"/>
      <c r="H68" s="524"/>
      <c r="I68" s="524"/>
      <c r="J68" s="524"/>
      <c r="K68" s="524"/>
      <c r="L68" s="525"/>
      <c r="M68" s="526"/>
      <c r="N68" s="1153"/>
      <c r="O68" s="1153"/>
      <c r="P68" s="527"/>
      <c r="Q68" s="505"/>
    </row>
    <row r="69" spans="1:17" s="117" customFormat="1" ht="15.75" thickBot="1">
      <c r="A69" s="522"/>
      <c r="B69" s="511"/>
      <c r="C69" s="639">
        <v>100</v>
      </c>
      <c r="D69" s="513"/>
      <c r="E69" s="513"/>
      <c r="F69" s="513"/>
      <c r="G69" s="513"/>
      <c r="H69" s="513"/>
      <c r="I69" s="513"/>
      <c r="J69" s="513"/>
      <c r="K69" s="513"/>
      <c r="L69" s="513"/>
      <c r="M69" s="515"/>
      <c r="N69" s="1153"/>
      <c r="O69" s="1153"/>
      <c r="P69" s="505"/>
      <c r="Q69" s="505"/>
    </row>
    <row r="70" spans="1:17">
      <c r="A70" s="528" t="s">
        <v>2584</v>
      </c>
      <c r="B70" s="529" t="s">
        <v>2550</v>
      </c>
      <c r="C70" s="531"/>
      <c r="D70" s="531"/>
      <c r="E70" s="531"/>
      <c r="F70" s="531"/>
      <c r="G70" s="531"/>
      <c r="H70" s="531"/>
      <c r="I70" s="531"/>
      <c r="J70" s="531"/>
      <c r="K70" s="532"/>
      <c r="L70" s="533"/>
      <c r="M70" s="534"/>
      <c r="N70" s="1154"/>
      <c r="O70" s="1154"/>
      <c r="P70" s="45"/>
      <c r="Q70" s="505"/>
    </row>
    <row r="71" spans="1:17" ht="15.75" thickBot="1">
      <c r="A71" s="535"/>
      <c r="B71" s="536"/>
      <c r="C71" s="537"/>
      <c r="D71" s="537"/>
      <c r="E71" s="537"/>
      <c r="F71" s="537"/>
      <c r="G71" s="537"/>
      <c r="H71" s="537"/>
      <c r="I71" s="537"/>
      <c r="J71" s="537"/>
      <c r="K71" s="537"/>
      <c r="L71" s="537"/>
      <c r="M71" s="538"/>
      <c r="N71" s="1155"/>
      <c r="O71" s="1155"/>
      <c r="P71" s="45"/>
      <c r="Q71" s="505"/>
    </row>
    <row r="72" spans="1:17" ht="27.75" thickTop="1">
      <c r="A72" s="535"/>
      <c r="B72" s="539" t="s">
        <v>2553</v>
      </c>
      <c r="C72" s="540"/>
      <c r="D72" s="540"/>
      <c r="E72" s="540"/>
      <c r="F72" s="540"/>
      <c r="G72" s="540"/>
      <c r="H72" s="540"/>
      <c r="I72" s="540"/>
      <c r="J72" s="540"/>
      <c r="K72" s="541"/>
      <c r="L72" s="542"/>
      <c r="M72" s="543"/>
      <c r="N72" s="1154"/>
      <c r="O72" s="1154"/>
      <c r="P72" s="45"/>
      <c r="Q72" s="505"/>
    </row>
    <row r="73" spans="1:17" ht="15.75" thickBot="1">
      <c r="A73" s="535"/>
      <c r="B73" s="544"/>
      <c r="C73" s="545"/>
      <c r="D73" s="545"/>
      <c r="E73" s="545"/>
      <c r="F73" s="545"/>
      <c r="G73" s="545"/>
      <c r="H73" s="545"/>
      <c r="I73" s="545"/>
      <c r="J73" s="545"/>
      <c r="K73" s="545"/>
      <c r="L73" s="545"/>
      <c r="M73" s="546"/>
      <c r="N73" s="1155"/>
      <c r="O73" s="1155"/>
      <c r="P73" s="45"/>
      <c r="Q73" s="505"/>
    </row>
    <row r="74" spans="1:17" ht="15.75" thickTop="1">
      <c r="A74" s="535"/>
      <c r="B74" s="547" t="s">
        <v>2554</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5"/>
      <c r="O74" s="1155"/>
      <c r="P74" s="45"/>
      <c r="Q74" s="505"/>
    </row>
    <row r="75" spans="1:17" ht="15">
      <c r="A75" s="535"/>
      <c r="B75" s="549"/>
      <c r="C75" s="550"/>
      <c r="D75" s="550"/>
      <c r="E75" s="550"/>
      <c r="F75" s="550"/>
      <c r="G75" s="550"/>
      <c r="H75" s="550"/>
      <c r="I75" s="550"/>
      <c r="J75" s="550"/>
      <c r="K75" s="551"/>
      <c r="L75" s="552"/>
      <c r="M75" s="553"/>
      <c r="N75" s="1154"/>
      <c r="O75" s="1154"/>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5"/>
      <c r="O76" s="1155"/>
      <c r="P76" s="45"/>
      <c r="Q76" s="505"/>
    </row>
    <row r="77" spans="1:17" s="472" customFormat="1" ht="15.75" thickTop="1">
      <c r="A77" s="554"/>
      <c r="B77" s="539">
        <f>B12</f>
        <v>111</v>
      </c>
      <c r="C77" s="555"/>
      <c r="D77" s="555"/>
      <c r="E77" s="555"/>
      <c r="F77" s="555"/>
      <c r="G77" s="555"/>
      <c r="H77" s="556"/>
      <c r="I77" s="556"/>
      <c r="J77" s="556"/>
      <c r="K77" s="556"/>
      <c r="L77" s="557"/>
      <c r="M77" s="558"/>
      <c r="N77" s="1156"/>
      <c r="O77" s="1156"/>
      <c r="P77" s="559"/>
      <c r="Q77" s="560"/>
    </row>
    <row r="78" spans="1:17" s="472" customFormat="1" ht="15.75" thickBot="1">
      <c r="A78" s="554"/>
      <c r="B78" s="544"/>
      <c r="C78" s="561"/>
      <c r="D78" s="537"/>
      <c r="E78" s="537"/>
      <c r="F78" s="537"/>
      <c r="G78" s="537"/>
      <c r="H78" s="537"/>
      <c r="I78" s="537"/>
      <c r="J78" s="537"/>
      <c r="K78" s="537"/>
      <c r="L78" s="537"/>
      <c r="M78" s="538"/>
      <c r="N78" s="1155"/>
      <c r="O78" s="1155"/>
      <c r="P78" s="559"/>
      <c r="Q78" s="560"/>
    </row>
    <row r="79" spans="1:17" s="472" customFormat="1" ht="15.75" thickTop="1">
      <c r="A79" s="554"/>
      <c r="B79" s="539">
        <f>B13</f>
        <v>111</v>
      </c>
      <c r="C79" s="555"/>
      <c r="D79" s="555"/>
      <c r="E79" s="555"/>
      <c r="F79" s="555"/>
      <c r="G79" s="555"/>
      <c r="H79" s="556"/>
      <c r="I79" s="556"/>
      <c r="J79" s="556"/>
      <c r="K79" s="556"/>
      <c r="L79" s="557"/>
      <c r="M79" s="558"/>
      <c r="N79" s="1156"/>
      <c r="O79" s="1156"/>
      <c r="P79" s="471"/>
      <c r="Q79" s="562"/>
    </row>
    <row r="80" spans="1:17" s="472" customFormat="1" ht="15.75" thickBot="1">
      <c r="A80" s="554"/>
      <c r="B80" s="544"/>
      <c r="C80" s="561"/>
      <c r="D80" s="561"/>
      <c r="E80" s="561"/>
      <c r="F80" s="561"/>
      <c r="G80" s="561"/>
      <c r="H80" s="563"/>
      <c r="I80" s="563"/>
      <c r="J80" s="563"/>
      <c r="K80" s="563"/>
      <c r="L80" s="563"/>
      <c r="M80" s="564"/>
      <c r="N80" s="1156"/>
      <c r="O80" s="1156"/>
      <c r="P80" s="559"/>
      <c r="Q80" s="560"/>
    </row>
    <row r="81" spans="1:17" s="472" customFormat="1" ht="15.75" thickTop="1">
      <c r="A81" s="554"/>
      <c r="B81" s="547">
        <f>B14</f>
        <v>111</v>
      </c>
      <c r="C81" s="524"/>
      <c r="D81" s="524"/>
      <c r="E81" s="524"/>
      <c r="F81" s="524"/>
      <c r="G81" s="524"/>
      <c r="H81" s="565"/>
      <c r="I81" s="565"/>
      <c r="J81" s="565"/>
      <c r="K81" s="565"/>
      <c r="L81" s="566"/>
      <c r="M81" s="567"/>
      <c r="N81" s="1156"/>
      <c r="O81" s="1156"/>
      <c r="P81" s="568"/>
      <c r="Q81" s="560"/>
    </row>
    <row r="82" spans="1:17" s="472" customFormat="1" ht="15.75" thickBot="1">
      <c r="A82" s="569"/>
      <c r="B82" s="570"/>
      <c r="C82" s="571"/>
      <c r="D82" s="571"/>
      <c r="E82" s="571"/>
      <c r="F82" s="571"/>
      <c r="G82" s="571"/>
      <c r="H82" s="572"/>
      <c r="I82" s="572"/>
      <c r="J82" s="572"/>
      <c r="K82" s="572"/>
      <c r="L82" s="572"/>
      <c r="M82" s="573"/>
      <c r="N82" s="1156"/>
      <c r="O82" s="1156"/>
      <c r="P82" s="559"/>
      <c r="Q82" s="560"/>
    </row>
    <row r="83" spans="1:17">
      <c r="A83" s="528" t="s">
        <v>2555</v>
      </c>
      <c r="B83" s="529" t="s">
        <v>2700</v>
      </c>
      <c r="C83" s="574" t="s">
        <v>2593</v>
      </c>
      <c r="D83" s="574" t="s">
        <v>2594</v>
      </c>
      <c r="E83" s="574" t="s">
        <v>2595</v>
      </c>
      <c r="F83" s="574" t="s">
        <v>2596</v>
      </c>
      <c r="G83" s="574" t="s">
        <v>2597</v>
      </c>
      <c r="H83" s="530"/>
      <c r="I83" s="530"/>
      <c r="J83" s="530"/>
      <c r="K83" s="575"/>
      <c r="L83" s="576"/>
      <c r="M83" s="577"/>
      <c r="N83" s="1154"/>
      <c r="O83" s="1154"/>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5"/>
      <c r="O84" s="1155"/>
      <c r="P84" s="45"/>
      <c r="Q84" s="505"/>
    </row>
    <row r="85" spans="1:17" ht="15.75" thickTop="1">
      <c r="A85" s="535"/>
      <c r="B85" s="539" t="s">
        <v>2598</v>
      </c>
      <c r="C85" s="579" t="s">
        <v>2593</v>
      </c>
      <c r="D85" s="579" t="s">
        <v>2594</v>
      </c>
      <c r="E85" s="579" t="s">
        <v>2595</v>
      </c>
      <c r="F85" s="579" t="s">
        <v>2596</v>
      </c>
      <c r="G85" s="579" t="s">
        <v>2597</v>
      </c>
      <c r="H85" s="540"/>
      <c r="I85" s="540"/>
      <c r="J85" s="540"/>
      <c r="K85" s="541"/>
      <c r="L85" s="542"/>
      <c r="M85" s="543"/>
      <c r="N85" s="1154"/>
      <c r="O85" s="1154"/>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5"/>
      <c r="O86" s="1155"/>
      <c r="P86" s="45"/>
      <c r="Q86" s="505"/>
    </row>
    <row r="87" spans="1:17" s="117" customFormat="1" ht="15.75" thickTop="1">
      <c r="A87" s="580"/>
      <c r="B87" s="539" t="s">
        <v>2780</v>
      </c>
      <c r="C87" s="574" t="s">
        <v>2593</v>
      </c>
      <c r="D87" s="574" t="s">
        <v>2594</v>
      </c>
      <c r="E87" s="574" t="s">
        <v>2595</v>
      </c>
      <c r="F87" s="574" t="s">
        <v>2596</v>
      </c>
      <c r="G87" s="574" t="s">
        <v>2597</v>
      </c>
      <c r="H87" s="579"/>
      <c r="I87" s="579"/>
      <c r="J87" s="579"/>
      <c r="K87" s="579"/>
      <c r="L87" s="698"/>
      <c r="M87" s="622"/>
      <c r="N87" s="1153"/>
      <c r="O87" s="1153"/>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5"/>
      <c r="O88" s="1155"/>
      <c r="P88" s="45"/>
      <c r="Q88" s="505"/>
    </row>
    <row r="89" spans="1:17" s="117" customFormat="1" ht="27.75" thickTop="1">
      <c r="A89" s="580"/>
      <c r="B89" s="539" t="s">
        <v>2781</v>
      </c>
      <c r="C89" s="574" t="s">
        <v>2593</v>
      </c>
      <c r="D89" s="574" t="s">
        <v>2594</v>
      </c>
      <c r="E89" s="574" t="s">
        <v>2595</v>
      </c>
      <c r="F89" s="574" t="s">
        <v>2596</v>
      </c>
      <c r="G89" s="574" t="s">
        <v>2597</v>
      </c>
      <c r="H89" s="579"/>
      <c r="I89" s="579"/>
      <c r="J89" s="579"/>
      <c r="K89" s="579"/>
      <c r="L89" s="579"/>
      <c r="M89" s="622"/>
      <c r="N89" s="1153"/>
      <c r="O89" s="1153"/>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5"/>
      <c r="O90" s="1155"/>
      <c r="P90" s="45"/>
      <c r="Q90" s="505"/>
    </row>
    <row r="91" spans="1:17" s="472" customFormat="1" ht="15.75" thickTop="1">
      <c r="A91" s="554"/>
      <c r="B91" s="539" t="s">
        <v>2650</v>
      </c>
      <c r="C91" s="574" t="s">
        <v>2593</v>
      </c>
      <c r="D91" s="574" t="s">
        <v>2594</v>
      </c>
      <c r="E91" s="574" t="s">
        <v>2595</v>
      </c>
      <c r="F91" s="574" t="s">
        <v>2596</v>
      </c>
      <c r="G91" s="574" t="s">
        <v>2597</v>
      </c>
      <c r="H91" s="601"/>
      <c r="I91" s="601"/>
      <c r="J91" s="601"/>
      <c r="K91" s="601"/>
      <c r="L91" s="602"/>
      <c r="M91" s="603"/>
      <c r="N91" s="1156"/>
      <c r="O91" s="1156"/>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6"/>
      <c r="O92" s="1156"/>
      <c r="P92" s="559"/>
      <c r="Q92" s="560"/>
    </row>
    <row r="93" spans="1:17" s="472" customFormat="1" ht="15.75" thickTop="1">
      <c r="A93" s="554"/>
      <c r="B93" s="547" t="s">
        <v>2798</v>
      </c>
      <c r="C93" s="660" t="s">
        <v>2670</v>
      </c>
      <c r="D93" s="660" t="s">
        <v>2671</v>
      </c>
      <c r="E93" s="660" t="s">
        <v>2672</v>
      </c>
      <c r="F93" s="660" t="s">
        <v>2673</v>
      </c>
      <c r="G93" s="660" t="s">
        <v>2674</v>
      </c>
      <c r="H93" s="601"/>
      <c r="I93" s="601"/>
      <c r="J93" s="601"/>
      <c r="K93" s="601"/>
      <c r="L93" s="601"/>
      <c r="M93" s="603"/>
      <c r="N93" s="1156"/>
      <c r="O93" s="1156"/>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7"/>
      <c r="N94" s="1156"/>
      <c r="O94" s="1156"/>
      <c r="P94" s="559"/>
      <c r="Q94" s="560"/>
    </row>
    <row r="95" spans="1:17" ht="15.75" thickTop="1">
      <c r="A95" s="535"/>
      <c r="B95" s="539" t="str">
        <f>B27</f>
        <v>临街状况</v>
      </c>
      <c r="C95" s="540" t="s">
        <v>2782</v>
      </c>
      <c r="D95" s="540" t="s">
        <v>2783</v>
      </c>
      <c r="E95" s="540" t="s">
        <v>2784</v>
      </c>
      <c r="F95" s="540" t="s">
        <v>2785</v>
      </c>
      <c r="G95" s="540"/>
      <c r="H95" s="540"/>
      <c r="I95" s="540"/>
      <c r="J95" s="540"/>
      <c r="K95" s="541"/>
      <c r="L95" s="542"/>
      <c r="M95" s="543"/>
      <c r="N95" s="1154"/>
      <c r="O95" s="1154"/>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5"/>
      <c r="O96" s="1155"/>
      <c r="P96" s="45"/>
      <c r="Q96" s="505"/>
    </row>
    <row r="97" spans="1:17" ht="27.75" thickTop="1">
      <c r="A97" s="535"/>
      <c r="B97" s="539" t="s">
        <v>2686</v>
      </c>
      <c r="C97" s="555"/>
      <c r="D97" s="555"/>
      <c r="E97" s="555"/>
      <c r="F97" s="555"/>
      <c r="G97" s="555"/>
      <c r="H97" s="584"/>
      <c r="I97" s="584"/>
      <c r="J97" s="584"/>
      <c r="K97" s="585"/>
      <c r="L97" s="586"/>
      <c r="M97" s="587"/>
      <c r="N97" s="1154"/>
      <c r="O97" s="1154"/>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5"/>
      <c r="O98" s="1155"/>
      <c r="P98" s="45"/>
      <c r="Q98" s="505"/>
    </row>
    <row r="99" spans="1:17" ht="15.75" thickTop="1">
      <c r="A99" s="535"/>
      <c r="B99" s="539" t="s">
        <v>2745</v>
      </c>
      <c r="C99" s="584"/>
      <c r="D99" s="584"/>
      <c r="E99" s="584"/>
      <c r="F99" s="584"/>
      <c r="G99" s="584"/>
      <c r="H99" s="584"/>
      <c r="I99" s="584"/>
      <c r="J99" s="584"/>
      <c r="K99" s="585"/>
      <c r="L99" s="586"/>
      <c r="M99" s="587"/>
      <c r="N99" s="1154"/>
      <c r="O99" s="1154"/>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5"/>
      <c r="O100" s="1155"/>
      <c r="P100" s="45"/>
      <c r="Q100" s="505"/>
    </row>
    <row r="101" spans="1:17" ht="15.75" thickTop="1">
      <c r="A101" s="535"/>
      <c r="B101" s="547">
        <f>B31</f>
        <v>111</v>
      </c>
      <c r="C101" s="555"/>
      <c r="D101" s="555"/>
      <c r="E101" s="555"/>
      <c r="F101" s="555"/>
      <c r="G101" s="588"/>
      <c r="H101" s="588"/>
      <c r="I101" s="588"/>
      <c r="J101" s="588"/>
      <c r="K101" s="589"/>
      <c r="L101" s="590"/>
      <c r="M101" s="591"/>
      <c r="N101" s="1154"/>
      <c r="O101" s="1154"/>
      <c r="P101" s="45"/>
      <c r="Q101" s="505"/>
    </row>
    <row r="102" spans="1:17" ht="15.75" thickBot="1">
      <c r="A102" s="535"/>
      <c r="B102" s="570"/>
      <c r="C102" s="561"/>
      <c r="D102" s="537"/>
      <c r="E102" s="537"/>
      <c r="F102" s="537"/>
      <c r="G102" s="592"/>
      <c r="H102" s="592"/>
      <c r="I102" s="592"/>
      <c r="J102" s="592"/>
      <c r="K102" s="592"/>
      <c r="L102" s="592"/>
      <c r="M102" s="593"/>
      <c r="N102" s="1155"/>
      <c r="O102" s="1155"/>
      <c r="P102" s="45"/>
      <c r="Q102" s="505"/>
    </row>
    <row r="103" spans="1:17" ht="15" thickTop="1">
      <c r="A103" s="675"/>
      <c r="B103" s="539">
        <f>B32</f>
        <v>111</v>
      </c>
      <c r="C103" s="555"/>
      <c r="D103" s="555"/>
      <c r="E103" s="555"/>
      <c r="F103" s="555"/>
      <c r="G103" s="584"/>
      <c r="H103" s="584"/>
      <c r="I103" s="584"/>
      <c r="J103" s="584"/>
      <c r="K103" s="585"/>
      <c r="L103" s="586"/>
      <c r="M103" s="587"/>
      <c r="N103" s="1154"/>
      <c r="O103" s="1154"/>
      <c r="P103" s="45"/>
      <c r="Q103" s="505"/>
    </row>
    <row r="104" spans="1:17" ht="15.75" thickBot="1">
      <c r="A104" s="535"/>
      <c r="B104" s="544"/>
      <c r="C104" s="561"/>
      <c r="D104" s="561"/>
      <c r="E104" s="561"/>
      <c r="F104" s="561"/>
      <c r="G104" s="537"/>
      <c r="H104" s="537"/>
      <c r="I104" s="537"/>
      <c r="J104" s="537"/>
      <c r="K104" s="537"/>
      <c r="L104" s="537"/>
      <c r="M104" s="538"/>
      <c r="N104" s="1155"/>
      <c r="O104" s="1155"/>
      <c r="P104" s="45"/>
      <c r="Q104" s="505"/>
    </row>
    <row r="105" spans="1:17" s="472" customFormat="1" ht="15" thickTop="1">
      <c r="A105" s="594"/>
      <c r="B105" s="595">
        <f>B33</f>
        <v>111</v>
      </c>
      <c r="C105" s="524"/>
      <c r="D105" s="524"/>
      <c r="E105" s="524"/>
      <c r="F105" s="524"/>
      <c r="G105" s="596"/>
      <c r="H105" s="596"/>
      <c r="I105" s="596"/>
      <c r="J105" s="597"/>
      <c r="K105" s="597"/>
      <c r="L105" s="598"/>
      <c r="M105" s="599"/>
      <c r="N105" s="1156"/>
      <c r="O105" s="1156"/>
      <c r="P105" s="559"/>
      <c r="Q105" s="560"/>
    </row>
    <row r="106" spans="1:17" s="472" customFormat="1" ht="15.75" thickBot="1">
      <c r="A106" s="554"/>
      <c r="B106" s="547"/>
      <c r="C106" s="571"/>
      <c r="D106" s="571"/>
      <c r="E106" s="571"/>
      <c r="F106" s="571"/>
      <c r="G106" s="677"/>
      <c r="H106" s="677"/>
      <c r="I106" s="677"/>
      <c r="J106" s="677"/>
      <c r="K106" s="677"/>
      <c r="L106" s="677"/>
      <c r="M106" s="699"/>
      <c r="N106" s="1155"/>
      <c r="O106" s="1155"/>
      <c r="P106" s="559"/>
      <c r="Q106" s="560"/>
    </row>
    <row r="107" spans="1:17">
      <c r="A107" s="528" t="s">
        <v>2559</v>
      </c>
      <c r="B107" s="529" t="s">
        <v>2786</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69" t="str">
        <f t="shared" si="25"/>
        <v>(含)-</v>
      </c>
      <c r="L107" s="1769" t="str">
        <f t="shared" si="25"/>
        <v>(含)-</v>
      </c>
      <c r="M107" s="1770" t="str">
        <f>M108&amp;"(含)"&amp;"-"&amp;P108</f>
        <v>(含)-</v>
      </c>
      <c r="N107" s="1154"/>
      <c r="O107" s="1154"/>
      <c r="P107" s="45"/>
      <c r="Q107" s="505"/>
    </row>
    <row r="108" spans="1:17" ht="15">
      <c r="A108" s="535"/>
      <c r="B108" s="547"/>
      <c r="C108" s="596"/>
      <c r="D108" s="596"/>
      <c r="E108" s="596"/>
      <c r="F108" s="596"/>
      <c r="G108" s="596"/>
      <c r="H108" s="596"/>
      <c r="I108" s="596"/>
      <c r="J108" s="597"/>
      <c r="K108" s="597"/>
      <c r="L108" s="598"/>
      <c r="M108" s="599"/>
      <c r="N108" s="1154"/>
      <c r="O108" s="1154"/>
      <c r="P108" s="45"/>
      <c r="Q108" s="505"/>
    </row>
    <row r="109" spans="1:17" ht="15.75" thickBot="1">
      <c r="A109" s="535"/>
      <c r="B109" s="544"/>
      <c r="C109" s="571"/>
      <c r="D109" s="592"/>
      <c r="E109" s="592"/>
      <c r="F109" s="592"/>
      <c r="G109" s="592"/>
      <c r="H109" s="592"/>
      <c r="I109" s="592"/>
      <c r="J109" s="592"/>
      <c r="K109" s="592"/>
      <c r="L109" s="592"/>
      <c r="M109" s="593"/>
      <c r="N109" s="1155"/>
      <c r="O109" s="1155"/>
      <c r="P109" s="45"/>
      <c r="Q109" s="505"/>
    </row>
    <row r="110" spans="1:17" ht="15" thickTop="1">
      <c r="A110" s="600"/>
      <c r="B110" s="539" t="s">
        <v>2787</v>
      </c>
      <c r="C110" s="584"/>
      <c r="D110" s="584"/>
      <c r="E110" s="584"/>
      <c r="F110" s="584"/>
      <c r="G110" s="584"/>
      <c r="H110" s="584"/>
      <c r="I110" s="584"/>
      <c r="J110" s="584"/>
      <c r="K110" s="585"/>
      <c r="L110" s="586"/>
      <c r="M110" s="587"/>
      <c r="N110" s="1154"/>
      <c r="O110" s="1154"/>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5"/>
      <c r="O111" s="1155"/>
      <c r="P111" s="45"/>
      <c r="Q111" s="505"/>
    </row>
    <row r="112" spans="1:17" s="472" customFormat="1" ht="15" thickTop="1">
      <c r="A112" s="594"/>
      <c r="B112" s="539" t="s">
        <v>2789</v>
      </c>
      <c r="C112" s="555"/>
      <c r="D112" s="555"/>
      <c r="E112" s="555"/>
      <c r="F112" s="555"/>
      <c r="G112" s="555"/>
      <c r="H112" s="584"/>
      <c r="I112" s="584"/>
      <c r="J112" s="584"/>
      <c r="K112" s="585"/>
      <c r="L112" s="586"/>
      <c r="M112" s="587"/>
      <c r="N112" s="1156"/>
      <c r="O112" s="1156"/>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6"/>
      <c r="O113" s="1156"/>
      <c r="P113" s="559"/>
      <c r="Q113" s="560"/>
    </row>
    <row r="114" spans="1:17" ht="15" thickTop="1">
      <c r="A114" s="600"/>
      <c r="B114" s="539" t="s">
        <v>2790</v>
      </c>
      <c r="C114" s="555"/>
      <c r="D114" s="555"/>
      <c r="E114" s="584"/>
      <c r="F114" s="584"/>
      <c r="G114" s="584"/>
      <c r="H114" s="584"/>
      <c r="I114" s="584"/>
      <c r="J114" s="584"/>
      <c r="K114" s="585"/>
      <c r="L114" s="586"/>
      <c r="M114" s="587"/>
      <c r="N114" s="1154"/>
      <c r="O114" s="1154"/>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5"/>
      <c r="O115" s="1155"/>
      <c r="P115" s="45"/>
      <c r="Q115" s="505"/>
    </row>
    <row r="116" spans="1:17" ht="15" thickTop="1">
      <c r="A116" s="600"/>
      <c r="B116" s="539">
        <f>B38</f>
        <v>111</v>
      </c>
      <c r="C116" s="555"/>
      <c r="D116" s="555"/>
      <c r="E116" s="555"/>
      <c r="F116" s="555"/>
      <c r="G116" s="555"/>
      <c r="H116" s="584"/>
      <c r="I116" s="584"/>
      <c r="J116" s="584"/>
      <c r="K116" s="585"/>
      <c r="L116" s="586"/>
      <c r="M116" s="587"/>
      <c r="N116" s="1154"/>
      <c r="O116" s="1154"/>
      <c r="P116" s="45"/>
      <c r="Q116" s="505"/>
    </row>
    <row r="117" spans="1:17" ht="15.75" thickBot="1">
      <c r="A117" s="535"/>
      <c r="B117" s="544"/>
      <c r="C117" s="561"/>
      <c r="D117" s="537"/>
      <c r="E117" s="537"/>
      <c r="F117" s="537"/>
      <c r="G117" s="537"/>
      <c r="H117" s="537"/>
      <c r="I117" s="537"/>
      <c r="J117" s="537"/>
      <c r="K117" s="537"/>
      <c r="L117" s="537"/>
      <c r="M117" s="538"/>
      <c r="N117" s="1155"/>
      <c r="O117" s="1155"/>
      <c r="P117" s="45"/>
      <c r="Q117" s="505"/>
    </row>
    <row r="118" spans="1:17" ht="15" thickTop="1">
      <c r="A118" s="600"/>
      <c r="B118" s="539">
        <f>B39</f>
        <v>111</v>
      </c>
      <c r="C118" s="555"/>
      <c r="D118" s="555"/>
      <c r="E118" s="555"/>
      <c r="F118" s="555"/>
      <c r="G118" s="584"/>
      <c r="H118" s="584"/>
      <c r="I118" s="584"/>
      <c r="J118" s="584"/>
      <c r="K118" s="585"/>
      <c r="L118" s="586"/>
      <c r="M118" s="587"/>
      <c r="N118" s="1154"/>
      <c r="O118" s="1154"/>
      <c r="P118" s="45"/>
      <c r="Q118" s="505"/>
    </row>
    <row r="119" spans="1:17" ht="15.75" thickBot="1">
      <c r="A119" s="535"/>
      <c r="B119" s="544"/>
      <c r="C119" s="561"/>
      <c r="D119" s="561"/>
      <c r="E119" s="561"/>
      <c r="F119" s="561"/>
      <c r="G119" s="537"/>
      <c r="H119" s="537"/>
      <c r="I119" s="537"/>
      <c r="J119" s="537"/>
      <c r="K119" s="537"/>
      <c r="L119" s="537"/>
      <c r="M119" s="538"/>
      <c r="N119" s="1155"/>
      <c r="O119" s="1155"/>
      <c r="P119" s="45"/>
      <c r="Q119" s="505"/>
    </row>
    <row r="120" spans="1:17" s="472" customFormat="1" ht="15" thickTop="1">
      <c r="A120" s="594"/>
      <c r="B120" s="539">
        <f>B40</f>
        <v>111</v>
      </c>
      <c r="C120" s="524"/>
      <c r="D120" s="524"/>
      <c r="E120" s="524"/>
      <c r="F120" s="524"/>
      <c r="G120" s="556"/>
      <c r="H120" s="556"/>
      <c r="I120" s="556"/>
      <c r="J120" s="556"/>
      <c r="K120" s="556"/>
      <c r="L120" s="557"/>
      <c r="M120" s="558"/>
      <c r="N120" s="1156"/>
      <c r="O120" s="1156"/>
      <c r="P120" s="559"/>
      <c r="Q120" s="560"/>
    </row>
    <row r="121" spans="1:17" s="472" customFormat="1" ht="15.75" thickBot="1">
      <c r="A121" s="569"/>
      <c r="B121" s="700"/>
      <c r="C121" s="571"/>
      <c r="D121" s="571"/>
      <c r="E121" s="571"/>
      <c r="F121" s="571"/>
      <c r="G121" s="592"/>
      <c r="H121" s="592"/>
      <c r="I121" s="592"/>
      <c r="J121" s="592"/>
      <c r="K121" s="592"/>
      <c r="L121" s="592"/>
      <c r="M121" s="593"/>
      <c r="N121" s="1156"/>
      <c r="O121" s="1156"/>
      <c r="P121" s="559"/>
      <c r="Q121" s="56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4" customWidth="1"/>
    <col min="33" max="36" width="9.375" style="2793" customWidth="1"/>
    <col min="37" max="38" width="9.375" style="2717" customWidth="1"/>
    <col min="39" max="16384" width="12" style="2717"/>
  </cols>
  <sheetData>
    <row r="1" spans="1:36" ht="28.5">
      <c r="A1" s="241" t="s">
        <v>2799</v>
      </c>
      <c r="B1" s="242"/>
      <c r="C1" s="246" t="s">
        <v>2800</v>
      </c>
      <c r="D1" s="389">
        <f>SUM(D29:D30,D33:D39)</f>
        <v>0</v>
      </c>
      <c r="E1" s="2714"/>
      <c r="F1" s="2714"/>
      <c r="G1" s="2714"/>
      <c r="H1" s="2714"/>
      <c r="I1" s="2714"/>
      <c r="J1" s="2714"/>
      <c r="K1" s="1372"/>
      <c r="L1" s="2715" t="s">
        <v>2801</v>
      </c>
      <c r="M1" s="1082">
        <f>SUMPRODUCT((区片价!B5:B9=I2)*(区片价!C3:F3=E2)*(区片价!C5:F9))</f>
        <v>0</v>
      </c>
      <c r="N1" s="1085">
        <f>SUMPRODUCT((因素修正幅度!B5:B9=I2)*(因素修正幅度!C3:F3=E2)*(因素修正幅度!C5:F9))</f>
        <v>0</v>
      </c>
      <c r="O1" s="2716"/>
      <c r="P1" s="2716"/>
      <c r="Q1" s="1372"/>
      <c r="R1" s="1605" t="s">
        <v>2802</v>
      </c>
      <c r="S1" s="1605" t="s">
        <v>2803</v>
      </c>
      <c r="T1" s="1605" t="s">
        <v>2804</v>
      </c>
      <c r="U1" s="1605" t="s">
        <v>2805</v>
      </c>
      <c r="V1" s="1605" t="s">
        <v>2806</v>
      </c>
      <c r="W1" s="1609"/>
      <c r="X1" s="1609"/>
      <c r="Y1" s="1609"/>
      <c r="Z1" s="1609"/>
      <c r="AA1" s="1609"/>
      <c r="AB1" s="1609"/>
      <c r="AC1" s="1610"/>
      <c r="AD1" s="1611"/>
      <c r="AE1" s="1611"/>
      <c r="AF1" s="1611"/>
      <c r="AG1" s="1611"/>
      <c r="AH1" s="1611"/>
      <c r="AI1" s="1611"/>
      <c r="AJ1" s="1612"/>
    </row>
    <row r="2" spans="1:36" ht="15.75">
      <c r="A2" s="246" t="s">
        <v>2807</v>
      </c>
      <c r="B2" s="249" t="e">
        <f>C26</f>
        <v>#DIV/0!</v>
      </c>
      <c r="C2" s="2718" t="s">
        <v>2808</v>
      </c>
      <c r="D2" s="2719" t="s">
        <v>2809</v>
      </c>
      <c r="E2" s="2720"/>
      <c r="F2" s="2719" t="s">
        <v>2810</v>
      </c>
      <c r="G2" s="2721">
        <f>IF(E2="商业",项目基本情况!B37,IF(E2="办公",项目基本情况!C37,IF(E2="住宅",项目基本情况!D37,项目基本情况!E37)))</f>
        <v>0</v>
      </c>
      <c r="H2" s="2719" t="s">
        <v>2811</v>
      </c>
      <c r="I2" s="2721">
        <f>IF(E2="商业",项目基本情况!B38,IF(E2="办公",项目基本情况!C38,IF(E2="住宅",项目基本情况!D38,项目基本情况!E38)))</f>
        <v>0</v>
      </c>
      <c r="J2" s="2722"/>
      <c r="K2" s="1372"/>
      <c r="L2" s="2723" t="s">
        <v>2812</v>
      </c>
      <c r="M2" s="1083">
        <f>SUMPRODUCT((区片价!B10:B28=I2)*(区片价!C3:F3=E2)*(区片价!C10:F28))</f>
        <v>0</v>
      </c>
      <c r="N2" s="1085">
        <f>SUMPRODUCT((因素修正幅度!B10:B28=I2)*(因素修正幅度!C3:F3=E2)*(因素修正幅度!C10:F28))</f>
        <v>0</v>
      </c>
      <c r="O2" s="1372"/>
      <c r="P2" s="1372"/>
      <c r="Q2" s="1372"/>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8" t="s">
        <v>2813</v>
      </c>
      <c r="B3" s="249" t="e">
        <f>ROUND(B2*10000/D1,0)</f>
        <v>#DIV/0!</v>
      </c>
      <c r="C3" s="2718" t="s">
        <v>2814</v>
      </c>
      <c r="D3" s="2719" t="s">
        <v>2815</v>
      </c>
      <c r="E3" s="2724"/>
      <c r="F3" s="2725" t="s">
        <v>2816</v>
      </c>
      <c r="G3" s="915">
        <f>IF(F3="宗地容积率",'数据-汇总表'!I4,IF(F3="估价对象容积率",'数据-汇总表'!I6,'数据-汇总表'!I7))</f>
        <v>3.5</v>
      </c>
      <c r="H3" s="199" t="s">
        <v>2817</v>
      </c>
      <c r="I3" s="946"/>
      <c r="J3" s="2722" t="s">
        <v>2818</v>
      </c>
      <c r="K3" s="1372"/>
      <c r="L3" s="2723" t="s">
        <v>2819</v>
      </c>
      <c r="M3" s="1083">
        <f>SUMPRODUCT((区片价!B29:B48=I2)*(区片价!C3:F3=E2)*(区片价!C29:F48))</f>
        <v>0</v>
      </c>
      <c r="N3" s="1085">
        <f>SUMPRODUCT((因素修正幅度!B29:B48=I2)*(因素修正幅度!C3:F3=E2)*(因素修正幅度!C29:F48))</f>
        <v>0</v>
      </c>
      <c r="O3" s="1372"/>
      <c r="P3" s="1372"/>
      <c r="Q3" s="1372"/>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73"/>
      <c r="B4" s="3374"/>
      <c r="C4" s="3374"/>
      <c r="D4" s="3375"/>
      <c r="E4" s="3375"/>
      <c r="F4" s="3375"/>
      <c r="G4" s="3375"/>
      <c r="H4" s="3375"/>
      <c r="I4" s="3375"/>
      <c r="J4" s="3376"/>
      <c r="K4" s="1372"/>
      <c r="L4" s="2723" t="s">
        <v>2820</v>
      </c>
      <c r="M4" s="1083">
        <f>SUMPRODUCT((区片价!B49:B75=I2)*(区片价!C3:F3=E2)*(区片价!C49:F75))</f>
        <v>0</v>
      </c>
      <c r="N4" s="1085">
        <f>SUMPRODUCT((因素修正幅度!B49:B75=I2)*(因素修正幅度!C3:F3=E2)*(因素修正幅度!C49:F75))</f>
        <v>0</v>
      </c>
      <c r="O4" s="1372"/>
      <c r="P4" s="1372"/>
      <c r="Q4" s="1372"/>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5" customFormat="1" ht="15.75" thickBot="1">
      <c r="A5" s="2726" t="s">
        <v>807</v>
      </c>
      <c r="B5" s="2727" t="s">
        <v>2821</v>
      </c>
      <c r="C5" s="916" t="e">
        <f>ROUND(IF(E2="商业",IF(F16="增加",C6*C7+C16,C6*C7-C16),IF(E2="住宅",IF(F16="增加",C6*C12+C16,C6*C12-C16),IF(F16="增加",C6+C16,C6-C16))),0)</f>
        <v>#DIV/0!</v>
      </c>
      <c r="D5" s="1790">
        <f>ROUND(IF(E2="商业",IF(F16="增加",C6+C16,C6-C16)),0)</f>
        <v>0</v>
      </c>
      <c r="E5" s="2728"/>
      <c r="F5" s="2728"/>
      <c r="G5" s="2729"/>
      <c r="H5" s="2729"/>
      <c r="I5" s="2729"/>
      <c r="J5" s="2730"/>
      <c r="K5" s="2731"/>
      <c r="L5" s="2723" t="s">
        <v>2822</v>
      </c>
      <c r="M5" s="1083">
        <f>SUMPRODUCT((区片价!B76:B109=I2)*(区片价!C3:F3=E2)*(区片价!C76:F109))</f>
        <v>0</v>
      </c>
      <c r="N5" s="1085">
        <f>SUMPRODUCT((因素修正幅度!B76:B109=I2)*(因素修正幅度!C3:F3=E2)*(因素修正幅度!C76:F109))</f>
        <v>0</v>
      </c>
      <c r="O5" s="1372"/>
      <c r="P5" s="1372"/>
      <c r="Q5" s="1372"/>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2"/>
      <c r="AD5" s="2733"/>
      <c r="AE5" s="2733"/>
      <c r="AF5" s="2733"/>
      <c r="AG5" s="2733"/>
      <c r="AH5" s="2733"/>
      <c r="AI5" s="2733"/>
      <c r="AJ5" s="2734"/>
    </row>
    <row r="6" spans="1:36" ht="15.75" thickBot="1">
      <c r="A6" s="2736" t="s">
        <v>2823</v>
      </c>
      <c r="B6" s="2737" t="s">
        <v>2824</v>
      </c>
      <c r="C6" s="917">
        <f>SUMIF(L1:L12,G2,M1:M12)</f>
        <v>0</v>
      </c>
      <c r="D6" s="2738" t="s">
        <v>2825</v>
      </c>
      <c r="E6" s="2739"/>
      <c r="F6" s="2739"/>
      <c r="G6" s="2740"/>
      <c r="H6" s="2740"/>
      <c r="I6" s="2740"/>
      <c r="J6" s="2741"/>
      <c r="K6" s="1844"/>
      <c r="L6" s="2723" t="s">
        <v>2826</v>
      </c>
      <c r="M6" s="1083">
        <f>SUMPRODUCT((区片价!B110:B157=I2)*(区片价!C3:F3=E2)*(区片价!C110:F157))</f>
        <v>0</v>
      </c>
      <c r="N6" s="1085">
        <f>SUMPRODUCT((因素修正幅度!B110:B157=I2)*(因素修正幅度!C3:F3=E2)*(因素修正幅度!C110:F157))</f>
        <v>0</v>
      </c>
      <c r="O6" s="1372"/>
      <c r="P6" s="1372"/>
      <c r="Q6" s="1372"/>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2"/>
      <c r="AD6" s="2733"/>
      <c r="AE6" s="2733"/>
      <c r="AF6" s="2733"/>
      <c r="AG6" s="2733"/>
      <c r="AH6" s="2733"/>
      <c r="AI6" s="2733"/>
      <c r="AJ6" s="2734"/>
    </row>
    <row r="7" spans="1:36" ht="24">
      <c r="A7" s="3377" t="str">
        <f>IF(E2="商业",IF(C8="不临58条商业街","",2),"")</f>
        <v/>
      </c>
      <c r="B7" s="2742" t="s">
        <v>2827</v>
      </c>
      <c r="C7" s="918" t="e">
        <f>IF(C8="不临58条商业街",1,ROUND(1+(1.6*E8+1.2*E9+0.8*E10+0.4*E11)*C9,4))</f>
        <v>#DIV/0!</v>
      </c>
      <c r="D7" s="2743" t="s">
        <v>2828</v>
      </c>
      <c r="E7" s="947"/>
      <c r="F7" s="2744"/>
      <c r="G7" s="2745"/>
      <c r="H7" s="2745"/>
      <c r="I7" s="2745"/>
      <c r="J7" s="2746"/>
      <c r="K7" s="1844"/>
      <c r="L7" s="2723" t="s">
        <v>2829</v>
      </c>
      <c r="M7" s="1083">
        <f>SUMPRODUCT((区片价!B158:B205=I2)*(区片价!C3:F3=E2)*(区片价!C158:F205))</f>
        <v>0</v>
      </c>
      <c r="N7" s="1085">
        <f>SUMPRODUCT((因素修正幅度!B158:B205=I2)*(因素修正幅度!C3:F3=E2)*(因素修正幅度!C158:F205))</f>
        <v>0</v>
      </c>
      <c r="O7" s="1372"/>
      <c r="P7" s="1372"/>
      <c r="Q7" s="1372"/>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2830</v>
      </c>
      <c r="X7" s="1607">
        <f>G2</f>
        <v>0</v>
      </c>
      <c r="Y7" s="1607" t="s">
        <v>2831</v>
      </c>
      <c r="Z7" s="1608">
        <f>G3</f>
        <v>3.5</v>
      </c>
      <c r="AA7" s="1609"/>
      <c r="AB7" s="1609"/>
      <c r="AC7" s="1610"/>
      <c r="AD7" s="1611"/>
      <c r="AE7" s="1611"/>
      <c r="AF7" s="1611"/>
      <c r="AG7" s="1611"/>
      <c r="AH7" s="1611"/>
      <c r="AI7" s="1611"/>
      <c r="AJ7" s="1612"/>
    </row>
    <row r="8" spans="1:36" ht="15">
      <c r="A8" s="3378"/>
      <c r="B8" s="199" t="s">
        <v>2832</v>
      </c>
      <c r="C8" s="2747"/>
      <c r="D8" s="919" t="s">
        <v>139</v>
      </c>
      <c r="E8" s="920" t="e">
        <f>ROUND(C11/E7,4)</f>
        <v>#DIV/0!</v>
      </c>
      <c r="F8" s="2748" t="s">
        <v>2833</v>
      </c>
      <c r="G8" s="2749"/>
      <c r="H8" s="2749"/>
      <c r="I8" s="2749"/>
      <c r="J8" s="2750"/>
      <c r="K8" s="1372"/>
      <c r="L8" s="2723" t="s">
        <v>2834</v>
      </c>
      <c r="M8" s="1083">
        <f>SUMPRODUCT((区片价!B206:B244=I2)*(区片价!C3:F3=E2)*(区片价!C206:F244))</f>
        <v>0</v>
      </c>
      <c r="N8" s="1085">
        <f>SUMPRODUCT((因素修正幅度!B206:B244=I2)*(因素修正幅度!C3:F3=E2)*(因素修正幅度!C206:F244))</f>
        <v>0</v>
      </c>
      <c r="O8" s="1372"/>
      <c r="P8" s="1372"/>
      <c r="Q8" s="1372"/>
      <c r="R8" s="1605">
        <v>7</v>
      </c>
      <c r="S8" s="1606"/>
      <c r="T8" s="1605" t="e">
        <f t="shared" si="0"/>
        <v>#DIV/0!</v>
      </c>
      <c r="U8" s="1606"/>
      <c r="V8" s="1605" t="e">
        <f t="shared" si="1"/>
        <v>#DIV/0!</v>
      </c>
      <c r="W8" s="3370" t="s">
        <v>2835</v>
      </c>
      <c r="X8" s="3371"/>
      <c r="Y8" s="1613" t="s">
        <v>2836</v>
      </c>
      <c r="Z8" s="1613" t="s">
        <v>2837</v>
      </c>
      <c r="AA8" s="1613" t="s">
        <v>2838</v>
      </c>
      <c r="AB8" s="1613" t="s">
        <v>2839</v>
      </c>
      <c r="AC8" s="1613" t="s">
        <v>2840</v>
      </c>
      <c r="AD8" s="1613" t="s">
        <v>2841</v>
      </c>
      <c r="AE8" s="1613" t="s">
        <v>2842</v>
      </c>
      <c r="AF8" s="1613" t="s">
        <v>2843</v>
      </c>
      <c r="AG8" s="1613" t="s">
        <v>2844</v>
      </c>
      <c r="AH8" s="1613" t="s">
        <v>2845</v>
      </c>
      <c r="AI8" s="1613" t="s">
        <v>2846</v>
      </c>
      <c r="AJ8" s="1613" t="s">
        <v>2847</v>
      </c>
    </row>
    <row r="9" spans="1:36" ht="15">
      <c r="A9" s="3378"/>
      <c r="B9" s="199" t="s">
        <v>2848</v>
      </c>
      <c r="C9" s="921">
        <f>SUMIF(修正!C59:C119,C8,修正!E59:E119)</f>
        <v>0</v>
      </c>
      <c r="D9" s="201" t="s">
        <v>140</v>
      </c>
      <c r="E9" s="201" t="e">
        <f>ROUND(C11/E7,4)</f>
        <v>#DIV/0!</v>
      </c>
      <c r="F9" s="2748" t="s">
        <v>2849</v>
      </c>
      <c r="G9" s="2749"/>
      <c r="H9" s="2749"/>
      <c r="I9" s="2749"/>
      <c r="J9" s="2750"/>
      <c r="K9" s="1372"/>
      <c r="L9" s="2723" t="s">
        <v>2850</v>
      </c>
      <c r="M9" s="1083">
        <f>SUMPRODUCT((区片价!B245:B289=I2)*(区片价!C3:F3=E2)*(区片价!C245:F289))</f>
        <v>0</v>
      </c>
      <c r="N9" s="1085">
        <f>SUMPRODUCT((因素修正幅度!B245:B289=I2)*(因素修正幅度!C3:F3=E2)*(因素修正幅度!C245:F289))</f>
        <v>0</v>
      </c>
      <c r="O9" s="1372"/>
      <c r="P9" s="1372"/>
      <c r="Q9" s="1372"/>
      <c r="R9" s="1605">
        <v>8</v>
      </c>
      <c r="S9" s="1606"/>
      <c r="T9" s="1605" t="e">
        <f t="shared" si="0"/>
        <v>#DIV/0!</v>
      </c>
      <c r="U9" s="1606"/>
      <c r="V9" s="1605" t="e">
        <f t="shared" si="1"/>
        <v>#DIV/0!</v>
      </c>
      <c r="W9" s="3372" t="s">
        <v>2851</v>
      </c>
      <c r="X9" s="1614" t="s">
        <v>2852</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78"/>
      <c r="B10" s="199" t="s">
        <v>2853</v>
      </c>
      <c r="C10" s="201">
        <f>SUMIF(修正!C59:C119,C8,修正!F59:F119)</f>
        <v>0</v>
      </c>
      <c r="D10" s="201" t="s">
        <v>141</v>
      </c>
      <c r="E10" s="201" t="e">
        <f>ROUND(C11/E7,4)</f>
        <v>#DIV/0!</v>
      </c>
      <c r="F10" s="2748" t="s">
        <v>2854</v>
      </c>
      <c r="G10" s="2749"/>
      <c r="H10" s="2749"/>
      <c r="I10" s="2749"/>
      <c r="J10" s="2750"/>
      <c r="K10" s="1372"/>
      <c r="L10" s="2723" t="s">
        <v>2855</v>
      </c>
      <c r="M10" s="1083">
        <f>SUMPRODUCT((区片价!B290:B316=I2)*(区片价!C3:F3=E2)*(区片价!C290:F316))</f>
        <v>0</v>
      </c>
      <c r="N10" s="1085">
        <f>SUMPRODUCT((因素修正幅度!B290:B316=I2)*(因素修正幅度!C3:F3=E2)*(因素修正幅度!C290:F316))</f>
        <v>0</v>
      </c>
      <c r="O10" s="1372"/>
      <c r="P10" s="1372"/>
      <c r="Q10" s="1372"/>
      <c r="R10" s="1605">
        <v>9</v>
      </c>
      <c r="S10" s="1606"/>
      <c r="T10" s="1605" t="e">
        <f t="shared" si="0"/>
        <v>#DIV/0!</v>
      </c>
      <c r="U10" s="1606"/>
      <c r="V10" s="1605" t="e">
        <f t="shared" si="1"/>
        <v>#DIV/0!</v>
      </c>
      <c r="W10" s="337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78"/>
      <c r="B11" s="2751" t="s">
        <v>2856</v>
      </c>
      <c r="C11" s="922">
        <f>C10/4</f>
        <v>0</v>
      </c>
      <c r="D11" s="922" t="s">
        <v>142</v>
      </c>
      <c r="E11" s="922" t="e">
        <f>ROUND(C11/E7,4)</f>
        <v>#DIV/0!</v>
      </c>
      <c r="F11" s="2752" t="s">
        <v>2857</v>
      </c>
      <c r="G11" s="2753"/>
      <c r="H11" s="2753"/>
      <c r="I11" s="2753"/>
      <c r="J11" s="2754"/>
      <c r="K11" s="1372"/>
      <c r="L11" s="2723" t="s">
        <v>2858</v>
      </c>
      <c r="M11" s="1083">
        <f>SUMPRODUCT((区片价!B317:B337=I2)*(区片价!C3:F3=E2)*(区片价!C317:F337))</f>
        <v>0</v>
      </c>
      <c r="N11" s="1085">
        <f>SUMPRODUCT((因素修正幅度!B317:B337=I2)*(因素修正幅度!C3:F3=E2)*(因素修正幅度!C317:F337))</f>
        <v>0</v>
      </c>
      <c r="O11" s="1372"/>
      <c r="P11" s="1372"/>
      <c r="Q11" s="1372"/>
      <c r="R11" s="1605">
        <v>10</v>
      </c>
      <c r="S11" s="1606"/>
      <c r="T11" s="1605" t="e">
        <f t="shared" si="0"/>
        <v>#DIV/0!</v>
      </c>
      <c r="U11" s="1606"/>
      <c r="V11" s="1605" t="e">
        <f t="shared" si="1"/>
        <v>#DIV/0!</v>
      </c>
      <c r="W11" s="3372" t="s">
        <v>2859</v>
      </c>
      <c r="X11" s="1617" t="s">
        <v>2860</v>
      </c>
      <c r="Y11" s="1618">
        <f>$G$3</f>
        <v>3.5</v>
      </c>
      <c r="Z11" s="1618">
        <f t="shared" ref="Z11:AJ11" si="3">$G$3</f>
        <v>3.5</v>
      </c>
      <c r="AA11" s="1618">
        <f t="shared" si="3"/>
        <v>3.5</v>
      </c>
      <c r="AB11" s="1618">
        <f t="shared" si="3"/>
        <v>3.5</v>
      </c>
      <c r="AC11" s="1618">
        <f t="shared" si="3"/>
        <v>3.5</v>
      </c>
      <c r="AD11" s="1618">
        <f t="shared" si="3"/>
        <v>3.5</v>
      </c>
      <c r="AE11" s="1618">
        <f t="shared" si="3"/>
        <v>3.5</v>
      </c>
      <c r="AF11" s="1618">
        <f t="shared" si="3"/>
        <v>3.5</v>
      </c>
      <c r="AG11" s="1618">
        <f t="shared" si="3"/>
        <v>3.5</v>
      </c>
      <c r="AH11" s="1618">
        <f t="shared" si="3"/>
        <v>3.5</v>
      </c>
      <c r="AI11" s="1618">
        <f t="shared" si="3"/>
        <v>3.5</v>
      </c>
      <c r="AJ11" s="1618">
        <f t="shared" si="3"/>
        <v>3.5</v>
      </c>
    </row>
    <row r="12" spans="1:36" ht="25.5" thickBot="1">
      <c r="A12" s="3377" t="s">
        <v>2861</v>
      </c>
      <c r="B12" s="2755" t="s">
        <v>2862</v>
      </c>
      <c r="C12" s="918">
        <f>ROUND(C15*D15*E15*F15*G15*H15*I15*J15,4)</f>
        <v>1</v>
      </c>
      <c r="D12" s="2756" t="s">
        <v>2863</v>
      </c>
      <c r="E12" s="2757"/>
      <c r="F12" s="2757"/>
      <c r="G12" s="2758"/>
      <c r="H12" s="2758"/>
      <c r="I12" s="2758"/>
      <c r="J12" s="2759"/>
      <c r="K12" s="1372"/>
      <c r="L12" s="2760" t="s">
        <v>2864</v>
      </c>
      <c r="M12" s="1084">
        <f>SUMPRODUCT((区片价!B338:B344=I2)*(区片价!C3:F3=E2)*(区片价!C338:F344))</f>
        <v>0</v>
      </c>
      <c r="N12" s="1085">
        <f>SUMPRODUCT((因素修正幅度!B338:B344=I2)*(因素修正幅度!C3:F3=E2)*(因素修正幅度!C338:F344))</f>
        <v>0</v>
      </c>
      <c r="O12" s="1372"/>
      <c r="P12" s="1372"/>
      <c r="Q12" s="1372"/>
      <c r="R12" s="1605">
        <v>11</v>
      </c>
      <c r="S12" s="1606"/>
      <c r="T12" s="1605" t="e">
        <f t="shared" si="0"/>
        <v>#DIV/0!</v>
      </c>
      <c r="U12" s="1606"/>
      <c r="V12" s="1605" t="e">
        <f t="shared" si="1"/>
        <v>#DIV/0!</v>
      </c>
      <c r="W12" s="3372"/>
      <c r="X12" s="1619" t="s">
        <v>2865</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79"/>
      <c r="B13" s="2761" t="s">
        <v>2866</v>
      </c>
      <c r="C13" s="2762" t="s">
        <v>2867</v>
      </c>
      <c r="D13" s="1811" t="s">
        <v>2868</v>
      </c>
      <c r="E13" s="1811" t="s">
        <v>2869</v>
      </c>
      <c r="F13" s="30" t="s">
        <v>2870</v>
      </c>
      <c r="G13" s="2763" t="s">
        <v>2871</v>
      </c>
      <c r="H13" s="2763" t="s">
        <v>2871</v>
      </c>
      <c r="I13" s="2763" t="s">
        <v>2871</v>
      </c>
      <c r="J13" s="2764" t="s">
        <v>2871</v>
      </c>
      <c r="K13" s="1372"/>
      <c r="L13" s="1372"/>
      <c r="M13" s="1372"/>
      <c r="N13" s="1372"/>
      <c r="O13" s="1372"/>
      <c r="P13" s="1372"/>
      <c r="Q13" s="1372"/>
      <c r="R13" s="1605">
        <v>12</v>
      </c>
      <c r="S13" s="1606"/>
      <c r="T13" s="1605" t="e">
        <f t="shared" si="0"/>
        <v>#DIV/0!</v>
      </c>
      <c r="U13" s="1606"/>
      <c r="V13" s="1605" t="e">
        <f t="shared" si="1"/>
        <v>#DIV/0!</v>
      </c>
      <c r="W13" s="3372"/>
      <c r="X13" s="1619"/>
      <c r="Y13" s="1616">
        <f>(-0.163*(Y12^2)-0.59*Y12+7617)*(10^(-4))/Y11</f>
        <v>0.21762857142857145</v>
      </c>
      <c r="Z13" s="1616">
        <f t="shared" ref="Z13:AJ13" si="5">(-0.163*(Z12^2)-0.59*Z12+7617)*(10^(-4))/Z11</f>
        <v>0.21762857142857145</v>
      </c>
      <c r="AA13" s="1616">
        <f t="shared" si="5"/>
        <v>0.21762857142857145</v>
      </c>
      <c r="AB13" s="1616">
        <f t="shared" si="5"/>
        <v>0.21762857142857145</v>
      </c>
      <c r="AC13" s="1616">
        <f t="shared" si="5"/>
        <v>0.21762857142857145</v>
      </c>
      <c r="AD13" s="1616">
        <f t="shared" si="5"/>
        <v>0.21762857142857145</v>
      </c>
      <c r="AE13" s="1616">
        <f t="shared" si="5"/>
        <v>0.21762857142857145</v>
      </c>
      <c r="AF13" s="1616">
        <f t="shared" si="5"/>
        <v>0.21762857142857145</v>
      </c>
      <c r="AG13" s="1616">
        <f t="shared" si="5"/>
        <v>0.21762857142857145</v>
      </c>
      <c r="AH13" s="1616">
        <f t="shared" si="5"/>
        <v>0.21762857142857145</v>
      </c>
      <c r="AI13" s="1616">
        <f t="shared" si="5"/>
        <v>0.21762857142857145</v>
      </c>
      <c r="AJ13" s="1616">
        <f t="shared" si="5"/>
        <v>0.21762857142857145</v>
      </c>
    </row>
    <row r="14" spans="1:36" ht="15">
      <c r="A14" s="3379"/>
      <c r="B14" s="2765"/>
      <c r="C14" s="2766"/>
      <c r="D14" s="2767"/>
      <c r="E14" s="2767"/>
      <c r="F14" s="2768"/>
      <c r="G14" s="2769" t="s">
        <v>2872</v>
      </c>
      <c r="H14" s="2770"/>
      <c r="I14" s="2771"/>
      <c r="J14" s="2772"/>
      <c r="K14" s="1372"/>
      <c r="L14" s="1372"/>
      <c r="M14" s="1372"/>
      <c r="N14" s="1372"/>
      <c r="O14" s="1372"/>
      <c r="P14" s="1372"/>
      <c r="Q14" s="1372"/>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80"/>
      <c r="B15" s="2773" t="s">
        <v>2873</v>
      </c>
      <c r="C15" s="230">
        <f>IF(C14="有",1.1,1)</f>
        <v>1</v>
      </c>
      <c r="D15" s="230">
        <f>IF(D14="有",1.1,1)</f>
        <v>1</v>
      </c>
      <c r="E15" s="230">
        <f>IF(E14="有",1.1,1)</f>
        <v>1</v>
      </c>
      <c r="F15" s="230">
        <f>IF(F14="500米范围内",1.2,IF(F14="500-1000米",1.1,1))</f>
        <v>1</v>
      </c>
      <c r="G15" s="948">
        <v>1</v>
      </c>
      <c r="H15" s="948">
        <v>1</v>
      </c>
      <c r="I15" s="948">
        <v>1</v>
      </c>
      <c r="J15" s="949">
        <v>1</v>
      </c>
      <c r="K15" s="1372"/>
      <c r="L15" s="2774" t="s">
        <v>2809</v>
      </c>
      <c r="M15" s="919" t="s">
        <v>2874</v>
      </c>
      <c r="N15" s="919" t="s">
        <v>2875</v>
      </c>
      <c r="O15" s="919" t="s">
        <v>2876</v>
      </c>
      <c r="P15" s="2775" t="s">
        <v>2877</v>
      </c>
      <c r="Q15" s="1372"/>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377" t="s">
        <v>2878</v>
      </c>
      <c r="B16" s="2742" t="s">
        <v>2879</v>
      </c>
      <c r="C16" s="1804" t="e">
        <f>ROUND(SUM(G17:J17)/C17,0)</f>
        <v>#DIV/0!</v>
      </c>
      <c r="D16" s="2776" t="s">
        <v>2880</v>
      </c>
      <c r="E16" s="2777"/>
      <c r="F16" s="2778"/>
      <c r="G16" s="2779"/>
      <c r="H16" s="2779"/>
      <c r="I16" s="2779"/>
      <c r="J16" s="2780"/>
      <c r="K16" s="1372"/>
      <c r="L16" s="2781" t="s">
        <v>2881</v>
      </c>
      <c r="M16" s="921">
        <v>0.25</v>
      </c>
      <c r="N16" s="921">
        <v>0.2</v>
      </c>
      <c r="O16" s="921">
        <v>0.15</v>
      </c>
      <c r="P16" s="1371">
        <v>0.1</v>
      </c>
      <c r="Q16" s="1372"/>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378"/>
      <c r="B17" s="2782" t="s">
        <v>2882</v>
      </c>
      <c r="C17" s="923">
        <f>SUMPRODUCT((修正!A2:A5=E2)*(修正!B1:M1=G2)*(修正!B2:M5))</f>
        <v>0</v>
      </c>
      <c r="D17" s="2783" t="s">
        <v>2883</v>
      </c>
      <c r="E17" s="922" t="str">
        <f>IF(OR(G2="八级",G2="九级",G2="十级",G2="十一级",G2="十二级"),"五通一平","七通一平")</f>
        <v>七通一平</v>
      </c>
      <c r="F17" s="923" t="s">
        <v>2884</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4" t="s">
        <v>2885</v>
      </c>
      <c r="M17" s="212">
        <f ca="1">ROUND($E$20*(1+M16),3)</f>
        <v>5.3999999999999999E-2</v>
      </c>
      <c r="N17" s="212">
        <f ca="1">ROUND($E$20*(1+N16),3)</f>
        <v>5.1999999999999998E-2</v>
      </c>
      <c r="O17" s="212">
        <f ca="1">ROUND($E$20*(1+O16),3)</f>
        <v>0.05</v>
      </c>
      <c r="P17" s="1375">
        <f ca="1">ROUND($E$20*(1+P16),3)</f>
        <v>4.8000000000000001E-2</v>
      </c>
      <c r="Q17" s="1372"/>
      <c r="R17" s="1372"/>
      <c r="S17" s="1372"/>
      <c r="T17" s="1372"/>
      <c r="U17" s="1372"/>
      <c r="V17" s="1372"/>
      <c r="W17" s="1372"/>
      <c r="X17" s="1372"/>
      <c r="Y17" s="1372"/>
      <c r="Z17" s="1373"/>
      <c r="AE17" s="2785"/>
      <c r="AF17" s="2785"/>
      <c r="AG17" s="2717"/>
      <c r="AH17" s="2717"/>
      <c r="AI17" s="2717"/>
      <c r="AJ17" s="2717"/>
    </row>
    <row r="18" spans="1:37" s="2735" customFormat="1" ht="15.75" thickBot="1">
      <c r="A18" s="2786" t="s">
        <v>808</v>
      </c>
      <c r="B18" s="2787" t="s">
        <v>2886</v>
      </c>
      <c r="C18" s="925">
        <f>SUMIF(修正!C18:C39,E3,修正!E18:E39)</f>
        <v>0</v>
      </c>
      <c r="D18" s="2788"/>
      <c r="E18" s="2789"/>
      <c r="F18" s="2790"/>
      <c r="G18" s="2791"/>
      <c r="H18" s="2791"/>
      <c r="I18" s="2791"/>
      <c r="J18" s="2792"/>
      <c r="K18" s="1379"/>
      <c r="O18" s="1377"/>
      <c r="P18" s="1377"/>
      <c r="Q18" s="1378"/>
      <c r="R18" s="1378"/>
      <c r="S18" s="1378"/>
      <c r="T18" s="1373"/>
      <c r="U18" s="1373"/>
      <c r="V18" s="1373"/>
      <c r="W18" s="1372"/>
      <c r="X18" s="1372"/>
      <c r="Y18" s="1372"/>
      <c r="Z18" s="1379"/>
      <c r="AA18" s="1380"/>
      <c r="AB18" s="1380"/>
      <c r="AC18" s="1380"/>
      <c r="AD18" s="1380"/>
      <c r="AE18" s="1374"/>
      <c r="AF18" s="1374"/>
      <c r="AG18" s="2793"/>
      <c r="AH18" s="2793"/>
      <c r="AI18" s="2793"/>
    </row>
    <row r="19" spans="1:37" s="2735" customFormat="1" ht="27.75" thickBot="1">
      <c r="A19" s="2786" t="s">
        <v>809</v>
      </c>
      <c r="B19" s="2787" t="s">
        <v>2887</v>
      </c>
      <c r="C19" s="926" t="e">
        <f>ROUND(IF(H19="按公示增长率计算",SUMPRODUCT((地价!A3:A20=YEAR(G19)&amp;"-"&amp;ROUNDUP(MONTH(G19)/3,0))*(地价!X2:AB2=E2)*(地价!X3:AB20)),IF(H19="地价指数",M20/M19,(1+I19)^O19)),4)</f>
        <v>#DIV/0!</v>
      </c>
      <c r="D19" s="2794" t="s">
        <v>2888</v>
      </c>
      <c r="E19" s="927">
        <v>41640</v>
      </c>
      <c r="F19" s="2794" t="s">
        <v>2889</v>
      </c>
      <c r="G19" s="928">
        <f>'数据-取费表'!B2</f>
        <v>43049</v>
      </c>
      <c r="H19" s="2795" t="s">
        <v>2890</v>
      </c>
      <c r="I19" s="929" t="str">
        <f>IF(H19="季度增幅（自定义）",SUMIF(N21:N24,E2,O21:O24),"")</f>
        <v/>
      </c>
      <c r="J19" s="2792"/>
      <c r="K19" s="1379"/>
      <c r="L19" s="2796" t="s">
        <v>2891</v>
      </c>
      <c r="M19" s="1737">
        <f>ROUND(SUMIF(地价!B2:F2,E2,地价!B20:F20),0)</f>
        <v>0</v>
      </c>
      <c r="N19" s="2797" t="s">
        <v>2892</v>
      </c>
      <c r="O19" s="930">
        <f>ROUNDDOWN(DATEDIF(E19,G19,"M")/3,0)</f>
        <v>15</v>
      </c>
      <c r="P19" s="1376"/>
      <c r="Q19" s="1378"/>
      <c r="R19" s="1378"/>
      <c r="S19" s="1378"/>
      <c r="T19" s="1373"/>
      <c r="U19" s="1373"/>
      <c r="V19" s="1373"/>
      <c r="W19" s="1372"/>
      <c r="X19" s="1372"/>
      <c r="Y19" s="1372"/>
      <c r="Z19" s="1379"/>
      <c r="AA19" s="1380"/>
      <c r="AB19" s="1380"/>
      <c r="AC19" s="1380"/>
      <c r="AD19" s="1380"/>
      <c r="AE19" s="1380"/>
      <c r="AF19" s="2798"/>
      <c r="AG19" s="2799"/>
      <c r="AH19" s="2793"/>
      <c r="AI19" s="2800"/>
      <c r="AJ19" s="2800"/>
      <c r="AK19" s="2800"/>
    </row>
    <row r="20" spans="1:37" s="2735" customFormat="1" ht="27.75" thickBot="1">
      <c r="A20" s="2801" t="s">
        <v>810</v>
      </c>
      <c r="B20" s="2802" t="s">
        <v>2893</v>
      </c>
      <c r="C20" s="931" t="e">
        <f>ROUND(POWER(1+G20,J20-I20)*(POWER(1+G20,I20)-1)/(POWER(1+G20,J20)-1),4)</f>
        <v>#DIV/0!</v>
      </c>
      <c r="D20" s="2803" t="s">
        <v>2894</v>
      </c>
      <c r="E20" s="1771">
        <f ca="1">存贷款利率!D4/100</f>
        <v>4.3499999999999997E-2</v>
      </c>
      <c r="F20" s="2803" t="s">
        <v>2885</v>
      </c>
      <c r="G20" s="936">
        <f>SUMIF(M15:P15,E2,M17:P17)</f>
        <v>0</v>
      </c>
      <c r="H20" s="2803" t="s">
        <v>2895</v>
      </c>
      <c r="I20" s="937" t="e">
        <f>SUMIF('数据-取费表'!C6:C15,E2,'数据-取费表'!F6:F15)/COUNTIF('数据-取费表'!C6:C15,E2)</f>
        <v>#DIV/0!</v>
      </c>
      <c r="J20" s="938">
        <f>IF(E2="住宅",70,IF(E2="商业",40,50))</f>
        <v>50</v>
      </c>
      <c r="K20" s="1379"/>
      <c r="L20" s="2804" t="s">
        <v>2896</v>
      </c>
      <c r="M20" s="1738">
        <f>ROUND(SUMPRODUCT((地价!A5:A20=YEAR(G19)&amp;"-"&amp;ROUNDUP(MONTH(G19)/3,0))*(地价!B2:F2=E2)*(地价!B5:F20)),0)</f>
        <v>0</v>
      </c>
      <c r="N20" s="2805" t="s">
        <v>2897</v>
      </c>
      <c r="O20" s="2806" t="s">
        <v>2898</v>
      </c>
      <c r="P20" s="2807" t="s">
        <v>2899</v>
      </c>
      <c r="R20" s="1378"/>
      <c r="S20" s="1378"/>
      <c r="T20" s="1373"/>
      <c r="U20" s="1373"/>
      <c r="V20" s="1373"/>
      <c r="W20" s="1372"/>
      <c r="X20" s="1372"/>
      <c r="Y20" s="1372"/>
      <c r="Z20" s="1379"/>
      <c r="AA20" s="1380"/>
      <c r="AB20" s="1380"/>
      <c r="AC20" s="1380"/>
      <c r="AD20" s="1380"/>
      <c r="AE20" s="1380"/>
      <c r="AF20" s="1380"/>
    </row>
    <row r="21" spans="1:37" s="2735" customFormat="1" ht="15">
      <c r="A21" s="2808" t="s">
        <v>811</v>
      </c>
      <c r="B21" s="2809" t="s">
        <v>2900</v>
      </c>
      <c r="C21" s="939">
        <f>IF(B21="容积率修正",IF(G3&lt;=10,D22,J22),C23)</f>
        <v>0</v>
      </c>
      <c r="D21" s="2810"/>
      <c r="E21" s="2810"/>
      <c r="F21" s="2810"/>
      <c r="G21" s="2810"/>
      <c r="H21" s="2810"/>
      <c r="I21" s="2810"/>
      <c r="J21" s="2811"/>
      <c r="K21" s="1379"/>
      <c r="N21" s="2812" t="s">
        <v>2901</v>
      </c>
      <c r="O21" s="1564"/>
      <c r="P21" s="1565">
        <f>SUMPRODUCT((地价!A3:A20=YEAR(G19)&amp;"-"&amp;ROUNDUP(MONTH(G19)/3,0))*(地价!AD2:AH2=N21)*(地价!AD3:AH20))</f>
        <v>1.6400000000000001E-2</v>
      </c>
      <c r="R21" s="1378"/>
      <c r="S21" s="1378"/>
      <c r="T21" s="1373"/>
      <c r="U21" s="1373"/>
      <c r="V21" s="1373"/>
      <c r="W21" s="1372"/>
      <c r="X21" s="1372"/>
      <c r="Y21" s="1372"/>
      <c r="Z21" s="1379"/>
      <c r="AA21" s="1380"/>
      <c r="AB21" s="1380"/>
      <c r="AC21" s="1380"/>
      <c r="AD21" s="1380"/>
      <c r="AE21" s="1380"/>
      <c r="AF21" s="1380"/>
    </row>
    <row r="22" spans="1:37" s="2735" customFormat="1" ht="14.25">
      <c r="A22" s="2661" t="s">
        <v>2902</v>
      </c>
      <c r="B22" s="2813" t="s">
        <v>2903</v>
      </c>
      <c r="C22" s="1813" t="s">
        <v>2904</v>
      </c>
      <c r="D22" s="1813" t="b">
        <f>IF(E22=G22,F22,IF(G3&lt;=10,ROUND(F22+(H22-F22)*(G3-E22)/(G22-E22),4),"——"))</f>
        <v>0</v>
      </c>
      <c r="E22" s="915">
        <f>ROUNDDOWN(G3,1)</f>
        <v>3.5</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5">
        <f>ROUNDUP(G3,1)</f>
        <v>3.5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0" t="str">
        <f>IF(G3&gt;10,D113,"——")</f>
        <v>——</v>
      </c>
      <c r="K22" s="1379"/>
      <c r="N22" s="2812" t="s">
        <v>2905</v>
      </c>
      <c r="O22" s="1564"/>
      <c r="P22" s="1565">
        <f>SUMPRODUCT((地价!A3:A20=YEAR(G19)&amp;"-"&amp;ROUNDUP(MONTH(G19)/3,0))*(地价!AD2:AH2=N22)*(地价!AD3:AH20))</f>
        <v>1.6400000000000001E-2</v>
      </c>
      <c r="R22" s="1378"/>
      <c r="S22" s="1378"/>
      <c r="T22" s="1373"/>
      <c r="U22" s="1373"/>
      <c r="V22" s="1373"/>
      <c r="W22" s="1372"/>
      <c r="X22" s="1372"/>
      <c r="Y22" s="1372"/>
      <c r="Z22" s="1379"/>
      <c r="AA22" s="1380"/>
      <c r="AB22" s="1380"/>
      <c r="AC22" s="1380"/>
      <c r="AD22" s="1380"/>
      <c r="AE22" s="1380"/>
      <c r="AF22" s="1380"/>
    </row>
    <row r="23" spans="1:37" ht="27.75" thickBot="1">
      <c r="A23" s="2661" t="s">
        <v>2906</v>
      </c>
      <c r="B23" s="2814" t="s">
        <v>2907</v>
      </c>
      <c r="C23" s="1015">
        <f>ROUND(IF(G3&gt;1,IF(I3&lt;7,SUMPRODUCT((B93:B98=I3)*(C92:N92=G2)*(C93:N98)),SUMIF(C92:N92,G2,C100:N100)),IF(I3&lt;7,SUMPRODUCT((B102:B107=I3)*(C92:N92=G2)*(C102:N107)),SUMIF(C92:N92,G2,C109:N109))),4)</f>
        <v>0</v>
      </c>
      <c r="D23" s="2770"/>
      <c r="E23" s="2770"/>
      <c r="F23" s="2815"/>
      <c r="G23" s="2816"/>
      <c r="H23" s="2817"/>
      <c r="I23" s="2818"/>
      <c r="J23" s="2819"/>
      <c r="K23" s="1372"/>
      <c r="N23" s="2812" t="s">
        <v>2908</v>
      </c>
      <c r="O23" s="1564"/>
      <c r="P23" s="1565">
        <f>SUMPRODUCT((地价!A3:A20=YEAR(G19)&amp;"-"&amp;ROUNDUP(MONTH(G19)/3,0))*(地价!AD2:AH2=N23)*(地价!AD3:AH20))</f>
        <v>2.7799999999999998E-2</v>
      </c>
      <c r="R23" s="1378"/>
      <c r="S23" s="1378"/>
      <c r="T23" s="1373"/>
      <c r="U23" s="1373"/>
      <c r="V23" s="1373"/>
      <c r="W23" s="1372"/>
      <c r="X23" s="1372"/>
      <c r="Y23" s="1372"/>
      <c r="Z23" s="1379"/>
      <c r="AA23" s="1380"/>
      <c r="AB23" s="1380"/>
      <c r="AC23" s="1380"/>
      <c r="AD23" s="1380"/>
      <c r="AK23" s="2793"/>
    </row>
    <row r="24" spans="1:37" s="2735" customFormat="1" ht="15.75" thickBot="1">
      <c r="A24" s="2801" t="s">
        <v>812</v>
      </c>
      <c r="B24" s="2787" t="s">
        <v>2909</v>
      </c>
      <c r="C24" s="926">
        <f>SUMIF(A45:A88,E2,B45:B88)</f>
        <v>0</v>
      </c>
      <c r="D24" s="2790"/>
      <c r="E24" s="2820"/>
      <c r="F24" s="2820"/>
      <c r="G24" s="2820"/>
      <c r="H24" s="2820"/>
      <c r="I24" s="2820"/>
      <c r="J24" s="2821"/>
      <c r="K24" s="1379"/>
      <c r="N24" s="2822" t="s">
        <v>2910</v>
      </c>
      <c r="O24" s="1566"/>
      <c r="P24" s="1567">
        <f>SUMPRODUCT((地价!A3:A20=YEAR(G19)&amp;"-"&amp;ROUNDUP(MONTH(G19)/3,0))*(地价!AD2:AH2=N24)*(地价!AD3:AH20))</f>
        <v>1.3899999999999999E-2</v>
      </c>
      <c r="R24" s="1378"/>
      <c r="S24" s="1378"/>
      <c r="T24" s="1373"/>
      <c r="U24" s="1373"/>
      <c r="V24" s="1373"/>
      <c r="W24" s="1372"/>
      <c r="X24" s="1372"/>
      <c r="Y24" s="1372"/>
      <c r="Z24" s="1379"/>
      <c r="AA24" s="1380"/>
      <c r="AB24" s="1380"/>
      <c r="AC24" s="1380"/>
      <c r="AD24" s="1380"/>
      <c r="AE24" s="1380"/>
      <c r="AF24" s="1380"/>
    </row>
    <row r="25" spans="1:37" ht="15.75" thickBot="1">
      <c r="A25" s="2801" t="s">
        <v>813</v>
      </c>
      <c r="B25" s="2823" t="s">
        <v>2911</v>
      </c>
      <c r="C25" s="932"/>
      <c r="D25" s="2745"/>
      <c r="E25" s="2745"/>
      <c r="F25" s="2824"/>
      <c r="G25" s="2745"/>
      <c r="H25" s="2745"/>
      <c r="I25" s="2745"/>
      <c r="J25" s="2746"/>
      <c r="K25" s="1372"/>
      <c r="N25" s="2825" t="s">
        <v>2912</v>
      </c>
      <c r="O25" s="1568"/>
      <c r="P25" s="1567">
        <f>SUMPRODUCT((地价!A3:A20=YEAR(G19)&amp;"-"&amp;ROUNDUP(MONTH(G19)/3,0))*(地价!AD2:AH2=N25)*(地价!AD3:AH20))</f>
        <v>2.4899999999999999E-2</v>
      </c>
      <c r="R25" s="1378"/>
      <c r="S25" s="1378"/>
      <c r="T25" s="1373"/>
      <c r="U25" s="1373"/>
      <c r="V25" s="1373"/>
      <c r="W25" s="1372"/>
      <c r="X25" s="1372"/>
      <c r="Y25" s="1372"/>
      <c r="Z25" s="1379"/>
      <c r="AA25" s="1380"/>
      <c r="AB25" s="1380"/>
      <c r="AC25" s="1380"/>
      <c r="AD25" s="1380"/>
    </row>
    <row r="26" spans="1:37" ht="15">
      <c r="A26" s="2826"/>
      <c r="B26" s="2813" t="s">
        <v>2913</v>
      </c>
      <c r="C26" s="207" t="e">
        <f>E29+SUM(E33:E39)</f>
        <v>#DIV/0!</v>
      </c>
      <c r="D26" s="2827"/>
      <c r="E26" s="2770"/>
      <c r="F26" s="2828"/>
      <c r="G26" s="2770"/>
      <c r="H26" s="2770"/>
      <c r="I26" s="2770"/>
      <c r="J26" s="2829"/>
      <c r="K26" s="1372"/>
      <c r="R26" s="1378"/>
      <c r="S26" s="1378"/>
      <c r="T26" s="1373"/>
      <c r="U26" s="1373"/>
      <c r="V26" s="1373"/>
      <c r="W26" s="1372"/>
      <c r="X26" s="1372"/>
      <c r="Y26" s="1372"/>
      <c r="Z26" s="1379"/>
      <c r="AA26" s="1380"/>
      <c r="AB26" s="1380"/>
      <c r="AC26" s="1380"/>
      <c r="AD26" s="1380"/>
    </row>
    <row r="27" spans="1:37" ht="15.75" thickBot="1">
      <c r="A27" s="2826"/>
      <c r="B27" s="2830" t="s">
        <v>2914</v>
      </c>
      <c r="C27" s="933" t="e">
        <f>E30+SUM(I33:I39)</f>
        <v>#DIV/0!</v>
      </c>
      <c r="D27" s="2831"/>
      <c r="E27" s="2832"/>
      <c r="F27" s="2833"/>
      <c r="G27" s="2832"/>
      <c r="H27" s="2832"/>
      <c r="I27" s="2832"/>
      <c r="J27" s="2834"/>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5"/>
      <c r="B28" s="2836" t="s">
        <v>2915</v>
      </c>
      <c r="C28" s="2837" t="s">
        <v>2916</v>
      </c>
      <c r="D28" s="2837" t="s">
        <v>2917</v>
      </c>
      <c r="E28" s="2838" t="s">
        <v>2918</v>
      </c>
      <c r="F28" s="2839"/>
      <c r="G28" s="2758"/>
      <c r="H28" s="2758"/>
      <c r="I28" s="2758"/>
      <c r="J28" s="2759"/>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0"/>
      <c r="B29" s="2841" t="s">
        <v>2919</v>
      </c>
      <c r="C29" s="207" t="e">
        <f>ROUND(C5*C18*C19*C20*C21*C24,0)</f>
        <v>#DIV/0!</v>
      </c>
      <c r="D29" s="2842"/>
      <c r="E29" s="944" t="e">
        <f>ROUND(C29*D29/10000,0)</f>
        <v>#DIV/0!</v>
      </c>
      <c r="F29" s="2843" t="s">
        <v>2920</v>
      </c>
      <c r="G29" s="2844"/>
      <c r="H29" s="2844"/>
      <c r="I29" s="2844"/>
      <c r="J29" s="2845"/>
      <c r="K29" s="1372"/>
      <c r="L29" s="1372"/>
      <c r="M29" s="1372"/>
      <c r="N29" s="1372"/>
      <c r="O29" s="1377"/>
      <c r="P29" s="1377"/>
      <c r="Q29" s="1378"/>
      <c r="R29" s="1378"/>
      <c r="S29" s="1378"/>
      <c r="T29" s="1373"/>
      <c r="U29" s="1373"/>
      <c r="V29" s="1373"/>
      <c r="W29" s="1372"/>
      <c r="X29" s="1372"/>
      <c r="Y29" s="1372"/>
      <c r="Z29" s="1379"/>
      <c r="AA29" s="1380"/>
      <c r="AB29" s="1380"/>
      <c r="AC29" s="1380"/>
      <c r="AD29" s="1380"/>
      <c r="AE29" s="2785"/>
      <c r="AF29" s="2785"/>
      <c r="AG29" s="2717"/>
      <c r="AH29" s="2717"/>
      <c r="AI29" s="2717"/>
      <c r="AJ29" s="2717"/>
    </row>
    <row r="30" spans="1:37" ht="25.5" thickBot="1">
      <c r="A30" s="2846"/>
      <c r="B30" s="2847" t="s">
        <v>2921</v>
      </c>
      <c r="C30" s="230" t="e">
        <f>ROUND(IF(E2="工业",C29*M39,C29*M38),0)</f>
        <v>#DIV/0!</v>
      </c>
      <c r="D30" s="2848"/>
      <c r="E30" s="944" t="e">
        <f>ROUND(C30*D30/10000,0)</f>
        <v>#DIV/0!</v>
      </c>
      <c r="F30" s="2849" t="s">
        <v>2922</v>
      </c>
      <c r="G30" s="2850"/>
      <c r="H30" s="2850"/>
      <c r="I30" s="2850"/>
      <c r="J30" s="2851"/>
      <c r="K30" s="1372"/>
      <c r="L30" s="1372"/>
      <c r="M30" s="1372"/>
      <c r="N30" s="1372"/>
      <c r="O30" s="1377"/>
      <c r="P30" s="1377"/>
      <c r="Q30" s="1378"/>
      <c r="R30" s="1378"/>
      <c r="S30" s="1378"/>
      <c r="T30" s="1373"/>
      <c r="U30" s="1373"/>
      <c r="V30" s="1373"/>
      <c r="W30" s="1372"/>
      <c r="X30" s="1372"/>
      <c r="Y30" s="1372"/>
      <c r="Z30" s="1379"/>
      <c r="AA30" s="1380"/>
      <c r="AB30" s="1380"/>
      <c r="AC30" s="1380"/>
      <c r="AD30" s="1380"/>
      <c r="AE30" s="2785"/>
      <c r="AF30" s="2785"/>
      <c r="AG30" s="2717"/>
      <c r="AH30" s="2717"/>
      <c r="AI30" s="2717"/>
      <c r="AJ30" s="2717"/>
    </row>
    <row r="31" spans="1:37" ht="14.25">
      <c r="A31" s="2852"/>
      <c r="B31" s="2853" t="s">
        <v>2923</v>
      </c>
      <c r="C31" s="2854" t="s">
        <v>2924</v>
      </c>
      <c r="D31" s="2758"/>
      <c r="E31" s="2854"/>
      <c r="F31" s="2854"/>
      <c r="G31" s="2756" t="s">
        <v>2925</v>
      </c>
      <c r="H31" s="2758"/>
      <c r="I31" s="2855"/>
      <c r="J31" s="2759"/>
      <c r="K31" s="1372"/>
      <c r="L31" s="1372"/>
      <c r="M31" s="1372"/>
      <c r="N31" s="1372"/>
      <c r="O31" s="1377"/>
      <c r="P31" s="1377"/>
      <c r="Q31" s="1378"/>
      <c r="R31" s="1378"/>
      <c r="S31" s="1378"/>
      <c r="T31" s="1373"/>
      <c r="U31" s="1373"/>
      <c r="V31" s="1373"/>
      <c r="W31" s="1372"/>
      <c r="X31" s="1372"/>
      <c r="Y31" s="1372"/>
      <c r="Z31" s="1379"/>
      <c r="AA31" s="1380"/>
      <c r="AB31" s="1380"/>
      <c r="AC31" s="1380"/>
      <c r="AD31" s="1380"/>
      <c r="AE31" s="2785"/>
      <c r="AF31" s="2785"/>
      <c r="AG31" s="2717"/>
      <c r="AH31" s="2717"/>
      <c r="AI31" s="2717"/>
      <c r="AJ31" s="2717"/>
    </row>
    <row r="32" spans="1:37" ht="24">
      <c r="A32" s="2840"/>
      <c r="B32" s="2856"/>
      <c r="C32" s="502" t="s">
        <v>2916</v>
      </c>
      <c r="D32" s="499" t="s">
        <v>2917</v>
      </c>
      <c r="E32" s="499" t="s">
        <v>2918</v>
      </c>
      <c r="F32" s="389" t="s">
        <v>2926</v>
      </c>
      <c r="G32" s="2857" t="s">
        <v>2916</v>
      </c>
      <c r="H32" s="2857" t="s">
        <v>2917</v>
      </c>
      <c r="I32" s="2857" t="s">
        <v>2918</v>
      </c>
      <c r="J32" s="288"/>
      <c r="K32" s="1372"/>
      <c r="L32" s="1372"/>
      <c r="M32" s="1372"/>
      <c r="N32" s="1372"/>
      <c r="O32" s="1377"/>
      <c r="P32" s="1377"/>
      <c r="Q32" s="1378"/>
      <c r="R32" s="1378"/>
      <c r="S32" s="1378"/>
      <c r="T32" s="1373"/>
      <c r="U32" s="1373"/>
      <c r="V32" s="1373"/>
      <c r="W32" s="1372"/>
      <c r="X32" s="1372"/>
      <c r="Y32" s="1372"/>
      <c r="Z32" s="1379"/>
      <c r="AA32" s="1380"/>
      <c r="AB32" s="1380"/>
      <c r="AC32" s="1380"/>
      <c r="AD32" s="1380"/>
      <c r="AE32" s="2785"/>
      <c r="AF32" s="2785"/>
      <c r="AG32" s="2717"/>
      <c r="AH32" s="2717"/>
      <c r="AI32" s="2717"/>
      <c r="AJ32" s="2717"/>
    </row>
    <row r="33" spans="1:37" ht="36" customHeight="1">
      <c r="A33" s="3387" t="s">
        <v>2927</v>
      </c>
      <c r="B33" s="2858" t="s">
        <v>2928</v>
      </c>
      <c r="C33" s="207" t="e">
        <f>ROUND(D5*C19*C20*C24*F33,0)</f>
        <v>#DIV/0!</v>
      </c>
      <c r="D33" s="2842"/>
      <c r="E33" s="201" t="e">
        <f>ROUND(C33*D33/10000,0)</f>
        <v>#DIV/0!</v>
      </c>
      <c r="F33" s="201">
        <f>SUMIF(修正!A45:A56,G2,修正!B45:B56)</f>
        <v>0</v>
      </c>
      <c r="G33" s="201" t="e">
        <f t="shared" ref="G33:G39" si="6">ROUND(IF(E2="工业",C33*$M$39,C33*$M$38),0)</f>
        <v>#DIV/0!</v>
      </c>
      <c r="H33" s="201">
        <f>D33</f>
        <v>0</v>
      </c>
      <c r="I33" s="201" t="e">
        <f>ROUND(G33*H33/10000,0)</f>
        <v>#DIV/0!</v>
      </c>
      <c r="J33" s="2859"/>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388"/>
      <c r="B34" s="2762" t="s">
        <v>2929</v>
      </c>
      <c r="C34" s="207" t="e">
        <f>ROUND(D5*C19*C20*C24*F34,0)</f>
        <v>#DIV/0!</v>
      </c>
      <c r="D34" s="2842"/>
      <c r="E34" s="201" t="e">
        <f t="shared" ref="E34:E39" si="7">ROUND(C34*D34/10000,0)</f>
        <v>#DIV/0!</v>
      </c>
      <c r="F34" s="201">
        <f>SUMIF(修正!A45:A56,G2,修正!C45:C56)</f>
        <v>0</v>
      </c>
      <c r="G34" s="201" t="e">
        <f t="shared" si="6"/>
        <v>#DIV/0!</v>
      </c>
      <c r="H34" s="201">
        <f t="shared" ref="H34:H39" si="8">D34</f>
        <v>0</v>
      </c>
      <c r="I34" s="201" t="e">
        <f t="shared" ref="I34:I39" si="9">ROUND(G34*H34/10000,0)</f>
        <v>#DIV/0!</v>
      </c>
      <c r="J34" s="2859"/>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388"/>
      <c r="B35" s="2762" t="s">
        <v>2930</v>
      </c>
      <c r="C35" s="207" t="e">
        <f>ROUND(D5*C19*C20*C24*F35,0)</f>
        <v>#DIV/0!</v>
      </c>
      <c r="D35" s="2842"/>
      <c r="E35" s="201" t="e">
        <f t="shared" si="7"/>
        <v>#DIV/0!</v>
      </c>
      <c r="F35" s="201">
        <f>SUMIF(修正!A45:A56,G2,修正!D45:D56)</f>
        <v>0</v>
      </c>
      <c r="G35" s="201" t="e">
        <f t="shared" si="6"/>
        <v>#DIV/0!</v>
      </c>
      <c r="H35" s="201">
        <f t="shared" si="8"/>
        <v>0</v>
      </c>
      <c r="I35" s="201" t="e">
        <f t="shared" si="9"/>
        <v>#DIV/0!</v>
      </c>
      <c r="J35" s="2859"/>
      <c r="K35" s="1372"/>
      <c r="L35" s="1372"/>
      <c r="M35" s="1372"/>
      <c r="N35" s="1372"/>
      <c r="O35" s="1372"/>
      <c r="P35" s="1372"/>
      <c r="Q35" s="1372"/>
      <c r="R35" s="1372"/>
      <c r="S35" s="1372"/>
      <c r="T35" s="1372"/>
      <c r="U35" s="1372"/>
      <c r="V35" s="1372"/>
      <c r="W35" s="1372"/>
      <c r="X35" s="1372"/>
      <c r="Y35" s="1372"/>
      <c r="Z35" s="1373"/>
    </row>
    <row r="36" spans="1:37" ht="13.5" thickBot="1">
      <c r="A36" s="3389"/>
      <c r="B36" s="2762" t="s">
        <v>2931</v>
      </c>
      <c r="C36" s="207" t="e">
        <f>ROUND(D5*C19*C20*C24*F36,0)</f>
        <v>#DIV/0!</v>
      </c>
      <c r="D36" s="2842"/>
      <c r="E36" s="201" t="e">
        <f t="shared" si="7"/>
        <v>#DIV/0!</v>
      </c>
      <c r="F36" s="201">
        <f>SUMIF(修正!A45:A56,G2,修正!E45:E56)</f>
        <v>0</v>
      </c>
      <c r="G36" s="201" t="e">
        <f t="shared" si="6"/>
        <v>#DIV/0!</v>
      </c>
      <c r="H36" s="201">
        <f t="shared" si="8"/>
        <v>0</v>
      </c>
      <c r="I36" s="201" t="e">
        <f t="shared" si="9"/>
        <v>#DIV/0!</v>
      </c>
      <c r="J36" s="2859"/>
      <c r="K36" s="1372"/>
      <c r="L36" s="2716"/>
      <c r="M36" s="2716"/>
      <c r="N36" s="1372"/>
      <c r="O36" s="1372"/>
      <c r="P36" s="1372"/>
      <c r="Q36" s="1372"/>
      <c r="R36" s="1372"/>
      <c r="S36" s="1372"/>
      <c r="T36" s="1372"/>
      <c r="U36" s="1372"/>
      <c r="V36" s="1372"/>
      <c r="W36" s="1372"/>
      <c r="X36" s="1372"/>
      <c r="Y36" s="1372"/>
      <c r="Z36" s="1373"/>
    </row>
    <row r="37" spans="1:37">
      <c r="A37" s="2860"/>
      <c r="B37" s="2762" t="s">
        <v>2932</v>
      </c>
      <c r="C37" s="201" t="e">
        <f>ROUND(C5*C19*C20*C24*F37,0)</f>
        <v>#DIV/0!</v>
      </c>
      <c r="D37" s="2842"/>
      <c r="E37" s="201" t="e">
        <f t="shared" si="7"/>
        <v>#DIV/0!</v>
      </c>
      <c r="F37" s="207">
        <f>SUMIF(修正!A45:A56,G2,修正!F45:F56)</f>
        <v>0</v>
      </c>
      <c r="G37" s="201" t="e">
        <f t="shared" si="6"/>
        <v>#DIV/0!</v>
      </c>
      <c r="H37" s="201">
        <f t="shared" si="8"/>
        <v>0</v>
      </c>
      <c r="I37" s="201" t="e">
        <f t="shared" si="9"/>
        <v>#DIV/0!</v>
      </c>
      <c r="J37" s="2859"/>
      <c r="K37" s="1372"/>
      <c r="L37" s="2861" t="s">
        <v>2933</v>
      </c>
      <c r="M37" s="2862"/>
      <c r="N37" s="1372"/>
      <c r="O37" s="1372"/>
      <c r="P37" s="1372"/>
      <c r="Q37" s="1372"/>
      <c r="R37" s="1372"/>
      <c r="S37" s="1372"/>
      <c r="T37" s="1372"/>
      <c r="U37" s="1372"/>
      <c r="V37" s="1372"/>
      <c r="W37" s="1372"/>
      <c r="X37" s="1372"/>
      <c r="Y37" s="1372"/>
      <c r="Z37" s="1373"/>
    </row>
    <row r="38" spans="1:37">
      <c r="A38" s="2860"/>
      <c r="B38" s="2762" t="s">
        <v>2934</v>
      </c>
      <c r="C38" s="201" t="e">
        <f>ROUND(C5*C19*C20*C24*F38,0)</f>
        <v>#DIV/0!</v>
      </c>
      <c r="D38" s="2842"/>
      <c r="E38" s="201" t="e">
        <f t="shared" si="7"/>
        <v>#DIV/0!</v>
      </c>
      <c r="F38" s="207">
        <f>SUMIF(修正!A45:A56,G2,修正!G45:G56)</f>
        <v>0</v>
      </c>
      <c r="G38" s="201" t="e">
        <f t="shared" si="6"/>
        <v>#DIV/0!</v>
      </c>
      <c r="H38" s="201">
        <f t="shared" si="8"/>
        <v>0</v>
      </c>
      <c r="I38" s="201" t="e">
        <f t="shared" si="9"/>
        <v>#DIV/0!</v>
      </c>
      <c r="J38" s="2859"/>
      <c r="K38" s="1372"/>
      <c r="L38" s="1889" t="s">
        <v>2935</v>
      </c>
      <c r="M38" s="2863">
        <v>0.25</v>
      </c>
      <c r="N38" s="1372"/>
      <c r="O38" s="1372"/>
      <c r="P38" s="1372"/>
      <c r="Q38" s="1372"/>
      <c r="R38" s="1372"/>
      <c r="S38" s="1372"/>
      <c r="T38" s="1372"/>
      <c r="U38" s="1372"/>
      <c r="V38" s="1372"/>
      <c r="W38" s="1372"/>
      <c r="X38" s="1372"/>
      <c r="Y38" s="1372"/>
      <c r="Z38" s="1373"/>
    </row>
    <row r="39" spans="1:37" ht="13.5" thickBot="1">
      <c r="A39" s="2846"/>
      <c r="B39" s="2864" t="s">
        <v>2936</v>
      </c>
      <c r="C39" s="230" t="e">
        <f>ROUND(C5*C19*C20*C24*F39,0)</f>
        <v>#DIV/0!</v>
      </c>
      <c r="D39" s="2848"/>
      <c r="E39" s="230" t="e">
        <f t="shared" si="7"/>
        <v>#DIV/0!</v>
      </c>
      <c r="F39" s="934">
        <f>SUMIF(修正!A45:A56,G2,修正!H45:H56)</f>
        <v>0</v>
      </c>
      <c r="G39" s="230" t="e">
        <f t="shared" si="6"/>
        <v>#DIV/0!</v>
      </c>
      <c r="H39" s="230">
        <f t="shared" si="8"/>
        <v>0</v>
      </c>
      <c r="I39" s="230" t="e">
        <f t="shared" si="9"/>
        <v>#DIV/0!</v>
      </c>
      <c r="J39" s="2865"/>
      <c r="K39" s="1372"/>
      <c r="L39" s="2866" t="s">
        <v>2877</v>
      </c>
      <c r="M39" s="2867">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68"/>
      <c r="Z41" s="1373"/>
      <c r="AA41" s="1373"/>
      <c r="AB41" s="1373"/>
      <c r="AC41" s="1373"/>
      <c r="AD41" s="1373"/>
      <c r="AE41" s="1373"/>
      <c r="AF41" s="1373"/>
      <c r="AG41" s="1373"/>
      <c r="AH41" s="1373"/>
      <c r="AI41" s="1373"/>
      <c r="AJ41" s="1373"/>
    </row>
    <row r="42" spans="1:37" s="1372" customFormat="1">
      <c r="A42" s="1373"/>
      <c r="B42" s="2868"/>
      <c r="Z42" s="1373"/>
      <c r="AA42" s="1373"/>
      <c r="AB42" s="1373"/>
      <c r="AC42" s="1373"/>
      <c r="AD42" s="1373"/>
      <c r="AE42" s="1373"/>
      <c r="AF42" s="1373"/>
      <c r="AG42" s="1373"/>
      <c r="AH42" s="1373"/>
      <c r="AI42" s="1373"/>
      <c r="AJ42" s="1373"/>
    </row>
    <row r="43" spans="1:37" s="1372" customFormat="1">
      <c r="A43" s="1373"/>
      <c r="B43" s="2868"/>
      <c r="Z43" s="1373"/>
      <c r="AA43" s="1373"/>
      <c r="AB43" s="1373"/>
      <c r="AC43" s="1373"/>
      <c r="AD43" s="1373"/>
      <c r="AE43" s="1373"/>
      <c r="AF43" s="1373"/>
      <c r="AG43" s="1373"/>
      <c r="AH43" s="1373"/>
      <c r="AI43" s="1373"/>
      <c r="AJ43" s="1373"/>
    </row>
    <row r="44" spans="1:37" s="1372" customFormat="1">
      <c r="A44" s="1373"/>
      <c r="B44" s="2868"/>
      <c r="Z44" s="1373"/>
      <c r="AA44" s="1373"/>
      <c r="AB44" s="1373"/>
      <c r="AC44" s="1373"/>
      <c r="AD44" s="1373"/>
      <c r="AE44" s="1373"/>
      <c r="AF44" s="1373"/>
      <c r="AG44" s="1373"/>
      <c r="AH44" s="1373"/>
      <c r="AI44" s="1373"/>
      <c r="AJ44" s="1373"/>
    </row>
    <row r="45" spans="1:37" s="1372" customFormat="1" ht="15.75" thickBot="1">
      <c r="A45" s="2869" t="s">
        <v>2937</v>
      </c>
      <c r="B45" s="2870"/>
      <c r="C45" s="7"/>
      <c r="D45" s="7"/>
      <c r="E45" s="7"/>
      <c r="F45" s="6"/>
      <c r="G45" s="6"/>
      <c r="H45" s="6"/>
      <c r="I45" s="7"/>
      <c r="J45" s="7"/>
      <c r="K45" s="7"/>
      <c r="L45" s="7"/>
      <c r="M45" s="7"/>
      <c r="N45" s="2785"/>
      <c r="Z45" s="1373"/>
      <c r="AA45" s="1373"/>
      <c r="AB45" s="1373"/>
      <c r="AC45" s="1373"/>
      <c r="AD45" s="1373"/>
      <c r="AE45" s="1373"/>
      <c r="AF45" s="1373"/>
      <c r="AG45" s="1373"/>
      <c r="AH45" s="1373"/>
      <c r="AI45" s="1373"/>
      <c r="AJ45" s="1373"/>
    </row>
    <row r="46" spans="1:37" s="1372" customFormat="1" ht="15">
      <c r="A46" s="2871" t="s">
        <v>2938</v>
      </c>
      <c r="B46" s="2872">
        <f>1+E48</f>
        <v>1</v>
      </c>
      <c r="C46" s="2873"/>
      <c r="D46" s="813"/>
      <c r="E46" s="814"/>
      <c r="F46" s="2874"/>
      <c r="G46" s="6"/>
      <c r="H46" s="7"/>
      <c r="I46" s="7"/>
      <c r="J46" s="7"/>
      <c r="K46" s="7"/>
      <c r="L46" s="7"/>
      <c r="M46" s="7"/>
      <c r="N46" s="2785"/>
      <c r="Z46" s="1373"/>
      <c r="AA46" s="1373"/>
      <c r="AB46" s="1373"/>
      <c r="AC46" s="1373"/>
      <c r="AD46" s="1373"/>
      <c r="AE46" s="1373"/>
      <c r="AF46" s="1373"/>
      <c r="AG46" s="1373"/>
      <c r="AH46" s="1373"/>
      <c r="AI46" s="1373"/>
      <c r="AJ46" s="1373"/>
    </row>
    <row r="47" spans="1:37" s="1372" customFormat="1" ht="24.75">
      <c r="A47" s="2875" t="s">
        <v>2939</v>
      </c>
      <c r="B47" s="1812" t="s">
        <v>2940</v>
      </c>
      <c r="C47" s="1812" t="s">
        <v>2941</v>
      </c>
      <c r="D47" s="1812" t="s">
        <v>2942</v>
      </c>
      <c r="E47" s="818" t="s">
        <v>2943</v>
      </c>
      <c r="F47" s="2876" t="s">
        <v>2944</v>
      </c>
      <c r="G47" s="1812" t="s">
        <v>754</v>
      </c>
      <c r="H47" s="2877" t="s">
        <v>2945</v>
      </c>
      <c r="I47" s="1812" t="s">
        <v>2946</v>
      </c>
      <c r="J47" s="604" t="s">
        <v>2593</v>
      </c>
      <c r="K47" s="604" t="s">
        <v>2594</v>
      </c>
      <c r="L47" s="604" t="s">
        <v>2595</v>
      </c>
      <c r="M47" s="604" t="s">
        <v>2596</v>
      </c>
      <c r="N47" s="604" t="s">
        <v>2597</v>
      </c>
      <c r="AA47" s="1373"/>
      <c r="AB47" s="1373"/>
      <c r="AC47" s="1373"/>
      <c r="AD47" s="1373"/>
      <c r="AE47" s="1373"/>
      <c r="AF47" s="1373"/>
      <c r="AG47" s="1373"/>
      <c r="AH47" s="1373"/>
      <c r="AI47" s="1373"/>
      <c r="AJ47" s="1373"/>
      <c r="AK47" s="1373"/>
    </row>
    <row r="48" spans="1:37" s="1372" customFormat="1" ht="38.25">
      <c r="A48" s="2875" t="s">
        <v>2947</v>
      </c>
      <c r="B48" s="2878" t="str">
        <f>估价对象房地状况!C4</f>
        <v>估价对象位于XX商圈，周边商业氛围成熟，人流量大，商业繁华度好</v>
      </c>
      <c r="C48" s="2767"/>
      <c r="D48" s="1288">
        <f t="shared" ref="D48:D56" si="10">SUMIF($J$47:$N$47,C48,J48:N48)</f>
        <v>0</v>
      </c>
      <c r="E48" s="820">
        <f>ROUND(SUM(D48:D56),4)</f>
        <v>0</v>
      </c>
      <c r="F48" s="2498"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5" t="s">
        <v>2948</v>
      </c>
      <c r="B49" s="2879" t="str">
        <f>估价对象房地状况!C18</f>
        <v>估价对象周边道路状况、公共交通通达情况、停车便捷程度，综合评价交通便捷度较好</v>
      </c>
      <c r="C49" s="2767"/>
      <c r="D49" s="1288">
        <f t="shared" si="10"/>
        <v>0</v>
      </c>
      <c r="E49" s="821"/>
      <c r="F49" s="2498"/>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5" t="s">
        <v>2949</v>
      </c>
      <c r="B50" s="2879">
        <f>估价对象房地状况!C19</f>
        <v>0</v>
      </c>
      <c r="C50" s="2767"/>
      <c r="D50" s="1288">
        <f t="shared" si="10"/>
        <v>0</v>
      </c>
      <c r="E50" s="821"/>
      <c r="F50" s="2498"/>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5" t="s">
        <v>2950</v>
      </c>
      <c r="B51" s="2880" t="s">
        <v>2951</v>
      </c>
      <c r="C51" s="2767"/>
      <c r="D51" s="1288">
        <f t="shared" si="10"/>
        <v>0</v>
      </c>
      <c r="E51" s="821"/>
      <c r="F51" s="2498"/>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5" t="s">
        <v>2952</v>
      </c>
      <c r="B52" s="2879">
        <f>估价对象房地状况!C24</f>
        <v>0</v>
      </c>
      <c r="C52" s="2767"/>
      <c r="D52" s="1288">
        <f t="shared" si="10"/>
        <v>0</v>
      </c>
      <c r="E52" s="821"/>
      <c r="F52" s="2498"/>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5" t="s">
        <v>2953</v>
      </c>
      <c r="B53" s="2881" t="s">
        <v>2954</v>
      </c>
      <c r="C53" s="2767"/>
      <c r="D53" s="1288">
        <f t="shared" si="10"/>
        <v>0</v>
      </c>
      <c r="E53" s="821"/>
      <c r="F53" s="2498"/>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2" t="s">
        <v>2955</v>
      </c>
      <c r="B54" s="1728" t="str">
        <f>估价对象房地状况!C21</f>
        <v>估价对象所在区域公共配套设施齐备情况</v>
      </c>
      <c r="C54" s="2767"/>
      <c r="D54" s="1288">
        <f t="shared" si="10"/>
        <v>0</v>
      </c>
      <c r="E54" s="821"/>
      <c r="F54" s="2498"/>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2" t="s">
        <v>2956</v>
      </c>
      <c r="B55" s="2879" t="str">
        <f>估价对象房地状况!C22</f>
        <v>估价对象所在区域基础设施水平</v>
      </c>
      <c r="C55" s="2767"/>
      <c r="D55" s="1288">
        <f t="shared" si="10"/>
        <v>0</v>
      </c>
      <c r="E55" s="821"/>
      <c r="F55" s="2498"/>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3" t="s">
        <v>2957</v>
      </c>
      <c r="B56" s="2884" t="str">
        <f>估价对象房地状况!C20</f>
        <v>区域自然环境：；人文环境；综合评价环境状况一般</v>
      </c>
      <c r="C56" s="2767"/>
      <c r="D56" s="1288">
        <f t="shared" si="10"/>
        <v>0</v>
      </c>
      <c r="E56" s="824"/>
      <c r="F56" s="2498"/>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1" t="s">
        <v>2958</v>
      </c>
      <c r="B57" s="2872">
        <f>1+E59</f>
        <v>1</v>
      </c>
      <c r="C57" s="813"/>
      <c r="D57" s="813"/>
      <c r="E57" s="814"/>
      <c r="F57" s="2874"/>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5" t="s">
        <v>2939</v>
      </c>
      <c r="B58" s="1812"/>
      <c r="C58" s="1812" t="s">
        <v>2941</v>
      </c>
      <c r="D58" s="1812" t="s">
        <v>2942</v>
      </c>
      <c r="E58" s="818" t="s">
        <v>2943</v>
      </c>
      <c r="F58" s="2876" t="s">
        <v>2959</v>
      </c>
      <c r="G58" s="1812" t="s">
        <v>754</v>
      </c>
      <c r="H58" s="2877" t="s">
        <v>2945</v>
      </c>
      <c r="I58" s="1812" t="s">
        <v>2946</v>
      </c>
      <c r="J58" s="604" t="s">
        <v>2593</v>
      </c>
      <c r="K58" s="604" t="s">
        <v>2594</v>
      </c>
      <c r="L58" s="604" t="s">
        <v>2595</v>
      </c>
      <c r="M58" s="604" t="s">
        <v>2596</v>
      </c>
      <c r="N58" s="604" t="s">
        <v>2597</v>
      </c>
      <c r="AA58" s="1373"/>
      <c r="AB58" s="1373"/>
      <c r="AC58" s="1373"/>
      <c r="AD58" s="1373"/>
      <c r="AE58" s="1373"/>
      <c r="AF58" s="1373"/>
      <c r="AG58" s="1373"/>
      <c r="AH58" s="1373"/>
      <c r="AI58" s="1373"/>
      <c r="AJ58" s="1373"/>
      <c r="AK58" s="1373"/>
    </row>
    <row r="59" spans="1:37" s="1372" customFormat="1" ht="38.25">
      <c r="A59" s="2875" t="s">
        <v>2960</v>
      </c>
      <c r="B59" s="2878" t="str">
        <f>估价对象房地状况!C17</f>
        <v>估价对象位于XX商圈，周边办公楼项目较多，入驻率高，办公集聚程度较好</v>
      </c>
      <c r="C59" s="2767"/>
      <c r="D59" s="1288">
        <f t="shared" ref="D59:D67" si="15">SUMIF($J$58:$N$58,C59,J59:N59)</f>
        <v>0</v>
      </c>
      <c r="E59" s="820">
        <f>ROUND(SUM(D59:D67),4)</f>
        <v>0</v>
      </c>
      <c r="F59" s="2498"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75" t="s">
        <v>2948</v>
      </c>
      <c r="B60" s="2879" t="str">
        <f>估价对象房地状况!C18</f>
        <v>估价对象周边道路状况、公共交通通达情况、停车便捷程度，综合评价交通便捷度较好</v>
      </c>
      <c r="C60" s="2767"/>
      <c r="D60" s="1288">
        <f t="shared" si="15"/>
        <v>0</v>
      </c>
      <c r="E60" s="821"/>
      <c r="F60" s="2498"/>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5" t="s">
        <v>2949</v>
      </c>
      <c r="B61" s="2879">
        <f>估价对象房地状况!C19</f>
        <v>0</v>
      </c>
      <c r="C61" s="2767"/>
      <c r="D61" s="1288">
        <f t="shared" si="15"/>
        <v>0</v>
      </c>
      <c r="E61" s="821"/>
      <c r="F61" s="2498"/>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5" t="s">
        <v>2950</v>
      </c>
      <c r="B62" s="2880" t="s">
        <v>2951</v>
      </c>
      <c r="C62" s="2767"/>
      <c r="D62" s="1288">
        <f t="shared" si="15"/>
        <v>0</v>
      </c>
      <c r="E62" s="821"/>
      <c r="F62" s="2498"/>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5" t="s">
        <v>2952</v>
      </c>
      <c r="B63" s="2879">
        <f>估价对象房地状况!C24</f>
        <v>0</v>
      </c>
      <c r="C63" s="2767"/>
      <c r="D63" s="1288">
        <f t="shared" si="15"/>
        <v>0</v>
      </c>
      <c r="E63" s="821"/>
      <c r="F63" s="2498"/>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5" t="s">
        <v>2953</v>
      </c>
      <c r="B64" s="2881" t="s">
        <v>2954</v>
      </c>
      <c r="C64" s="2767"/>
      <c r="D64" s="1288">
        <f t="shared" si="15"/>
        <v>0</v>
      </c>
      <c r="E64" s="821"/>
      <c r="F64" s="2498"/>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75" t="s">
        <v>2955</v>
      </c>
      <c r="B65" s="1728" t="str">
        <f>估价对象房地状况!C21</f>
        <v>估价对象所在区域公共配套设施齐备情况</v>
      </c>
      <c r="C65" s="2767"/>
      <c r="D65" s="1288">
        <f t="shared" si="15"/>
        <v>0</v>
      </c>
      <c r="E65" s="821"/>
      <c r="F65" s="2498"/>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75" t="s">
        <v>2956</v>
      </c>
      <c r="B66" s="1728" t="str">
        <f>估价对象房地状况!C22</f>
        <v>估价对象所在区域基础设施水平</v>
      </c>
      <c r="C66" s="2767"/>
      <c r="D66" s="1288">
        <f t="shared" si="15"/>
        <v>0</v>
      </c>
      <c r="E66" s="821"/>
      <c r="F66" s="2498"/>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3" t="s">
        <v>2957</v>
      </c>
      <c r="B67" s="2885" t="str">
        <f>估价对象房地状况!C20</f>
        <v>区域自然环境：；人文环境；综合评价环境状况一般</v>
      </c>
      <c r="C67" s="2767"/>
      <c r="D67" s="1288">
        <f t="shared" si="15"/>
        <v>0</v>
      </c>
      <c r="E67" s="824"/>
      <c r="F67" s="2498"/>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1" t="s">
        <v>2961</v>
      </c>
      <c r="B68" s="2872">
        <f>1+E70</f>
        <v>1</v>
      </c>
      <c r="C68" s="813"/>
      <c r="D68" s="813"/>
      <c r="E68" s="814"/>
      <c r="F68" s="2874"/>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5" t="s">
        <v>2939</v>
      </c>
      <c r="B69" s="1812"/>
      <c r="C69" s="1812" t="s">
        <v>2941</v>
      </c>
      <c r="D69" s="1812" t="s">
        <v>2942</v>
      </c>
      <c r="E69" s="818" t="s">
        <v>2943</v>
      </c>
      <c r="F69" s="2876" t="s">
        <v>2959</v>
      </c>
      <c r="G69" s="1812" t="s">
        <v>754</v>
      </c>
      <c r="H69" s="2877" t="s">
        <v>2945</v>
      </c>
      <c r="I69" s="1812" t="s">
        <v>2946</v>
      </c>
      <c r="J69" s="604" t="s">
        <v>2593</v>
      </c>
      <c r="K69" s="604" t="s">
        <v>2594</v>
      </c>
      <c r="L69" s="604" t="s">
        <v>2595</v>
      </c>
      <c r="M69" s="604" t="s">
        <v>2596</v>
      </c>
      <c r="N69" s="604" t="s">
        <v>2597</v>
      </c>
      <c r="AA69" s="1373"/>
      <c r="AB69" s="1373"/>
      <c r="AC69" s="1373"/>
      <c r="AD69" s="1373"/>
      <c r="AE69" s="1373"/>
      <c r="AF69" s="1373"/>
      <c r="AG69" s="1373"/>
      <c r="AH69" s="1373"/>
      <c r="AI69" s="1373"/>
      <c r="AJ69" s="1373"/>
      <c r="AK69" s="1373"/>
    </row>
    <row r="70" spans="1:37" s="1372" customFormat="1" ht="51">
      <c r="A70" s="2875" t="s">
        <v>2962</v>
      </c>
      <c r="B70" s="2878" t="str">
        <f>估价对象房地状况!C15</f>
        <v>估价对象周边居住用地比例、居住小区规模和社区发展完善程度，综合评价居住社区成熟度一般</v>
      </c>
      <c r="C70" s="2767"/>
      <c r="D70" s="1288">
        <f t="shared" ref="D70:D78" si="20">SUMIF($J$69:$N$69,C70,J70:N70)</f>
        <v>0</v>
      </c>
      <c r="E70" s="820">
        <f>ROUND(SUM(D70:D78),4)</f>
        <v>0</v>
      </c>
      <c r="F70" s="2498"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5" t="s">
        <v>2948</v>
      </c>
      <c r="B71" s="2879" t="str">
        <f>估价对象房地状况!C18</f>
        <v>估价对象周边道路状况、公共交通通达情况、停车便捷程度，综合评价交通便捷度较好</v>
      </c>
      <c r="C71" s="2767"/>
      <c r="D71" s="1288">
        <f t="shared" si="20"/>
        <v>0</v>
      </c>
      <c r="E71" s="825"/>
      <c r="F71" s="2498"/>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5" t="s">
        <v>2949</v>
      </c>
      <c r="B72" s="2879">
        <f>估价对象房地状况!C19</f>
        <v>0</v>
      </c>
      <c r="C72" s="2767"/>
      <c r="D72" s="1288">
        <f t="shared" si="20"/>
        <v>0</v>
      </c>
      <c r="E72" s="825"/>
      <c r="F72" s="2498"/>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5" t="s">
        <v>2963</v>
      </c>
      <c r="B73" s="2879">
        <f>估价对象房地状况!C24</f>
        <v>0</v>
      </c>
      <c r="C73" s="2767"/>
      <c r="D73" s="1288">
        <f t="shared" si="20"/>
        <v>0</v>
      </c>
      <c r="E73" s="825"/>
      <c r="F73" s="2498"/>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5" t="s">
        <v>2955</v>
      </c>
      <c r="B74" s="1728" t="str">
        <f>估价对象房地状况!C21</f>
        <v>估价对象所在区域公共配套设施齐备情况</v>
      </c>
      <c r="C74" s="2767"/>
      <c r="D74" s="1288">
        <f t="shared" si="20"/>
        <v>0</v>
      </c>
      <c r="E74" s="825"/>
      <c r="F74" s="2498"/>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5" t="s">
        <v>2956</v>
      </c>
      <c r="B75" s="1728" t="str">
        <f>估价对象房地状况!C22</f>
        <v>估价对象所在区域基础设施水平</v>
      </c>
      <c r="C75" s="2767"/>
      <c r="D75" s="1288">
        <f t="shared" si="20"/>
        <v>0</v>
      </c>
      <c r="E75" s="825"/>
      <c r="F75" s="2498"/>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6" customFormat="1" ht="24">
      <c r="A76" s="2875" t="s">
        <v>2953</v>
      </c>
      <c r="B76" s="2881" t="s">
        <v>2954</v>
      </c>
      <c r="C76" s="2767"/>
      <c r="D76" s="1288">
        <f t="shared" si="20"/>
        <v>0</v>
      </c>
      <c r="E76" s="825"/>
      <c r="F76" s="2498"/>
      <c r="G76" s="1286"/>
      <c r="H76" s="1290" t="str">
        <f t="shared" si="21"/>
        <v>——</v>
      </c>
      <c r="I76" s="819">
        <v>0.05</v>
      </c>
      <c r="J76" s="1287">
        <f t="shared" si="22"/>
        <v>0</v>
      </c>
      <c r="K76" s="1287">
        <f t="shared" si="23"/>
        <v>0</v>
      </c>
      <c r="L76" s="1287">
        <v>0</v>
      </c>
      <c r="M76" s="1287">
        <f t="shared" si="24"/>
        <v>0</v>
      </c>
      <c r="N76" s="1287">
        <f t="shared" si="24"/>
        <v>0</v>
      </c>
      <c r="AA76" s="2886"/>
      <c r="AB76" s="1373"/>
      <c r="AC76" s="1373"/>
      <c r="AD76" s="1373"/>
      <c r="AE76" s="1373"/>
      <c r="AF76" s="1373"/>
      <c r="AG76" s="1373"/>
      <c r="AH76" s="2886"/>
      <c r="AI76" s="2886"/>
      <c r="AJ76" s="2886"/>
      <c r="AK76" s="2886"/>
    </row>
    <row r="77" spans="1:37" ht="38.25">
      <c r="A77" s="2875" t="s">
        <v>2957</v>
      </c>
      <c r="B77" s="2878" t="str">
        <f>估价对象房地状况!C20</f>
        <v>区域自然环境：；人文环境；综合评价环境状况一般</v>
      </c>
      <c r="C77" s="2767"/>
      <c r="D77" s="1288">
        <f t="shared" si="20"/>
        <v>0</v>
      </c>
      <c r="E77" s="825"/>
      <c r="F77" s="2498"/>
      <c r="G77" s="1286"/>
      <c r="H77" s="1290" t="str">
        <f t="shared" si="21"/>
        <v>——</v>
      </c>
      <c r="I77" s="819">
        <v>0.15</v>
      </c>
      <c r="J77" s="1287">
        <f t="shared" si="22"/>
        <v>0</v>
      </c>
      <c r="K77" s="1287">
        <f t="shared" si="23"/>
        <v>0</v>
      </c>
      <c r="L77" s="1287">
        <v>0</v>
      </c>
      <c r="M77" s="1287">
        <f t="shared" si="24"/>
        <v>0</v>
      </c>
      <c r="N77" s="1287">
        <f t="shared" si="24"/>
        <v>0</v>
      </c>
      <c r="Z77" s="2717"/>
      <c r="AA77" s="2793"/>
      <c r="AG77" s="1374"/>
      <c r="AK77" s="2793"/>
    </row>
    <row r="78" spans="1:37" ht="24.75" thickBot="1">
      <c r="A78" s="2883" t="s">
        <v>2964</v>
      </c>
      <c r="B78" s="2887"/>
      <c r="C78" s="2767"/>
      <c r="D78" s="1288">
        <f t="shared" si="20"/>
        <v>0</v>
      </c>
      <c r="E78" s="826"/>
      <c r="F78" s="2498"/>
      <c r="G78" s="1286"/>
      <c r="H78" s="1290" t="str">
        <f t="shared" si="21"/>
        <v>——</v>
      </c>
      <c r="I78" s="823">
        <v>0.04</v>
      </c>
      <c r="J78" s="1287">
        <f t="shared" si="22"/>
        <v>0</v>
      </c>
      <c r="K78" s="1287">
        <f t="shared" si="23"/>
        <v>0</v>
      </c>
      <c r="L78" s="1287">
        <v>0</v>
      </c>
      <c r="M78" s="1287">
        <f t="shared" si="24"/>
        <v>0</v>
      </c>
      <c r="N78" s="1287">
        <f t="shared" si="24"/>
        <v>0</v>
      </c>
      <c r="Z78" s="2717"/>
      <c r="AA78" s="2793"/>
      <c r="AG78" s="1374"/>
      <c r="AK78" s="2793"/>
    </row>
    <row r="79" spans="1:37" ht="15">
      <c r="A79" s="2871" t="s">
        <v>2965</v>
      </c>
      <c r="B79" s="2872">
        <f>1+E81</f>
        <v>1</v>
      </c>
      <c r="C79" s="813"/>
      <c r="D79" s="813"/>
      <c r="E79" s="814"/>
      <c r="F79" s="2874"/>
      <c r="G79" s="6"/>
      <c r="H79" s="6"/>
      <c r="I79" s="6"/>
      <c r="J79" s="7"/>
      <c r="K79" s="7"/>
      <c r="L79" s="7"/>
      <c r="M79" s="7"/>
      <c r="N79" s="7"/>
      <c r="Z79" s="2717"/>
      <c r="AA79" s="2793"/>
      <c r="AG79" s="1374"/>
      <c r="AK79" s="2793"/>
    </row>
    <row r="80" spans="1:37" ht="24.75">
      <c r="A80" s="2875" t="s">
        <v>2939</v>
      </c>
      <c r="B80" s="1812"/>
      <c r="C80" s="1812" t="s">
        <v>2941</v>
      </c>
      <c r="D80" s="1812" t="s">
        <v>2942</v>
      </c>
      <c r="E80" s="818" t="s">
        <v>2943</v>
      </c>
      <c r="F80" s="2876" t="s">
        <v>2959</v>
      </c>
      <c r="G80" s="1812" t="s">
        <v>754</v>
      </c>
      <c r="H80" s="2877" t="s">
        <v>2945</v>
      </c>
      <c r="I80" s="1812" t="s">
        <v>2946</v>
      </c>
      <c r="J80" s="604" t="s">
        <v>2593</v>
      </c>
      <c r="K80" s="604" t="s">
        <v>2594</v>
      </c>
      <c r="L80" s="604" t="s">
        <v>2595</v>
      </c>
      <c r="M80" s="604" t="s">
        <v>2596</v>
      </c>
      <c r="N80" s="604" t="s">
        <v>2597</v>
      </c>
      <c r="Z80" s="2717"/>
      <c r="AA80" s="2793"/>
      <c r="AG80" s="1374"/>
      <c r="AK80" s="2793"/>
    </row>
    <row r="81" spans="1:37" ht="38.25">
      <c r="A81" s="2875" t="s">
        <v>2966</v>
      </c>
      <c r="B81" s="2879" t="str">
        <f>估价对象房地状况!G15</f>
        <v>估价对象位于XX开发区，园区建设成熟度XX，产业集聚程度XX</v>
      </c>
      <c r="C81" s="2767"/>
      <c r="D81" s="1288">
        <f t="shared" ref="D81:D88" si="25">SUMIF($J$80:$N$80,C81,J81:N81)</f>
        <v>0</v>
      </c>
      <c r="E81" s="820">
        <f>ROUND(SUM(D81:D88),4)</f>
        <v>0</v>
      </c>
      <c r="F81" s="2498"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17"/>
      <c r="AA81" s="2793"/>
      <c r="AG81" s="1374"/>
      <c r="AK81" s="2793"/>
    </row>
    <row r="82" spans="1:37" ht="51">
      <c r="A82" s="2875" t="s">
        <v>2948</v>
      </c>
      <c r="B82" s="2879" t="str">
        <f>估价对象房地状况!G16</f>
        <v>估价对象周边道路状况、公共交通通达情况、停车便捷程度，综合评价交通便捷度较好</v>
      </c>
      <c r="C82" s="2767"/>
      <c r="D82" s="1288">
        <f t="shared" si="25"/>
        <v>0</v>
      </c>
      <c r="E82" s="825"/>
      <c r="F82" s="2498"/>
      <c r="G82" s="1286"/>
      <c r="H82" s="1290" t="str">
        <f t="shared" si="26"/>
        <v>——</v>
      </c>
      <c r="I82" s="819">
        <v>0.33</v>
      </c>
      <c r="J82" s="1287">
        <f t="shared" si="27"/>
        <v>0</v>
      </c>
      <c r="K82" s="1287">
        <f t="shared" si="28"/>
        <v>0</v>
      </c>
      <c r="L82" s="1287">
        <v>0</v>
      </c>
      <c r="M82" s="1287">
        <f t="shared" si="29"/>
        <v>0</v>
      </c>
      <c r="N82" s="1287">
        <f t="shared" si="29"/>
        <v>0</v>
      </c>
      <c r="Z82" s="2717"/>
      <c r="AA82" s="2793"/>
      <c r="AG82" s="1374"/>
      <c r="AK82" s="2793"/>
    </row>
    <row r="83" spans="1:37" ht="24">
      <c r="A83" s="2875" t="s">
        <v>2949</v>
      </c>
      <c r="B83" s="2879">
        <f>估价对象房地状况!G17</f>
        <v>0</v>
      </c>
      <c r="C83" s="2767"/>
      <c r="D83" s="1288">
        <f t="shared" si="25"/>
        <v>0</v>
      </c>
      <c r="E83" s="825"/>
      <c r="F83" s="2498"/>
      <c r="G83" s="1286"/>
      <c r="H83" s="1290" t="str">
        <f t="shared" si="26"/>
        <v>——</v>
      </c>
      <c r="I83" s="819">
        <v>0.05</v>
      </c>
      <c r="J83" s="1287">
        <f t="shared" si="27"/>
        <v>0</v>
      </c>
      <c r="K83" s="1287">
        <f t="shared" si="28"/>
        <v>0</v>
      </c>
      <c r="L83" s="1287">
        <v>0</v>
      </c>
      <c r="M83" s="1287">
        <f t="shared" si="29"/>
        <v>0</v>
      </c>
      <c r="N83" s="1287">
        <f t="shared" si="29"/>
        <v>0</v>
      </c>
      <c r="Z83" s="2717"/>
      <c r="AA83" s="2793"/>
      <c r="AG83" s="1374"/>
      <c r="AK83" s="2793"/>
    </row>
    <row r="84" spans="1:37" ht="14.25">
      <c r="A84" s="2875" t="s">
        <v>2963</v>
      </c>
      <c r="B84" s="2879">
        <f>估价对象房地状况!G22</f>
        <v>0</v>
      </c>
      <c r="C84" s="2767"/>
      <c r="D84" s="1288">
        <f t="shared" si="25"/>
        <v>0</v>
      </c>
      <c r="E84" s="825"/>
      <c r="F84" s="2498"/>
      <c r="G84" s="1286"/>
      <c r="H84" s="1290" t="str">
        <f t="shared" si="26"/>
        <v>——</v>
      </c>
      <c r="I84" s="819">
        <v>0.04</v>
      </c>
      <c r="J84" s="1287">
        <f t="shared" si="27"/>
        <v>0</v>
      </c>
      <c r="K84" s="1287">
        <f t="shared" si="28"/>
        <v>0</v>
      </c>
      <c r="L84" s="1287">
        <v>0</v>
      </c>
      <c r="M84" s="1287">
        <f t="shared" si="29"/>
        <v>0</v>
      </c>
      <c r="N84" s="1287">
        <f t="shared" si="29"/>
        <v>0</v>
      </c>
      <c r="Z84" s="2717"/>
      <c r="AA84" s="2793"/>
      <c r="AG84" s="1374"/>
      <c r="AK84" s="2793"/>
    </row>
    <row r="85" spans="1:37" ht="25.5">
      <c r="A85" s="2875" t="s">
        <v>2955</v>
      </c>
      <c r="B85" s="1728" t="str">
        <f>估价对象房地状况!G19</f>
        <v>估价对象所在区域公共配套设施齐备情况</v>
      </c>
      <c r="C85" s="2767"/>
      <c r="D85" s="1288">
        <f t="shared" si="25"/>
        <v>0</v>
      </c>
      <c r="E85" s="825"/>
      <c r="F85" s="2498"/>
      <c r="G85" s="1286"/>
      <c r="H85" s="1290" t="str">
        <f t="shared" si="26"/>
        <v>——</v>
      </c>
      <c r="I85" s="819">
        <v>0.06</v>
      </c>
      <c r="J85" s="1287">
        <f t="shared" si="27"/>
        <v>0</v>
      </c>
      <c r="K85" s="1287">
        <f t="shared" si="28"/>
        <v>0</v>
      </c>
      <c r="L85" s="1287">
        <v>0</v>
      </c>
      <c r="M85" s="1287">
        <f t="shared" si="29"/>
        <v>0</v>
      </c>
      <c r="N85" s="1287">
        <f t="shared" si="29"/>
        <v>0</v>
      </c>
      <c r="Z85" s="2717"/>
      <c r="AA85" s="2793"/>
      <c r="AG85" s="1374"/>
      <c r="AK85" s="2793"/>
    </row>
    <row r="86" spans="1:37" ht="25.5">
      <c r="A86" s="2875" t="s">
        <v>2956</v>
      </c>
      <c r="B86" s="1728" t="str">
        <f>估价对象房地状况!G20</f>
        <v>估价对象所在区域基础设施水平</v>
      </c>
      <c r="C86" s="2767"/>
      <c r="D86" s="1288">
        <f t="shared" si="25"/>
        <v>0</v>
      </c>
      <c r="E86" s="825"/>
      <c r="F86" s="2498"/>
      <c r="G86" s="1286"/>
      <c r="H86" s="1290" t="str">
        <f t="shared" si="26"/>
        <v>——</v>
      </c>
      <c r="I86" s="819">
        <v>0.15</v>
      </c>
      <c r="J86" s="1287">
        <f t="shared" si="27"/>
        <v>0</v>
      </c>
      <c r="K86" s="1287">
        <f t="shared" si="28"/>
        <v>0</v>
      </c>
      <c r="L86" s="1287">
        <v>0</v>
      </c>
      <c r="M86" s="1287">
        <f t="shared" si="29"/>
        <v>0</v>
      </c>
      <c r="N86" s="1287">
        <f t="shared" si="29"/>
        <v>0</v>
      </c>
      <c r="Z86" s="2717"/>
      <c r="AA86" s="2793"/>
      <c r="AG86" s="1374"/>
      <c r="AK86" s="2793"/>
    </row>
    <row r="87" spans="1:37" ht="24">
      <c r="A87" s="2875" t="s">
        <v>2953</v>
      </c>
      <c r="B87" s="2881" t="s">
        <v>2967</v>
      </c>
      <c r="C87" s="2767"/>
      <c r="D87" s="1288">
        <f t="shared" si="25"/>
        <v>0</v>
      </c>
      <c r="E87" s="825"/>
      <c r="F87" s="2498"/>
      <c r="G87" s="1286"/>
      <c r="H87" s="1290" t="str">
        <f t="shared" si="26"/>
        <v>——</v>
      </c>
      <c r="I87" s="819">
        <v>0.05</v>
      </c>
      <c r="J87" s="1287">
        <f t="shared" si="27"/>
        <v>0</v>
      </c>
      <c r="K87" s="1287">
        <f t="shared" si="28"/>
        <v>0</v>
      </c>
      <c r="L87" s="1287">
        <v>0</v>
      </c>
      <c r="M87" s="1287">
        <f t="shared" si="29"/>
        <v>0</v>
      </c>
      <c r="N87" s="1287">
        <f t="shared" si="29"/>
        <v>0</v>
      </c>
      <c r="Z87" s="2717"/>
      <c r="AA87" s="2793"/>
      <c r="AG87" s="1374"/>
      <c r="AK87" s="2793"/>
    </row>
    <row r="88" spans="1:37" ht="39" thickBot="1">
      <c r="A88" s="2883" t="s">
        <v>2968</v>
      </c>
      <c r="B88" s="2888" t="str">
        <f>估价对象房地状况!G18</f>
        <v>该园区内是否有污染型企业，绿化情况，卫生条件，整体环境状况判断</v>
      </c>
      <c r="C88" s="2767"/>
      <c r="D88" s="1288">
        <f t="shared" si="25"/>
        <v>0</v>
      </c>
      <c r="E88" s="826"/>
      <c r="F88" s="2498"/>
      <c r="G88" s="1286"/>
      <c r="H88" s="1290" t="str">
        <f t="shared" si="26"/>
        <v>——</v>
      </c>
      <c r="I88" s="823">
        <v>0.06</v>
      </c>
      <c r="J88" s="1287">
        <f t="shared" si="27"/>
        <v>0</v>
      </c>
      <c r="K88" s="1287">
        <f t="shared" si="28"/>
        <v>0</v>
      </c>
      <c r="L88" s="1287">
        <v>0</v>
      </c>
      <c r="M88" s="1287">
        <f t="shared" si="29"/>
        <v>0</v>
      </c>
      <c r="N88" s="1287">
        <f t="shared" si="29"/>
        <v>0</v>
      </c>
      <c r="Z88" s="2717"/>
      <c r="AA88" s="2793"/>
      <c r="AG88" s="1374"/>
      <c r="AK88" s="2793"/>
    </row>
    <row r="90" spans="1:37">
      <c r="A90" s="3381" t="s">
        <v>2969</v>
      </c>
      <c r="B90" s="3381"/>
      <c r="C90" s="3381"/>
      <c r="D90" s="3381"/>
      <c r="E90" s="3381"/>
      <c r="F90" s="3381"/>
      <c r="G90" s="3381"/>
      <c r="H90" s="3381"/>
      <c r="I90" s="3381"/>
      <c r="J90" s="3381"/>
      <c r="K90" s="2889"/>
      <c r="L90" s="2889"/>
      <c r="M90" s="2889"/>
      <c r="N90" s="2889"/>
    </row>
    <row r="91" spans="1:37">
      <c r="A91" s="3383" t="s">
        <v>2970</v>
      </c>
      <c r="B91" s="3383" t="s">
        <v>2971</v>
      </c>
      <c r="C91" s="2843" t="s">
        <v>2972</v>
      </c>
      <c r="D91" s="2844"/>
      <c r="E91" s="2844"/>
      <c r="F91" s="2844"/>
      <c r="G91" s="2844"/>
      <c r="H91" s="2844"/>
      <c r="I91" s="2844"/>
      <c r="J91" s="2890"/>
      <c r="K91" s="2891"/>
      <c r="L91" s="2891"/>
      <c r="M91" s="2891"/>
      <c r="N91" s="2891"/>
    </row>
    <row r="92" spans="1:37">
      <c r="A92" s="3383"/>
      <c r="B92" s="3383"/>
      <c r="C92" s="944" t="s">
        <v>2836</v>
      </c>
      <c r="D92" s="944" t="s">
        <v>2837</v>
      </c>
      <c r="E92" s="944" t="s">
        <v>2838</v>
      </c>
      <c r="F92" s="944" t="s">
        <v>2839</v>
      </c>
      <c r="G92" s="944" t="s">
        <v>2840</v>
      </c>
      <c r="H92" s="944" t="s">
        <v>2841</v>
      </c>
      <c r="I92" s="944" t="s">
        <v>2842</v>
      </c>
      <c r="J92" s="944" t="s">
        <v>2843</v>
      </c>
      <c r="K92" s="944" t="s">
        <v>2844</v>
      </c>
      <c r="L92" s="944" t="s">
        <v>2845</v>
      </c>
      <c r="M92" s="944" t="s">
        <v>2846</v>
      </c>
      <c r="N92" s="944" t="s">
        <v>2847</v>
      </c>
    </row>
    <row r="93" spans="1:37">
      <c r="A93" s="3384" t="s">
        <v>2973</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385"/>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385"/>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385"/>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385"/>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385"/>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385"/>
      <c r="B99" s="2892" t="s">
        <v>2852</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386"/>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384" t="s">
        <v>2974</v>
      </c>
      <c r="B101" s="2896" t="s">
        <v>2975</v>
      </c>
      <c r="C101" s="2897">
        <f>$G$3</f>
        <v>3.5</v>
      </c>
      <c r="D101" s="2897">
        <f t="shared" ref="D101:N101" si="31">$G$3</f>
        <v>3.5</v>
      </c>
      <c r="E101" s="2897">
        <f t="shared" si="31"/>
        <v>3.5</v>
      </c>
      <c r="F101" s="2897">
        <f t="shared" si="31"/>
        <v>3.5</v>
      </c>
      <c r="G101" s="2897">
        <f t="shared" si="31"/>
        <v>3.5</v>
      </c>
      <c r="H101" s="2897">
        <f t="shared" si="31"/>
        <v>3.5</v>
      </c>
      <c r="I101" s="2897">
        <f t="shared" si="31"/>
        <v>3.5</v>
      </c>
      <c r="J101" s="2897">
        <f t="shared" si="31"/>
        <v>3.5</v>
      </c>
      <c r="K101" s="2897">
        <f t="shared" si="31"/>
        <v>3.5</v>
      </c>
      <c r="L101" s="2897">
        <f t="shared" si="31"/>
        <v>3.5</v>
      </c>
      <c r="M101" s="2897">
        <f t="shared" si="31"/>
        <v>3.5</v>
      </c>
      <c r="N101" s="2897">
        <f t="shared" si="31"/>
        <v>3.5</v>
      </c>
    </row>
    <row r="102" spans="1:14">
      <c r="A102" s="3385"/>
      <c r="B102" s="2892">
        <v>1</v>
      </c>
      <c r="C102" s="2893">
        <f>1.9362/C101</f>
        <v>0.55320000000000003</v>
      </c>
      <c r="D102" s="2893">
        <f>1.9362/D101</f>
        <v>0.55320000000000003</v>
      </c>
      <c r="E102" s="2893">
        <f>1.8629/E101</f>
        <v>0.53225714285714287</v>
      </c>
      <c r="F102" s="2893">
        <f>1.8629/F101</f>
        <v>0.53225714285714287</v>
      </c>
      <c r="G102" s="2893">
        <f>1.8629/G101</f>
        <v>0.53225714285714287</v>
      </c>
      <c r="H102" s="2893">
        <f>1.8629/H101</f>
        <v>0.53225714285714287</v>
      </c>
      <c r="I102" s="2893">
        <f>1.8629/I101</f>
        <v>0.53225714285714287</v>
      </c>
      <c r="J102" s="2893">
        <f>1.942/J101</f>
        <v>0.55485714285714283</v>
      </c>
      <c r="K102" s="2893">
        <f>1.942/K101</f>
        <v>0.55485714285714283</v>
      </c>
      <c r="L102" s="2893">
        <f>1.942/L101</f>
        <v>0.55485714285714283</v>
      </c>
      <c r="M102" s="2893">
        <f>1.942/M101</f>
        <v>0.55485714285714283</v>
      </c>
      <c r="N102" s="2893">
        <f>1.942/N101</f>
        <v>0.55485714285714283</v>
      </c>
    </row>
    <row r="103" spans="1:14">
      <c r="A103" s="3385"/>
      <c r="B103" s="2892">
        <v>2</v>
      </c>
      <c r="C103" s="2893">
        <f>1.4198/C101</f>
        <v>0.40565714285714283</v>
      </c>
      <c r="D103" s="2893">
        <f>1.4198/D101</f>
        <v>0.40565714285714283</v>
      </c>
      <c r="E103" s="2893">
        <f>1.3372/E101</f>
        <v>0.38205714285714282</v>
      </c>
      <c r="F103" s="2893">
        <f>1.3372/F101</f>
        <v>0.38205714285714282</v>
      </c>
      <c r="G103" s="2893">
        <f>1.3372/G101</f>
        <v>0.38205714285714282</v>
      </c>
      <c r="H103" s="2893">
        <f>1.3372/H101</f>
        <v>0.38205714285714282</v>
      </c>
      <c r="I103" s="2893">
        <f>1.3372/I101</f>
        <v>0.38205714285714282</v>
      </c>
      <c r="J103" s="2893">
        <f>1.2799/J101</f>
        <v>0.36568571428571428</v>
      </c>
      <c r="K103" s="2893">
        <f>1.2799/K101</f>
        <v>0.36568571428571428</v>
      </c>
      <c r="L103" s="2893">
        <f>1.2799/L101</f>
        <v>0.36568571428571428</v>
      </c>
      <c r="M103" s="2893">
        <f>1.2799/M101</f>
        <v>0.36568571428571428</v>
      </c>
      <c r="N103" s="2893">
        <f>1.2799/N101</f>
        <v>0.36568571428571428</v>
      </c>
    </row>
    <row r="104" spans="1:14">
      <c r="A104" s="3385"/>
      <c r="B104" s="2892">
        <v>3</v>
      </c>
      <c r="C104" s="2893">
        <f>1.1594/C101</f>
        <v>0.33125714285714286</v>
      </c>
      <c r="D104" s="2893">
        <f>1.1594/D101</f>
        <v>0.33125714285714286</v>
      </c>
      <c r="E104" s="2893">
        <f>1.0788/E101</f>
        <v>0.30822857142857141</v>
      </c>
      <c r="F104" s="2893">
        <f>1.0788/F101</f>
        <v>0.30822857142857141</v>
      </c>
      <c r="G104" s="2893">
        <f>1.0788/G101</f>
        <v>0.30822857142857141</v>
      </c>
      <c r="H104" s="2893">
        <f>1.0788/H101</f>
        <v>0.30822857142857141</v>
      </c>
      <c r="I104" s="2893">
        <f>1.0788/I101</f>
        <v>0.30822857142857141</v>
      </c>
      <c r="J104" s="2893">
        <f>1.0072/J101</f>
        <v>0.28777142857142862</v>
      </c>
      <c r="K104" s="2893">
        <f>1.0072/K101</f>
        <v>0.28777142857142862</v>
      </c>
      <c r="L104" s="2893">
        <f>1.0072/L101</f>
        <v>0.28777142857142862</v>
      </c>
      <c r="M104" s="2893">
        <f>1.0072/M101</f>
        <v>0.28777142857142862</v>
      </c>
      <c r="N104" s="2893">
        <f>1.0072/N101</f>
        <v>0.28777142857142862</v>
      </c>
    </row>
    <row r="105" spans="1:14">
      <c r="A105" s="3385"/>
      <c r="B105" s="2892">
        <v>4</v>
      </c>
      <c r="C105" s="2893">
        <f>0.9622/C101</f>
        <v>0.27491428571428572</v>
      </c>
      <c r="D105" s="2893">
        <f>0.9622/D101</f>
        <v>0.27491428571428572</v>
      </c>
      <c r="E105" s="2893">
        <f>0.8656/E101</f>
        <v>0.24731428571428574</v>
      </c>
      <c r="F105" s="2893">
        <f>0.8656/F101</f>
        <v>0.24731428571428574</v>
      </c>
      <c r="G105" s="2893">
        <f>0.8656/G101</f>
        <v>0.24731428571428574</v>
      </c>
      <c r="H105" s="2893">
        <f>0.8656/H101</f>
        <v>0.24731428571428574</v>
      </c>
      <c r="I105" s="2893">
        <f>0.8656/I101</f>
        <v>0.24731428571428574</v>
      </c>
      <c r="J105" s="2893">
        <f>0.7525/J101</f>
        <v>0.215</v>
      </c>
      <c r="K105" s="2893">
        <f>0.7525/K101</f>
        <v>0.215</v>
      </c>
      <c r="L105" s="2893">
        <f>0.7525/L101</f>
        <v>0.215</v>
      </c>
      <c r="M105" s="2893">
        <f>0.7525/M101</f>
        <v>0.215</v>
      </c>
      <c r="N105" s="2893">
        <f>0.7525/N101</f>
        <v>0.215</v>
      </c>
    </row>
    <row r="106" spans="1:14">
      <c r="A106" s="3385"/>
      <c r="B106" s="2892">
        <v>5</v>
      </c>
      <c r="C106" s="2893">
        <f>0.8417/C101</f>
        <v>0.24048571428571427</v>
      </c>
      <c r="D106" s="2893">
        <f>0.8417/D101</f>
        <v>0.24048571428571427</v>
      </c>
      <c r="E106" s="2893">
        <f>0.7371/E101</f>
        <v>0.21059999999999998</v>
      </c>
      <c r="F106" s="2893">
        <f>0.7371/F101</f>
        <v>0.21059999999999998</v>
      </c>
      <c r="G106" s="2893">
        <f>0.7371/G101</f>
        <v>0.21059999999999998</v>
      </c>
      <c r="H106" s="2893">
        <f>0.7371/H101</f>
        <v>0.21059999999999998</v>
      </c>
      <c r="I106" s="2893">
        <f>0.7371/I101</f>
        <v>0.21059999999999998</v>
      </c>
      <c r="J106" s="2893">
        <f>0.5659/J101</f>
        <v>0.16168571428571427</v>
      </c>
      <c r="K106" s="2893">
        <f>0.5659/K101</f>
        <v>0.16168571428571427</v>
      </c>
      <c r="L106" s="2893">
        <f>0.5659/L101</f>
        <v>0.16168571428571427</v>
      </c>
      <c r="M106" s="2893">
        <f>0.5659/M101</f>
        <v>0.16168571428571427</v>
      </c>
      <c r="N106" s="2893">
        <f>0.5659/N101</f>
        <v>0.16168571428571427</v>
      </c>
    </row>
    <row r="107" spans="1:14">
      <c r="A107" s="3385"/>
      <c r="B107" s="2892">
        <v>6</v>
      </c>
      <c r="C107" s="2893">
        <f>0.7608/C101</f>
        <v>0.21737142857142858</v>
      </c>
      <c r="D107" s="2893">
        <f>0.7608/D101</f>
        <v>0.21737142857142858</v>
      </c>
      <c r="E107" s="2893">
        <f>0.6482/E101</f>
        <v>0.1852</v>
      </c>
      <c r="F107" s="2893">
        <f>0.6482/F101</f>
        <v>0.1852</v>
      </c>
      <c r="G107" s="2893">
        <f>0.6482/G101</f>
        <v>0.1852</v>
      </c>
      <c r="H107" s="2893">
        <f>0.6482/H101</f>
        <v>0.1852</v>
      </c>
      <c r="I107" s="2893">
        <f>0.6482/I101</f>
        <v>0.1852</v>
      </c>
      <c r="J107" s="2893">
        <f>0.4525/J101</f>
        <v>0.12928571428571428</v>
      </c>
      <c r="K107" s="2893">
        <f>0.4525/K101</f>
        <v>0.12928571428571428</v>
      </c>
      <c r="L107" s="2893">
        <f>0.4525/L101</f>
        <v>0.12928571428571428</v>
      </c>
      <c r="M107" s="2893">
        <f>0.4525/M101</f>
        <v>0.12928571428571428</v>
      </c>
      <c r="N107" s="2893">
        <f>0.4525/N101</f>
        <v>0.12928571428571428</v>
      </c>
    </row>
    <row r="108" spans="1:14">
      <c r="A108" s="3385"/>
      <c r="B108" s="3236" t="s">
        <v>2976</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386"/>
      <c r="B109" s="3237"/>
      <c r="C109" s="2895">
        <f>(-0.163*(C108^2)-0.59*C108+7617)*(10^(-4))/C101</f>
        <v>0.21762857142857145</v>
      </c>
      <c r="D109" s="2895">
        <f>(-0.163*(D108^2)-0.59*D108+7617)*(10^(-4))/D101</f>
        <v>0.21762857142857145</v>
      </c>
      <c r="E109" s="2895">
        <f>(-0.161*(E108^2)-7.509*E108+6533)*(10^(-4))/E101</f>
        <v>0.18665714285714285</v>
      </c>
      <c r="F109" s="2895">
        <f>(-0.161*(F108^2)-7.509*F108+6533)*(10^(-4))/F101</f>
        <v>0.18665714285714285</v>
      </c>
      <c r="G109" s="2895">
        <f>(-0.161*(G108^2)-7.509*G108+6533)*(10^(-4))/G101</f>
        <v>0.18665714285714285</v>
      </c>
      <c r="H109" s="2895">
        <f>(-0.161*(H108^2)-7.509*H108+6533)*(10^(-4))/H101</f>
        <v>0.18665714285714285</v>
      </c>
      <c r="I109" s="2895">
        <f>(-0.161*(I108^2)-7.509*I108+6533)*(10^(-4))/I101</f>
        <v>0.18665714285714285</v>
      </c>
      <c r="J109" s="2895">
        <f>(-0.214*(J108^2)-21.991*J108+4665)*(10^(-4))/J101</f>
        <v>0.13328571428571429</v>
      </c>
      <c r="K109" s="2895">
        <f>(-0.214*(K108^2)-21.991*K108+4665)*(10^(-4))/K101</f>
        <v>0.13328571428571429</v>
      </c>
      <c r="L109" s="2895">
        <f>(-0.214*(L108^2)-21.991*L108+4665)*(10^(-4))/L101</f>
        <v>0.13328571428571429</v>
      </c>
      <c r="M109" s="2895">
        <f>(-0.214*(M108^2)-21.991*M108+4665)*(10^(-4))/M101</f>
        <v>0.13328571428571429</v>
      </c>
      <c r="N109" s="2895">
        <f>(-0.214*(N108^2)-21.991*N108+4665)*(10^(-4))/N101</f>
        <v>0.13328571428571429</v>
      </c>
    </row>
    <row r="110" spans="1:14">
      <c r="A110" s="3382" t="s">
        <v>2977</v>
      </c>
      <c r="B110" s="3382"/>
      <c r="C110" s="3382"/>
      <c r="D110" s="3382"/>
      <c r="E110" s="3382"/>
      <c r="F110" s="3382"/>
      <c r="G110" s="3382"/>
      <c r="H110" s="3382"/>
      <c r="I110" s="3382"/>
      <c r="J110" s="3382"/>
      <c r="K110" s="2898"/>
      <c r="L110" s="2898"/>
      <c r="M110" s="2898"/>
      <c r="N110" s="2898"/>
    </row>
    <row r="112" spans="1:14" ht="13.5" thickBot="1"/>
    <row r="113" spans="1:13" ht="25.5" thickBot="1">
      <c r="A113" s="902" t="s">
        <v>2978</v>
      </c>
      <c r="B113" s="1289">
        <f>G3</f>
        <v>3.5</v>
      </c>
      <c r="C113" s="903" t="s">
        <v>2979</v>
      </c>
      <c r="D113" s="904">
        <f>SUMPRODUCT((A115:A118=F113)*(B114:M114=H113)*B115:M118)</f>
        <v>0</v>
      </c>
      <c r="E113" s="2721" t="s">
        <v>2809</v>
      </c>
      <c r="F113" s="2900">
        <f>E2</f>
        <v>0</v>
      </c>
      <c r="G113" s="2721" t="s">
        <v>2810</v>
      </c>
      <c r="H113" s="2900">
        <f>G2</f>
        <v>0</v>
      </c>
      <c r="I113" s="2721"/>
      <c r="J113" s="2901"/>
      <c r="K113" s="2901"/>
      <c r="L113" s="2901"/>
      <c r="M113" s="2901"/>
    </row>
    <row r="114" spans="1:13">
      <c r="A114" s="907"/>
      <c r="B114" s="2902" t="s">
        <v>2980</v>
      </c>
      <c r="C114" s="2902" t="s">
        <v>2981</v>
      </c>
      <c r="D114" s="2902" t="s">
        <v>2982</v>
      </c>
      <c r="E114" s="2903" t="s">
        <v>2983</v>
      </c>
      <c r="F114" s="2903" t="s">
        <v>2984</v>
      </c>
      <c r="G114" s="2903" t="s">
        <v>2985</v>
      </c>
      <c r="H114" s="2904" t="s">
        <v>2986</v>
      </c>
      <c r="I114" s="2904" t="s">
        <v>2987</v>
      </c>
      <c r="J114" s="2905" t="s">
        <v>2988</v>
      </c>
      <c r="K114" s="2905" t="s">
        <v>2989</v>
      </c>
      <c r="L114" s="2905" t="s">
        <v>2990</v>
      </c>
      <c r="M114" s="2906" t="s">
        <v>2991</v>
      </c>
    </row>
    <row r="115" spans="1:13">
      <c r="A115" s="908" t="s">
        <v>2874</v>
      </c>
      <c r="B115" s="909">
        <f>ROUND(0.9335-0.0094*B113,4)</f>
        <v>0.90059999999999996</v>
      </c>
      <c r="C115" s="909">
        <f>B115</f>
        <v>0.90059999999999996</v>
      </c>
      <c r="D115" s="909">
        <f>ROUND(0.8331-0.0109*B113,4)</f>
        <v>0.79500000000000004</v>
      </c>
      <c r="E115" s="909">
        <f>D115</f>
        <v>0.79500000000000004</v>
      </c>
      <c r="F115" s="909">
        <f>E115</f>
        <v>0.79500000000000004</v>
      </c>
      <c r="G115" s="909">
        <f>F115</f>
        <v>0.79500000000000004</v>
      </c>
      <c r="H115" s="909">
        <f>G115</f>
        <v>0.79500000000000004</v>
      </c>
      <c r="I115" s="909">
        <f>ROUND(0.689-0.0155*B113,4)</f>
        <v>0.63480000000000003</v>
      </c>
      <c r="J115" s="909">
        <f t="shared" ref="J115:M118" si="33">I115</f>
        <v>0.63480000000000003</v>
      </c>
      <c r="K115" s="909">
        <f t="shared" si="33"/>
        <v>0.63480000000000003</v>
      </c>
      <c r="L115" s="909">
        <f t="shared" si="33"/>
        <v>0.63480000000000003</v>
      </c>
      <c r="M115" s="910">
        <f t="shared" si="33"/>
        <v>0.63480000000000003</v>
      </c>
    </row>
    <row r="116" spans="1:13">
      <c r="A116" s="908" t="s">
        <v>2875</v>
      </c>
      <c r="B116" s="909">
        <f>ROUND(0.949-0.012*B113,4)</f>
        <v>0.90700000000000003</v>
      </c>
      <c r="C116" s="909">
        <f>B116</f>
        <v>0.90700000000000003</v>
      </c>
      <c r="D116" s="909">
        <f>ROUND(0.8567-0.013*B113,4)</f>
        <v>0.81120000000000003</v>
      </c>
      <c r="E116" s="909">
        <f t="shared" ref="E116:H117" si="34">D116</f>
        <v>0.81120000000000003</v>
      </c>
      <c r="F116" s="909">
        <f t="shared" si="34"/>
        <v>0.81120000000000003</v>
      </c>
      <c r="G116" s="909">
        <f t="shared" si="34"/>
        <v>0.81120000000000003</v>
      </c>
      <c r="H116" s="909">
        <f t="shared" si="34"/>
        <v>0.81120000000000003</v>
      </c>
      <c r="I116" s="909">
        <f>ROUND(0.7694-0.014*B113,4)</f>
        <v>0.72040000000000004</v>
      </c>
      <c r="J116" s="909">
        <f t="shared" si="33"/>
        <v>0.72040000000000004</v>
      </c>
      <c r="K116" s="909">
        <f t="shared" si="33"/>
        <v>0.72040000000000004</v>
      </c>
      <c r="L116" s="909">
        <f t="shared" si="33"/>
        <v>0.72040000000000004</v>
      </c>
      <c r="M116" s="910">
        <f t="shared" si="33"/>
        <v>0.72040000000000004</v>
      </c>
    </row>
    <row r="117" spans="1:13">
      <c r="A117" s="908" t="s">
        <v>2876</v>
      </c>
      <c r="B117" s="909">
        <f>ROUND(0.8808-0.006*B113,4)</f>
        <v>0.85980000000000001</v>
      </c>
      <c r="C117" s="909">
        <f>B117</f>
        <v>0.85980000000000001</v>
      </c>
      <c r="D117" s="909">
        <f>ROUND(0.8748-0.008*B113,4)</f>
        <v>0.8468</v>
      </c>
      <c r="E117" s="909">
        <f t="shared" si="34"/>
        <v>0.8468</v>
      </c>
      <c r="F117" s="909">
        <f t="shared" si="34"/>
        <v>0.8468</v>
      </c>
      <c r="G117" s="909">
        <f t="shared" si="34"/>
        <v>0.8468</v>
      </c>
      <c r="H117" s="909">
        <f t="shared" si="34"/>
        <v>0.8468</v>
      </c>
      <c r="I117" s="909">
        <f>ROUND(0.7412-0.0095*B113,4)</f>
        <v>0.70799999999999996</v>
      </c>
      <c r="J117" s="909">
        <f t="shared" si="33"/>
        <v>0.70799999999999996</v>
      </c>
      <c r="K117" s="909">
        <f t="shared" si="33"/>
        <v>0.70799999999999996</v>
      </c>
      <c r="L117" s="909">
        <f t="shared" si="33"/>
        <v>0.70799999999999996</v>
      </c>
      <c r="M117" s="910">
        <f t="shared" si="33"/>
        <v>0.70799999999999996</v>
      </c>
    </row>
    <row r="118" spans="1:13" ht="13.5" thickBot="1">
      <c r="A118" s="714" t="s">
        <v>2877</v>
      </c>
      <c r="B118" s="911">
        <f>ROUND(0.7275-0.01*B113,4)</f>
        <v>0.6925</v>
      </c>
      <c r="C118" s="911">
        <f>B118</f>
        <v>0.6925</v>
      </c>
      <c r="D118" s="911">
        <f>ROUND(0.7043-0.012*B113,4)</f>
        <v>0.6623</v>
      </c>
      <c r="E118" s="911">
        <f>D118</f>
        <v>0.6623</v>
      </c>
      <c r="F118" s="911">
        <f>E118</f>
        <v>0.6623</v>
      </c>
      <c r="G118" s="911">
        <f>ROUND(0.6299-0.0122*B113,4)</f>
        <v>0.58720000000000006</v>
      </c>
      <c r="H118" s="911">
        <f>G118</f>
        <v>0.58720000000000006</v>
      </c>
      <c r="I118" s="911">
        <f>ROUND(0.5667-0.0136*B113,4)</f>
        <v>0.51910000000000001</v>
      </c>
      <c r="J118" s="911">
        <f t="shared" si="33"/>
        <v>0.51910000000000001</v>
      </c>
      <c r="K118" s="911">
        <f t="shared" si="33"/>
        <v>0.51910000000000001</v>
      </c>
      <c r="L118" s="911">
        <f t="shared" si="33"/>
        <v>0.51910000000000001</v>
      </c>
      <c r="M118" s="912">
        <f t="shared" si="33"/>
        <v>0.51910000000000001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90" t="s">
        <v>183</v>
      </c>
      <c r="B18" s="881" t="s">
        <v>560</v>
      </c>
      <c r="C18" s="882" t="s">
        <v>561</v>
      </c>
      <c r="D18" s="883"/>
      <c r="E18" s="881">
        <v>1</v>
      </c>
      <c r="F18" s="884" t="s">
        <v>562</v>
      </c>
      <c r="G18" s="885"/>
      <c r="H18" s="877"/>
      <c r="I18" s="877"/>
    </row>
    <row r="19" spans="1:9" s="886" customFormat="1" ht="19.5" customHeight="1">
      <c r="A19" s="3390"/>
      <c r="B19" s="3390" t="s">
        <v>563</v>
      </c>
      <c r="C19" s="882" t="s">
        <v>564</v>
      </c>
      <c r="D19" s="883"/>
      <c r="E19" s="881">
        <v>0.9</v>
      </c>
      <c r="F19" s="884" t="s">
        <v>565</v>
      </c>
      <c r="G19" s="885"/>
      <c r="H19" s="877"/>
      <c r="I19" s="877"/>
    </row>
    <row r="20" spans="1:9" s="886" customFormat="1" ht="19.5" customHeight="1">
      <c r="A20" s="3390"/>
      <c r="B20" s="3390"/>
      <c r="C20" s="882" t="s">
        <v>566</v>
      </c>
      <c r="D20" s="883"/>
      <c r="E20" s="881">
        <v>1.1000000000000001</v>
      </c>
      <c r="F20" s="884" t="s">
        <v>567</v>
      </c>
      <c r="G20" s="885"/>
      <c r="H20" s="877"/>
      <c r="I20" s="877"/>
    </row>
    <row r="21" spans="1:9" s="886" customFormat="1" ht="19.5" customHeight="1">
      <c r="A21" s="3390"/>
      <c r="B21" s="3390"/>
      <c r="C21" s="882" t="s">
        <v>568</v>
      </c>
      <c r="D21" s="883"/>
      <c r="E21" s="881">
        <v>0.8</v>
      </c>
      <c r="F21" s="884" t="s">
        <v>569</v>
      </c>
      <c r="G21" s="885"/>
      <c r="H21" s="877"/>
      <c r="I21" s="877"/>
    </row>
    <row r="22" spans="1:9" s="886" customFormat="1" ht="19.5" customHeight="1">
      <c r="A22" s="3390"/>
      <c r="B22" s="3390"/>
      <c r="C22" s="882" t="s">
        <v>570</v>
      </c>
      <c r="D22" s="883"/>
      <c r="E22" s="881">
        <v>0.5</v>
      </c>
      <c r="F22" s="884"/>
      <c r="G22" s="885"/>
      <c r="H22" s="877"/>
      <c r="I22" s="877"/>
    </row>
    <row r="23" spans="1:9" s="886" customFormat="1" ht="19.5" customHeight="1">
      <c r="A23" s="3390" t="s">
        <v>184</v>
      </c>
      <c r="B23" s="881" t="s">
        <v>560</v>
      </c>
      <c r="C23" s="882" t="s">
        <v>571</v>
      </c>
      <c r="D23" s="883"/>
      <c r="E23" s="881">
        <v>1</v>
      </c>
      <c r="F23" s="884" t="s">
        <v>572</v>
      </c>
      <c r="G23" s="885"/>
      <c r="H23" s="877"/>
      <c r="I23" s="877"/>
    </row>
    <row r="24" spans="1:9" s="886" customFormat="1" ht="19.5" customHeight="1">
      <c r="A24" s="3390"/>
      <c r="B24" s="3390" t="s">
        <v>563</v>
      </c>
      <c r="C24" s="882" t="s">
        <v>573</v>
      </c>
      <c r="D24" s="883"/>
      <c r="E24" s="881">
        <v>0.5</v>
      </c>
      <c r="F24" s="884"/>
      <c r="G24" s="885"/>
      <c r="H24" s="877"/>
      <c r="I24" s="877"/>
    </row>
    <row r="25" spans="1:9" s="886" customFormat="1" ht="19.5" customHeight="1">
      <c r="A25" s="3390"/>
      <c r="B25" s="3390"/>
      <c r="C25" s="882" t="s">
        <v>574</v>
      </c>
      <c r="D25" s="883"/>
      <c r="E25" s="881">
        <v>1.1000000000000001</v>
      </c>
      <c r="F25" s="884"/>
      <c r="G25" s="885"/>
      <c r="H25" s="877"/>
      <c r="I25" s="877"/>
    </row>
    <row r="26" spans="1:9" s="886" customFormat="1" ht="19.5" customHeight="1">
      <c r="A26" s="3390"/>
      <c r="B26" s="3390"/>
      <c r="C26" s="882" t="s">
        <v>575</v>
      </c>
      <c r="D26" s="883"/>
      <c r="E26" s="881">
        <v>1.1000000000000001</v>
      </c>
      <c r="F26" s="884"/>
      <c r="G26" s="885"/>
      <c r="H26" s="877"/>
      <c r="I26" s="877"/>
    </row>
    <row r="27" spans="1:9" s="886" customFormat="1" ht="19.5" customHeight="1">
      <c r="A27" s="3390"/>
      <c r="B27" s="3390"/>
      <c r="C27" s="882" t="s">
        <v>576</v>
      </c>
      <c r="D27" s="883"/>
      <c r="E27" s="881">
        <v>0.9</v>
      </c>
      <c r="F27" s="884" t="s">
        <v>577</v>
      </c>
      <c r="G27" s="885"/>
      <c r="H27" s="877"/>
      <c r="I27" s="877"/>
    </row>
    <row r="28" spans="1:9" s="886" customFormat="1" ht="19.5" customHeight="1">
      <c r="A28" s="3390"/>
      <c r="B28" s="3390"/>
      <c r="C28" s="882" t="s">
        <v>578</v>
      </c>
      <c r="D28" s="883"/>
      <c r="E28" s="881">
        <v>0.9</v>
      </c>
      <c r="F28" s="884" t="s">
        <v>579</v>
      </c>
      <c r="G28" s="885"/>
      <c r="H28" s="877"/>
      <c r="I28" s="877"/>
    </row>
    <row r="29" spans="1:9" s="886" customFormat="1" ht="19.5" customHeight="1">
      <c r="A29" s="3390"/>
      <c r="B29" s="3390"/>
      <c r="C29" s="882" t="s">
        <v>580</v>
      </c>
      <c r="D29" s="883"/>
      <c r="E29" s="881">
        <v>0.9</v>
      </c>
      <c r="F29" s="884" t="s">
        <v>581</v>
      </c>
      <c r="G29" s="885"/>
      <c r="H29" s="877"/>
      <c r="I29" s="877"/>
    </row>
    <row r="30" spans="1:9" s="886" customFormat="1" ht="19.5" customHeight="1">
      <c r="A30" s="3390"/>
      <c r="B30" s="3390"/>
      <c r="C30" s="882" t="s">
        <v>582</v>
      </c>
      <c r="D30" s="883"/>
      <c r="E30" s="881">
        <v>0.9</v>
      </c>
      <c r="F30" s="884" t="s">
        <v>583</v>
      </c>
      <c r="G30" s="885"/>
      <c r="H30" s="877"/>
      <c r="I30" s="877"/>
    </row>
    <row r="31" spans="1:9" s="886" customFormat="1" ht="19.5" customHeight="1">
      <c r="A31" s="3390"/>
      <c r="B31" s="3390"/>
      <c r="C31" s="882" t="s">
        <v>584</v>
      </c>
      <c r="D31" s="883"/>
      <c r="E31" s="881">
        <v>0.8</v>
      </c>
      <c r="F31" s="884" t="s">
        <v>585</v>
      </c>
      <c r="G31" s="885"/>
      <c r="H31" s="877"/>
      <c r="I31" s="877"/>
    </row>
    <row r="32" spans="1:9" s="886" customFormat="1" ht="19.5" customHeight="1">
      <c r="A32" s="3390"/>
      <c r="B32" s="3390"/>
      <c r="C32" s="882" t="s">
        <v>586</v>
      </c>
      <c r="D32" s="883"/>
      <c r="E32" s="881">
        <v>0.8</v>
      </c>
      <c r="F32" s="884" t="s">
        <v>587</v>
      </c>
      <c r="G32" s="885"/>
      <c r="H32" s="877"/>
      <c r="I32" s="877"/>
    </row>
    <row r="33" spans="1:9" s="886" customFormat="1" ht="19.5" customHeight="1">
      <c r="A33" s="3390" t="s">
        <v>185</v>
      </c>
      <c r="B33" s="881" t="s">
        <v>560</v>
      </c>
      <c r="C33" s="882" t="s">
        <v>588</v>
      </c>
      <c r="D33" s="883"/>
      <c r="E33" s="881">
        <v>1</v>
      </c>
      <c r="F33" s="884" t="s">
        <v>589</v>
      </c>
      <c r="G33" s="885"/>
      <c r="H33" s="877"/>
      <c r="I33" s="877"/>
    </row>
    <row r="34" spans="1:9" s="886" customFormat="1" ht="19.5" customHeight="1">
      <c r="A34" s="3390"/>
      <c r="B34" s="881" t="s">
        <v>563</v>
      </c>
      <c r="C34" s="882" t="s">
        <v>590</v>
      </c>
      <c r="D34" s="883"/>
      <c r="E34" s="881">
        <v>1.5</v>
      </c>
      <c r="F34" s="884" t="s">
        <v>591</v>
      </c>
      <c r="G34" s="885"/>
      <c r="H34" s="877"/>
      <c r="I34" s="877"/>
    </row>
    <row r="35" spans="1:9" s="886" customFormat="1" ht="19.5" customHeight="1">
      <c r="A35" s="3390" t="s">
        <v>186</v>
      </c>
      <c r="B35" s="881" t="s">
        <v>560</v>
      </c>
      <c r="C35" s="882" t="s">
        <v>592</v>
      </c>
      <c r="D35" s="883"/>
      <c r="E35" s="881">
        <v>1</v>
      </c>
      <c r="F35" s="884" t="s">
        <v>593</v>
      </c>
      <c r="G35" s="885"/>
      <c r="H35" s="877"/>
      <c r="I35" s="877"/>
    </row>
    <row r="36" spans="1:9" s="886" customFormat="1" ht="19.5" customHeight="1">
      <c r="A36" s="3390"/>
      <c r="B36" s="3390" t="s">
        <v>563</v>
      </c>
      <c r="C36" s="882" t="s">
        <v>594</v>
      </c>
      <c r="D36" s="883"/>
      <c r="E36" s="881">
        <v>1</v>
      </c>
      <c r="F36" s="884" t="s">
        <v>595</v>
      </c>
      <c r="G36" s="885"/>
      <c r="H36" s="877"/>
      <c r="I36" s="877"/>
    </row>
    <row r="37" spans="1:9" s="886" customFormat="1" ht="19.5" customHeight="1">
      <c r="A37" s="3390"/>
      <c r="B37" s="3390"/>
      <c r="C37" s="882" t="s">
        <v>596</v>
      </c>
      <c r="D37" s="883"/>
      <c r="E37" s="881">
        <v>1.5</v>
      </c>
      <c r="F37" s="884" t="s">
        <v>597</v>
      </c>
      <c r="G37" s="885"/>
      <c r="H37" s="877"/>
      <c r="I37" s="877"/>
    </row>
    <row r="38" spans="1:9" s="886" customFormat="1" ht="19.5" customHeight="1">
      <c r="A38" s="3390"/>
      <c r="B38" s="3390"/>
      <c r="C38" s="882" t="s">
        <v>598</v>
      </c>
      <c r="D38" s="883"/>
      <c r="E38" s="881">
        <v>1</v>
      </c>
      <c r="F38" s="884" t="s">
        <v>599</v>
      </c>
      <c r="G38" s="885"/>
      <c r="H38" s="877"/>
      <c r="I38" s="877"/>
    </row>
    <row r="39" spans="1:9" s="886" customFormat="1" ht="19.5" customHeight="1">
      <c r="A39" s="3390"/>
      <c r="B39" s="3390"/>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90" t="s">
        <v>614</v>
      </c>
      <c r="C61" s="817" t="s">
        <v>615</v>
      </c>
      <c r="D61" s="817" t="s">
        <v>616</v>
      </c>
      <c r="E61" s="894">
        <v>0.5</v>
      </c>
      <c r="F61" s="881">
        <v>80</v>
      </c>
    </row>
    <row r="62" spans="1:8" s="877" customFormat="1" ht="24">
      <c r="A62" s="881">
        <v>2</v>
      </c>
      <c r="B62" s="3390"/>
      <c r="C62" s="817" t="s">
        <v>617</v>
      </c>
      <c r="D62" s="817" t="s">
        <v>618</v>
      </c>
      <c r="E62" s="894">
        <v>0.5</v>
      </c>
      <c r="F62" s="881">
        <v>80</v>
      </c>
    </row>
    <row r="63" spans="1:8" s="877" customFormat="1" ht="36">
      <c r="A63" s="881">
        <v>3</v>
      </c>
      <c r="B63" s="3390"/>
      <c r="C63" s="817" t="s">
        <v>619</v>
      </c>
      <c r="D63" s="817" t="s">
        <v>620</v>
      </c>
      <c r="E63" s="894">
        <v>0.5</v>
      </c>
      <c r="F63" s="881">
        <v>80</v>
      </c>
    </row>
    <row r="64" spans="1:8" s="877" customFormat="1" ht="36">
      <c r="A64" s="881">
        <v>4</v>
      </c>
      <c r="B64" s="3390"/>
      <c r="C64" s="817" t="s">
        <v>621</v>
      </c>
      <c r="D64" s="817" t="s">
        <v>622</v>
      </c>
      <c r="E64" s="894">
        <v>0.4</v>
      </c>
      <c r="F64" s="881">
        <v>60</v>
      </c>
    </row>
    <row r="65" spans="1:6" s="877" customFormat="1" ht="36">
      <c r="A65" s="881">
        <v>5</v>
      </c>
      <c r="B65" s="3390"/>
      <c r="C65" s="817" t="s">
        <v>623</v>
      </c>
      <c r="D65" s="817" t="s">
        <v>624</v>
      </c>
      <c r="E65" s="894">
        <v>0.2</v>
      </c>
      <c r="F65" s="881">
        <v>30</v>
      </c>
    </row>
    <row r="66" spans="1:6" s="877" customFormat="1" ht="36">
      <c r="A66" s="881">
        <v>6</v>
      </c>
      <c r="B66" s="3390"/>
      <c r="C66" s="817" t="s">
        <v>625</v>
      </c>
      <c r="D66" s="817" t="s">
        <v>626</v>
      </c>
      <c r="E66" s="894">
        <v>0.3</v>
      </c>
      <c r="F66" s="881">
        <v>50</v>
      </c>
    </row>
    <row r="67" spans="1:6" s="877" customFormat="1" ht="36">
      <c r="A67" s="881">
        <v>7</v>
      </c>
      <c r="B67" s="3390"/>
      <c r="C67" s="817" t="s">
        <v>627</v>
      </c>
      <c r="D67" s="817" t="s">
        <v>628</v>
      </c>
      <c r="E67" s="894">
        <v>0.2</v>
      </c>
      <c r="F67" s="881">
        <v>30</v>
      </c>
    </row>
    <row r="68" spans="1:6" s="877" customFormat="1" ht="36">
      <c r="A68" s="881">
        <v>8</v>
      </c>
      <c r="B68" s="3390"/>
      <c r="C68" s="817" t="s">
        <v>629</v>
      </c>
      <c r="D68" s="817" t="s">
        <v>630</v>
      </c>
      <c r="E68" s="894">
        <v>0.2</v>
      </c>
      <c r="F68" s="881">
        <v>30</v>
      </c>
    </row>
    <row r="69" spans="1:6" s="877" customFormat="1" ht="36">
      <c r="A69" s="881">
        <v>9</v>
      </c>
      <c r="B69" s="3390"/>
      <c r="C69" s="817" t="s">
        <v>631</v>
      </c>
      <c r="D69" s="817" t="s">
        <v>632</v>
      </c>
      <c r="E69" s="894">
        <v>0.2</v>
      </c>
      <c r="F69" s="881">
        <v>30</v>
      </c>
    </row>
    <row r="70" spans="1:6" s="877" customFormat="1" ht="48">
      <c r="A70" s="881">
        <v>10</v>
      </c>
      <c r="B70" s="3390"/>
      <c r="C70" s="817" t="s">
        <v>633</v>
      </c>
      <c r="D70" s="817" t="s">
        <v>634</v>
      </c>
      <c r="E70" s="894">
        <v>0.2</v>
      </c>
      <c r="F70" s="881">
        <v>30</v>
      </c>
    </row>
    <row r="71" spans="1:6" s="877" customFormat="1" ht="48">
      <c r="A71" s="881">
        <v>11</v>
      </c>
      <c r="B71" s="3390"/>
      <c r="C71" s="817" t="s">
        <v>635</v>
      </c>
      <c r="D71" s="817" t="s">
        <v>636</v>
      </c>
      <c r="E71" s="894">
        <v>0.2</v>
      </c>
      <c r="F71" s="881">
        <v>30</v>
      </c>
    </row>
    <row r="72" spans="1:6" s="877" customFormat="1" ht="36">
      <c r="A72" s="881">
        <v>12</v>
      </c>
      <c r="B72" s="3390"/>
      <c r="C72" s="817" t="s">
        <v>637</v>
      </c>
      <c r="D72" s="817" t="s">
        <v>638</v>
      </c>
      <c r="E72" s="894">
        <v>0.5</v>
      </c>
      <c r="F72" s="881">
        <v>80</v>
      </c>
    </row>
    <row r="73" spans="1:6" s="877" customFormat="1" ht="24">
      <c r="A73" s="881">
        <v>13</v>
      </c>
      <c r="B73" s="3390"/>
      <c r="C73" s="817" t="s">
        <v>639</v>
      </c>
      <c r="D73" s="817" t="s">
        <v>640</v>
      </c>
      <c r="E73" s="894">
        <v>0.4</v>
      </c>
      <c r="F73" s="881">
        <v>60</v>
      </c>
    </row>
    <row r="74" spans="1:6" s="877" customFormat="1" ht="24">
      <c r="A74" s="881">
        <v>14</v>
      </c>
      <c r="B74" s="3390"/>
      <c r="C74" s="817" t="s">
        <v>641</v>
      </c>
      <c r="D74" s="817" t="s">
        <v>642</v>
      </c>
      <c r="E74" s="894">
        <v>0.2</v>
      </c>
      <c r="F74" s="881">
        <v>30</v>
      </c>
    </row>
    <row r="75" spans="1:6" s="877" customFormat="1" ht="24">
      <c r="A75" s="881">
        <v>15</v>
      </c>
      <c r="B75" s="3390"/>
      <c r="C75" s="817" t="s">
        <v>643</v>
      </c>
      <c r="D75" s="817" t="s">
        <v>644</v>
      </c>
      <c r="E75" s="894">
        <v>0.2</v>
      </c>
      <c r="F75" s="881">
        <v>30</v>
      </c>
    </row>
    <row r="76" spans="1:6" s="877" customFormat="1" ht="24">
      <c r="A76" s="881">
        <v>16</v>
      </c>
      <c r="B76" s="3390" t="s">
        <v>645</v>
      </c>
      <c r="C76" s="817" t="s">
        <v>646</v>
      </c>
      <c r="D76" s="817" t="s">
        <v>647</v>
      </c>
      <c r="E76" s="894">
        <v>0.5</v>
      </c>
      <c r="F76" s="881">
        <v>80</v>
      </c>
    </row>
    <row r="77" spans="1:6" s="877" customFormat="1" ht="24">
      <c r="A77" s="881">
        <v>17</v>
      </c>
      <c r="B77" s="3390"/>
      <c r="C77" s="817" t="s">
        <v>648</v>
      </c>
      <c r="D77" s="817" t="s">
        <v>649</v>
      </c>
      <c r="E77" s="894">
        <v>0.5</v>
      </c>
      <c r="F77" s="881">
        <v>80</v>
      </c>
    </row>
    <row r="78" spans="1:6" s="877" customFormat="1" ht="24">
      <c r="A78" s="881">
        <v>18</v>
      </c>
      <c r="B78" s="3390"/>
      <c r="C78" s="817" t="s">
        <v>650</v>
      </c>
      <c r="D78" s="817" t="s">
        <v>651</v>
      </c>
      <c r="E78" s="894">
        <v>0.2</v>
      </c>
      <c r="F78" s="881">
        <v>30</v>
      </c>
    </row>
    <row r="79" spans="1:6" s="877" customFormat="1" ht="24">
      <c r="A79" s="881">
        <v>19</v>
      </c>
      <c r="B79" s="3390"/>
      <c r="C79" s="817" t="s">
        <v>652</v>
      </c>
      <c r="D79" s="817" t="s">
        <v>653</v>
      </c>
      <c r="E79" s="894">
        <v>0.5</v>
      </c>
      <c r="F79" s="881">
        <v>80</v>
      </c>
    </row>
    <row r="80" spans="1:6" s="877" customFormat="1" ht="36">
      <c r="A80" s="881">
        <v>20</v>
      </c>
      <c r="B80" s="3390"/>
      <c r="C80" s="817" t="s">
        <v>654</v>
      </c>
      <c r="D80" s="817" t="s">
        <v>655</v>
      </c>
      <c r="E80" s="894">
        <v>0.2</v>
      </c>
      <c r="F80" s="881">
        <v>30</v>
      </c>
    </row>
    <row r="81" spans="1:6" s="877" customFormat="1" ht="36">
      <c r="A81" s="881">
        <v>21</v>
      </c>
      <c r="B81" s="3390"/>
      <c r="C81" s="817" t="s">
        <v>656</v>
      </c>
      <c r="D81" s="817" t="s">
        <v>657</v>
      </c>
      <c r="E81" s="894">
        <v>0.2</v>
      </c>
      <c r="F81" s="881">
        <v>30</v>
      </c>
    </row>
    <row r="82" spans="1:6" s="877" customFormat="1" ht="48">
      <c r="A82" s="881">
        <v>22</v>
      </c>
      <c r="B82" s="3390"/>
      <c r="C82" s="817" t="s">
        <v>658</v>
      </c>
      <c r="D82" s="817" t="s">
        <v>659</v>
      </c>
      <c r="E82" s="894">
        <v>0.2</v>
      </c>
      <c r="F82" s="881">
        <v>30</v>
      </c>
    </row>
    <row r="83" spans="1:6" s="877" customFormat="1" ht="48">
      <c r="A83" s="881">
        <v>23</v>
      </c>
      <c r="B83" s="3390"/>
      <c r="C83" s="817" t="s">
        <v>660</v>
      </c>
      <c r="D83" s="817" t="s">
        <v>661</v>
      </c>
      <c r="E83" s="894">
        <v>0.2</v>
      </c>
      <c r="F83" s="881">
        <v>30</v>
      </c>
    </row>
    <row r="84" spans="1:6" s="877" customFormat="1" ht="36">
      <c r="A84" s="881">
        <v>24</v>
      </c>
      <c r="B84" s="3390"/>
      <c r="C84" s="817" t="s">
        <v>662</v>
      </c>
      <c r="D84" s="817" t="s">
        <v>663</v>
      </c>
      <c r="E84" s="894">
        <v>0.2</v>
      </c>
      <c r="F84" s="881">
        <v>30</v>
      </c>
    </row>
    <row r="85" spans="1:6" s="877" customFormat="1" ht="36">
      <c r="A85" s="881">
        <v>25</v>
      </c>
      <c r="B85" s="3390"/>
      <c r="C85" s="817" t="s">
        <v>664</v>
      </c>
      <c r="D85" s="817" t="s">
        <v>665</v>
      </c>
      <c r="E85" s="894">
        <v>0.5</v>
      </c>
      <c r="F85" s="881">
        <v>80</v>
      </c>
    </row>
    <row r="86" spans="1:6" s="877" customFormat="1" ht="36">
      <c r="A86" s="881">
        <v>26</v>
      </c>
      <c r="B86" s="3390"/>
      <c r="C86" s="817" t="s">
        <v>666</v>
      </c>
      <c r="D86" s="817" t="s">
        <v>667</v>
      </c>
      <c r="E86" s="894">
        <v>0.2</v>
      </c>
      <c r="F86" s="881">
        <v>30</v>
      </c>
    </row>
    <row r="87" spans="1:6" s="877" customFormat="1" ht="36">
      <c r="A87" s="881">
        <v>27</v>
      </c>
      <c r="B87" s="3390"/>
      <c r="C87" s="817" t="s">
        <v>668</v>
      </c>
      <c r="D87" s="817" t="s">
        <v>669</v>
      </c>
      <c r="E87" s="894">
        <v>0.2</v>
      </c>
      <c r="F87" s="881">
        <v>30</v>
      </c>
    </row>
    <row r="88" spans="1:6" s="877" customFormat="1" ht="36">
      <c r="A88" s="881">
        <v>28</v>
      </c>
      <c r="B88" s="3390"/>
      <c r="C88" s="817" t="s">
        <v>670</v>
      </c>
      <c r="D88" s="817" t="s">
        <v>671</v>
      </c>
      <c r="E88" s="894">
        <v>0.2</v>
      </c>
      <c r="F88" s="881">
        <v>30</v>
      </c>
    </row>
    <row r="89" spans="1:6" s="877" customFormat="1" ht="24">
      <c r="A89" s="881">
        <v>29</v>
      </c>
      <c r="B89" s="3390"/>
      <c r="C89" s="817" t="s">
        <v>672</v>
      </c>
      <c r="D89" s="817" t="s">
        <v>673</v>
      </c>
      <c r="E89" s="894">
        <v>0.2</v>
      </c>
      <c r="F89" s="881">
        <v>30</v>
      </c>
    </row>
    <row r="90" spans="1:6" s="877" customFormat="1" ht="24">
      <c r="A90" s="881">
        <v>30</v>
      </c>
      <c r="B90" s="3390"/>
      <c r="C90" s="817" t="s">
        <v>674</v>
      </c>
      <c r="D90" s="817" t="s">
        <v>675</v>
      </c>
      <c r="E90" s="894">
        <v>0.2</v>
      </c>
      <c r="F90" s="881">
        <v>30</v>
      </c>
    </row>
    <row r="91" spans="1:6" s="877" customFormat="1" ht="36">
      <c r="A91" s="881">
        <v>31</v>
      </c>
      <c r="B91" s="3390"/>
      <c r="C91" s="817" t="s">
        <v>676</v>
      </c>
      <c r="D91" s="817" t="s">
        <v>677</v>
      </c>
      <c r="E91" s="894">
        <v>0.2</v>
      </c>
      <c r="F91" s="881">
        <v>30</v>
      </c>
    </row>
    <row r="92" spans="1:6" s="877" customFormat="1" ht="24">
      <c r="A92" s="881">
        <v>32</v>
      </c>
      <c r="B92" s="3390" t="s">
        <v>678</v>
      </c>
      <c r="C92" s="881" t="s">
        <v>679</v>
      </c>
      <c r="D92" s="817" t="s">
        <v>680</v>
      </c>
      <c r="E92" s="894">
        <v>0.2</v>
      </c>
      <c r="F92" s="881">
        <v>30</v>
      </c>
    </row>
    <row r="93" spans="1:6" s="877" customFormat="1" ht="36">
      <c r="A93" s="881">
        <v>33</v>
      </c>
      <c r="B93" s="3390"/>
      <c r="C93" s="881" t="s">
        <v>681</v>
      </c>
      <c r="D93" s="817" t="s">
        <v>682</v>
      </c>
      <c r="E93" s="894">
        <v>0.2</v>
      </c>
      <c r="F93" s="881">
        <v>30</v>
      </c>
    </row>
    <row r="94" spans="1:6" s="877" customFormat="1" ht="48">
      <c r="A94" s="881">
        <v>34</v>
      </c>
      <c r="B94" s="3390"/>
      <c r="C94" s="881" t="s">
        <v>683</v>
      </c>
      <c r="D94" s="817" t="s">
        <v>684</v>
      </c>
      <c r="E94" s="894">
        <v>0.2</v>
      </c>
      <c r="F94" s="881">
        <v>30</v>
      </c>
    </row>
    <row r="95" spans="1:6" s="877" customFormat="1" ht="36">
      <c r="A95" s="881">
        <v>35</v>
      </c>
      <c r="B95" s="3390"/>
      <c r="C95" s="881" t="s">
        <v>685</v>
      </c>
      <c r="D95" s="817" t="s">
        <v>686</v>
      </c>
      <c r="E95" s="894">
        <v>0.2</v>
      </c>
      <c r="F95" s="881">
        <v>30</v>
      </c>
    </row>
    <row r="96" spans="1:6" s="877" customFormat="1" ht="48">
      <c r="A96" s="881">
        <v>36</v>
      </c>
      <c r="B96" s="3390"/>
      <c r="C96" s="817" t="s">
        <v>687</v>
      </c>
      <c r="D96" s="817" t="s">
        <v>688</v>
      </c>
      <c r="E96" s="894">
        <v>0.2</v>
      </c>
      <c r="F96" s="881">
        <v>30</v>
      </c>
    </row>
    <row r="97" spans="1:6" s="877" customFormat="1" ht="36">
      <c r="A97" s="881">
        <v>37</v>
      </c>
      <c r="B97" s="3390"/>
      <c r="C97" s="881" t="s">
        <v>689</v>
      </c>
      <c r="D97" s="817" t="s">
        <v>690</v>
      </c>
      <c r="E97" s="894">
        <v>0.2</v>
      </c>
      <c r="F97" s="881">
        <v>30</v>
      </c>
    </row>
    <row r="98" spans="1:6" s="877" customFormat="1" ht="36">
      <c r="A98" s="881">
        <v>38</v>
      </c>
      <c r="B98" s="3390"/>
      <c r="C98" s="881" t="s">
        <v>691</v>
      </c>
      <c r="D98" s="817" t="s">
        <v>692</v>
      </c>
      <c r="E98" s="894">
        <v>0.2</v>
      </c>
      <c r="F98" s="881">
        <v>30</v>
      </c>
    </row>
    <row r="99" spans="1:6" s="877" customFormat="1" ht="36">
      <c r="A99" s="881">
        <v>39</v>
      </c>
      <c r="B99" s="3390" t="s">
        <v>693</v>
      </c>
      <c r="C99" s="881" t="s">
        <v>694</v>
      </c>
      <c r="D99" s="817" t="s">
        <v>695</v>
      </c>
      <c r="E99" s="894">
        <v>0.3</v>
      </c>
      <c r="F99" s="881">
        <v>50</v>
      </c>
    </row>
    <row r="100" spans="1:6" s="877" customFormat="1" ht="24">
      <c r="A100" s="881">
        <v>40</v>
      </c>
      <c r="B100" s="3390"/>
      <c r="C100" s="881" t="s">
        <v>696</v>
      </c>
      <c r="D100" s="817" t="s">
        <v>697</v>
      </c>
      <c r="E100" s="894">
        <v>0.2</v>
      </c>
      <c r="F100" s="881">
        <v>30</v>
      </c>
    </row>
    <row r="101" spans="1:6" s="877" customFormat="1" ht="36">
      <c r="A101" s="881">
        <v>41</v>
      </c>
      <c r="B101" s="3390"/>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90" t="s">
        <v>708</v>
      </c>
      <c r="C105" s="881" t="s">
        <v>709</v>
      </c>
      <c r="D105" s="817" t="s">
        <v>710</v>
      </c>
      <c r="E105" s="894">
        <v>0.2</v>
      </c>
      <c r="F105" s="881">
        <v>30</v>
      </c>
    </row>
    <row r="106" spans="1:6" s="877" customFormat="1" ht="36">
      <c r="A106" s="881">
        <v>46</v>
      </c>
      <c r="B106" s="3390"/>
      <c r="C106" s="881" t="s">
        <v>711</v>
      </c>
      <c r="D106" s="817" t="s">
        <v>712</v>
      </c>
      <c r="E106" s="894">
        <v>0.2</v>
      </c>
      <c r="F106" s="881">
        <v>30</v>
      </c>
    </row>
    <row r="107" spans="1:6" s="877" customFormat="1" ht="36">
      <c r="A107" s="881">
        <v>47</v>
      </c>
      <c r="B107" s="3390" t="s">
        <v>713</v>
      </c>
      <c r="C107" s="881" t="s">
        <v>714</v>
      </c>
      <c r="D107" s="817" t="s">
        <v>715</v>
      </c>
      <c r="E107" s="894">
        <v>0.3</v>
      </c>
      <c r="F107" s="881">
        <v>50</v>
      </c>
    </row>
    <row r="108" spans="1:6" s="877" customFormat="1" ht="36">
      <c r="A108" s="881">
        <v>48</v>
      </c>
      <c r="B108" s="3390"/>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90" t="s">
        <v>724</v>
      </c>
      <c r="C111" s="881" t="s">
        <v>725</v>
      </c>
      <c r="D111" s="817" t="s">
        <v>726</v>
      </c>
      <c r="E111" s="894">
        <v>0.2</v>
      </c>
      <c r="F111" s="881">
        <v>30</v>
      </c>
    </row>
    <row r="112" spans="1:6" s="877" customFormat="1" ht="24">
      <c r="A112" s="881">
        <v>52</v>
      </c>
      <c r="B112" s="3390"/>
      <c r="C112" s="881" t="s">
        <v>727</v>
      </c>
      <c r="D112" s="817" t="s">
        <v>728</v>
      </c>
      <c r="E112" s="894">
        <v>0.2</v>
      </c>
      <c r="F112" s="881">
        <v>30</v>
      </c>
    </row>
    <row r="113" spans="1:6" s="877" customFormat="1" ht="24">
      <c r="A113" s="881">
        <v>53</v>
      </c>
      <c r="B113" s="3390"/>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90" t="s">
        <v>737</v>
      </c>
      <c r="C116" s="881" t="s">
        <v>738</v>
      </c>
      <c r="D116" s="817" t="s">
        <v>739</v>
      </c>
      <c r="E116" s="894">
        <v>0.2</v>
      </c>
      <c r="F116" s="881">
        <v>30</v>
      </c>
    </row>
    <row r="117" spans="1:6" ht="36">
      <c r="A117" s="881">
        <v>57</v>
      </c>
      <c r="B117" s="3390"/>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58" t="s">
        <v>3000</v>
      </c>
    </row>
    <row r="2" spans="1:5" ht="15.75">
      <c r="A2" s="2907" t="s">
        <v>2992</v>
      </c>
      <c r="B2" s="2908" t="e">
        <f ca="1">SUMIF(B6:B13,"&lt;&gt;#ref!",B6:B13)</f>
        <v>#DIV/0!</v>
      </c>
      <c r="C2" s="2907" t="s">
        <v>2993</v>
      </c>
      <c r="D2" s="2907" t="s">
        <v>2994</v>
      </c>
      <c r="E2" s="2908" t="e">
        <f ca="1">SUM(E6:E13)</f>
        <v>#REF!</v>
      </c>
    </row>
    <row r="3" spans="1:5" ht="15.75">
      <c r="A3" s="2907" t="s">
        <v>2995</v>
      </c>
      <c r="B3" s="2908" t="e">
        <f ca="1">ROUND(B2*10000/E2,0)</f>
        <v>#DIV/0!</v>
      </c>
      <c r="C3" s="2907" t="s">
        <v>3001</v>
      </c>
      <c r="D3" s="2909"/>
      <c r="E3" s="2909"/>
    </row>
    <row r="4" spans="1:5" ht="15.75">
      <c r="A4" s="2910"/>
      <c r="B4" s="2909"/>
      <c r="C4" s="2909"/>
      <c r="D4" s="2909"/>
      <c r="E4" s="2909"/>
    </row>
    <row r="5" spans="1:5" ht="28.5">
      <c r="A5" s="2911" t="s">
        <v>2996</v>
      </c>
      <c r="B5" s="2907" t="s">
        <v>2997</v>
      </c>
      <c r="C5" s="2908"/>
      <c r="D5" s="2909"/>
      <c r="E5" s="2907" t="s">
        <v>2998</v>
      </c>
    </row>
    <row r="6" spans="1:5" ht="15.75">
      <c r="A6" s="2912" t="s">
        <v>2999</v>
      </c>
      <c r="B6" s="2908" t="e">
        <f ca="1">SUMIF(INDIRECT("'"&amp;A6&amp;"'"&amp;"!A:A"),"总价",INDIRECT("'"&amp;A6&amp;"'"&amp;"!B:B"))</f>
        <v>#DIV/0!</v>
      </c>
      <c r="C6" s="2907" t="s">
        <v>2993</v>
      </c>
      <c r="D6" s="2909"/>
      <c r="E6" s="2572">
        <f ca="1">SUMIF(INDIRECT("'"&amp;A6&amp;"'"&amp;"!C:C"),"建筑面积",INDIRECT("'"&amp;A6&amp;"'"&amp;"!D:D"))</f>
        <v>0</v>
      </c>
    </row>
    <row r="7" spans="1:5" ht="15.75">
      <c r="A7" s="2912"/>
      <c r="B7" s="2908" t="e">
        <f ca="1">SUMIF(INDIRECT("'"&amp;A7&amp;"'"&amp;"!A:A"),"总价",INDIRECT("'"&amp;A7&amp;"'"&amp;"!B:B"))</f>
        <v>#REF!</v>
      </c>
      <c r="C7" s="2907" t="s">
        <v>2993</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2993</v>
      </c>
      <c r="D8" s="2909"/>
      <c r="E8" s="2572" t="e">
        <f t="shared" ca="1" si="0"/>
        <v>#REF!</v>
      </c>
    </row>
    <row r="9" spans="1:5" ht="15.75">
      <c r="A9" s="2912"/>
      <c r="B9" s="2908" t="e">
        <f t="shared" ca="1" si="1"/>
        <v>#REF!</v>
      </c>
      <c r="C9" s="2907" t="s">
        <v>2993</v>
      </c>
      <c r="D9" s="2909"/>
      <c r="E9" s="2572" t="e">
        <f t="shared" ca="1" si="0"/>
        <v>#REF!</v>
      </c>
    </row>
    <row r="10" spans="1:5" ht="15.75">
      <c r="A10" s="2912"/>
      <c r="B10" s="2908" t="e">
        <f t="shared" ca="1" si="1"/>
        <v>#REF!</v>
      </c>
      <c r="C10" s="2907" t="s">
        <v>2993</v>
      </c>
      <c r="D10" s="2909"/>
      <c r="E10" s="2572" t="e">
        <f t="shared" ca="1" si="0"/>
        <v>#REF!</v>
      </c>
    </row>
    <row r="11" spans="1:5" ht="15.75">
      <c r="A11" s="2912"/>
      <c r="B11" s="2908" t="e">
        <f t="shared" ca="1" si="1"/>
        <v>#REF!</v>
      </c>
      <c r="C11" s="2907" t="s">
        <v>2993</v>
      </c>
      <c r="D11" s="2909"/>
      <c r="E11" s="2572" t="e">
        <f t="shared" ca="1" si="0"/>
        <v>#REF!</v>
      </c>
    </row>
    <row r="12" spans="1:5" ht="15.75">
      <c r="A12" s="2912"/>
      <c r="B12" s="2908" t="e">
        <f t="shared" ca="1" si="1"/>
        <v>#REF!</v>
      </c>
      <c r="C12" s="2907" t="s">
        <v>2993</v>
      </c>
      <c r="D12" s="2909"/>
      <c r="E12" s="2572" t="e">
        <f t="shared" ca="1" si="0"/>
        <v>#REF!</v>
      </c>
    </row>
    <row r="13" spans="1:5" ht="15.75">
      <c r="A13" s="2912"/>
      <c r="B13" s="2908" t="e">
        <f t="shared" ca="1" si="1"/>
        <v>#REF!</v>
      </c>
      <c r="C13" s="2907" t="s">
        <v>2993</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1622</v>
      </c>
      <c r="B1" s="1961"/>
      <c r="C1" s="1961"/>
      <c r="D1" s="1961"/>
      <c r="E1" s="1961"/>
    </row>
    <row r="2" spans="1:5" ht="78" customHeight="1">
      <c r="A2" s="30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2"/>
      <c r="C2" s="3082"/>
      <c r="D2" s="3082"/>
      <c r="E2" s="3082"/>
    </row>
    <row r="3" spans="1:5" ht="18">
      <c r="A3" s="3083" t="str">
        <f>IF(项目基本情况!B9="房地产市场价值","估价结果一览表（市场价值不需“结果表-1”）","估价结果一览表")</f>
        <v>估价结果一览表</v>
      </c>
      <c r="B3" s="3083"/>
      <c r="C3" s="3083"/>
      <c r="D3" s="3083"/>
      <c r="E3" s="3083"/>
    </row>
    <row r="4" spans="1:5" ht="19.5" thickBot="1">
      <c r="A4" s="1963"/>
      <c r="B4" s="3081" t="s">
        <v>1631</v>
      </c>
      <c r="C4" s="3081"/>
      <c r="D4" s="3081"/>
      <c r="E4" s="1963"/>
    </row>
    <row r="5" spans="1:5" ht="16.5" thickTop="1">
      <c r="A5" s="1961"/>
      <c r="B5" s="3079" t="s">
        <v>1623</v>
      </c>
      <c r="C5" s="1964" t="s">
        <v>1624</v>
      </c>
      <c r="D5" s="1042">
        <f ca="1">结果表!H101</f>
        <v>2161</v>
      </c>
      <c r="E5" s="1961"/>
    </row>
    <row r="6" spans="1:5" ht="15.75">
      <c r="A6" s="1961"/>
      <c r="B6" s="3079"/>
      <c r="C6" s="1964" t="s">
        <v>1625</v>
      </c>
      <c r="D6" s="1042" t="str">
        <f ca="1">NUMBERSTRING(INT(D5*10000),2)&amp;"元整"</f>
        <v>贰仟壹佰陆拾壹万元整</v>
      </c>
      <c r="E6" s="1961"/>
    </row>
    <row r="7" spans="1:5" ht="15.75">
      <c r="A7" s="1961"/>
      <c r="B7" s="3084"/>
      <c r="C7" s="1965" t="s">
        <v>1626</v>
      </c>
      <c r="D7" s="1043">
        <f ca="1">结果表!H102</f>
        <v>2783</v>
      </c>
      <c r="E7" s="1961"/>
    </row>
    <row r="8" spans="1:5" ht="15.75">
      <c r="A8" s="1961"/>
      <c r="B8" s="3085" t="str">
        <f>结果表!E103</f>
        <v>2.估价师知悉的法定优先受偿款</v>
      </c>
      <c r="C8" s="1966" t="s">
        <v>1627</v>
      </c>
      <c r="D8" s="1043">
        <f>结果表!H103</f>
        <v>0</v>
      </c>
      <c r="E8" s="1961"/>
    </row>
    <row r="9" spans="1:5" ht="15.75">
      <c r="A9" s="1961"/>
      <c r="B9" s="3087"/>
      <c r="C9" s="1964" t="s">
        <v>1625</v>
      </c>
      <c r="D9" s="1042" t="str">
        <f>NUMBERSTRING(INT(D8*10000),2)&amp;"元整"</f>
        <v>零元整</v>
      </c>
      <c r="E9" s="1961"/>
    </row>
    <row r="10" spans="1:5" ht="15">
      <c r="A10" s="1961"/>
      <c r="B10" s="1967" t="s">
        <v>1630</v>
      </c>
      <c r="C10" s="1968" t="s">
        <v>1628</v>
      </c>
      <c r="D10" s="1044">
        <f>结果表!H104</f>
        <v>0</v>
      </c>
      <c r="E10" s="1961"/>
    </row>
    <row r="11" spans="1:5" ht="15">
      <c r="A11" s="1961"/>
      <c r="B11" s="1967" t="s">
        <v>1632</v>
      </c>
      <c r="C11" s="1968" t="s">
        <v>1633</v>
      </c>
      <c r="D11" s="1044">
        <f>结果表!H105</f>
        <v>0</v>
      </c>
      <c r="E11" s="1961"/>
    </row>
    <row r="12" spans="1:5" ht="15">
      <c r="A12" s="1961"/>
      <c r="B12" s="1967" t="s">
        <v>1634</v>
      </c>
      <c r="C12" s="1968" t="s">
        <v>1633</v>
      </c>
      <c r="D12" s="1044">
        <f>结果表!H106</f>
        <v>0</v>
      </c>
      <c r="E12" s="1961"/>
    </row>
    <row r="13" spans="1:5" ht="15.75">
      <c r="A13" s="1961"/>
      <c r="B13" s="3078" t="str">
        <f>结果表!E107</f>
        <v>3.房地产抵押价值</v>
      </c>
      <c r="C13" s="1969" t="s">
        <v>1624</v>
      </c>
      <c r="D13" s="1045">
        <f ca="1">结果表!H107</f>
        <v>2161</v>
      </c>
      <c r="E13" s="1961"/>
    </row>
    <row r="14" spans="1:5" ht="15.75">
      <c r="A14" s="1961"/>
      <c r="B14" s="3079"/>
      <c r="C14" s="1964" t="s">
        <v>1625</v>
      </c>
      <c r="D14" s="1042" t="str">
        <f ca="1">NUMBERSTRING(INT(D13*10000),2)&amp;"元整"</f>
        <v>贰仟壹佰陆拾壹万元整</v>
      </c>
      <c r="E14" s="1961"/>
    </row>
    <row r="15" spans="1:5" ht="15">
      <c r="A15" s="1961"/>
      <c r="B15" s="3084"/>
      <c r="C15" s="1965" t="s">
        <v>1635</v>
      </c>
      <c r="D15" s="1054">
        <f ca="1">结果表!H108</f>
        <v>2783</v>
      </c>
      <c r="E15" s="1961"/>
    </row>
    <row r="16" spans="1:5" ht="15">
      <c r="A16" s="1961"/>
      <c r="B16" s="3085" t="str">
        <f>结果表!E109</f>
        <v>——</v>
      </c>
      <c r="C16" s="1969" t="s">
        <v>1636</v>
      </c>
      <c r="D16" s="1970" t="str">
        <f>结果表!H109</f>
        <v>——</v>
      </c>
      <c r="E16" s="1961"/>
    </row>
    <row r="17" spans="1:5" ht="15.75">
      <c r="A17" s="1961"/>
      <c r="B17" s="3086"/>
      <c r="C17" s="1964" t="s">
        <v>1637</v>
      </c>
      <c r="D17" s="1042" t="e">
        <f>NUMBERSTRING(INT(D16*10000),2)&amp;"元整"</f>
        <v>#VALUE!</v>
      </c>
      <c r="E17" s="1961"/>
    </row>
    <row r="18" spans="1:5" ht="15">
      <c r="A18" s="1961"/>
      <c r="B18" s="3087"/>
      <c r="C18" s="1965" t="s">
        <v>1626</v>
      </c>
      <c r="D18" s="1054" t="str">
        <f>结果表!H110</f>
        <v>——</v>
      </c>
      <c r="E18" s="1961"/>
    </row>
    <row r="19" spans="1:5" ht="15.75">
      <c r="A19" s="1961"/>
      <c r="B19" s="3078" t="str">
        <f>结果表!E111</f>
        <v>——</v>
      </c>
      <c r="C19" s="1969" t="s">
        <v>1624</v>
      </c>
      <c r="D19" s="1043" t="str">
        <f>结果表!H111</f>
        <v>——</v>
      </c>
      <c r="E19" s="1961"/>
    </row>
    <row r="20" spans="1:5" ht="15.75">
      <c r="A20" s="1961"/>
      <c r="B20" s="3079"/>
      <c r="C20" s="1964" t="s">
        <v>1637</v>
      </c>
      <c r="D20" s="1042" t="e">
        <f>NUMBERSTRING(INT(D19*10000),2)&amp;"元整"</f>
        <v>#VALUE!</v>
      </c>
      <c r="E20" s="1961"/>
    </row>
    <row r="21" spans="1:5" ht="15.75" thickBot="1">
      <c r="A21" s="1961"/>
      <c r="B21" s="3080"/>
      <c r="C21" s="1971" t="s">
        <v>1635</v>
      </c>
      <c r="D21" s="1055" t="str">
        <f>结果表!H112</f>
        <v>——</v>
      </c>
      <c r="E21" s="1961"/>
    </row>
    <row r="22" spans="1:5" ht="15" thickTop="1">
      <c r="A22" s="1961"/>
      <c r="B22" s="1972" t="s">
        <v>1638</v>
      </c>
      <c r="C22" s="1961"/>
      <c r="D22" s="1961"/>
      <c r="E22" s="1961"/>
    </row>
    <row r="23" spans="1:5">
      <c r="A23" s="1961"/>
      <c r="B23" s="1961"/>
      <c r="C23" s="1961"/>
      <c r="D23" s="1961"/>
      <c r="E23" s="1961"/>
    </row>
    <row r="24" spans="1:5" ht="18.75">
      <c r="A24" s="1973"/>
      <c r="B24" s="1974" t="s">
        <v>1629</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7" customFormat="1">
      <c r="B1" s="3396" t="s">
        <v>1150</v>
      </c>
      <c r="C1" s="3396"/>
      <c r="D1" s="3396"/>
      <c r="E1" s="3396"/>
      <c r="F1" s="3396"/>
      <c r="G1" s="3395" t="s">
        <v>1151</v>
      </c>
      <c r="H1" s="3395"/>
      <c r="I1" s="3395"/>
      <c r="J1" s="3395"/>
      <c r="K1" s="3395"/>
      <c r="L1" s="3395"/>
      <c r="N1" s="3395" t="s">
        <v>1152</v>
      </c>
      <c r="O1" s="3395"/>
      <c r="P1" s="3395"/>
      <c r="Q1" s="3395"/>
      <c r="R1" s="1448"/>
      <c r="S1" s="3395" t="s">
        <v>1153</v>
      </c>
      <c r="T1" s="3395"/>
      <c r="U1" s="3395"/>
      <c r="V1" s="3395"/>
      <c r="X1" s="3394" t="s">
        <v>1154</v>
      </c>
      <c r="Y1" s="3395"/>
      <c r="Z1" s="3395"/>
      <c r="AA1" s="3395"/>
      <c r="AB1" s="3395"/>
      <c r="AD1" s="3394" t="s">
        <v>1155</v>
      </c>
      <c r="AE1" s="3395"/>
      <c r="AF1" s="3395"/>
      <c r="AG1" s="3395"/>
      <c r="AH1" s="3395"/>
    </row>
    <row r="2" spans="1:34" s="1449" customFormat="1" ht="14.25" thickBot="1">
      <c r="B2" s="1450" t="s">
        <v>1156</v>
      </c>
      <c r="C2" s="1450" t="s">
        <v>1157</v>
      </c>
      <c r="D2" s="1451" t="s">
        <v>1158</v>
      </c>
      <c r="E2" s="1451" t="s">
        <v>1159</v>
      </c>
      <c r="F2" s="1450" t="s">
        <v>1160</v>
      </c>
      <c r="G2" s="1452"/>
      <c r="H2" s="1453"/>
      <c r="I2" s="1450" t="s">
        <v>1156</v>
      </c>
      <c r="J2" s="1451" t="s">
        <v>1386</v>
      </c>
      <c r="K2" s="1451" t="s">
        <v>751</v>
      </c>
      <c r="L2" s="1450" t="s">
        <v>1160</v>
      </c>
      <c r="N2" s="1450" t="s">
        <v>1156</v>
      </c>
      <c r="O2" s="1451" t="s">
        <v>1386</v>
      </c>
      <c r="P2" s="1451" t="s">
        <v>751</v>
      </c>
      <c r="Q2" s="1450" t="s">
        <v>1160</v>
      </c>
      <c r="R2" s="1454"/>
      <c r="S2" s="1450" t="s">
        <v>1156</v>
      </c>
      <c r="T2" s="1451" t="s">
        <v>1386</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1455" customFormat="1" ht="14.25">
      <c r="B3" s="1456"/>
      <c r="C3" s="1456"/>
      <c r="D3" s="1457"/>
      <c r="E3" s="1457"/>
      <c r="F3" s="1456"/>
      <c r="G3" s="1458"/>
      <c r="H3" s="1459"/>
      <c r="I3" s="2921"/>
      <c r="J3" s="2921"/>
      <c r="K3" s="2921"/>
      <c r="L3" s="2921"/>
      <c r="N3" s="1458"/>
      <c r="O3" s="1460"/>
      <c r="P3" s="1460"/>
      <c r="Q3" s="1460"/>
      <c r="R3" s="1460"/>
      <c r="S3" s="1458"/>
      <c r="T3" s="1460"/>
      <c r="U3" s="1460"/>
      <c r="V3" s="1460"/>
      <c r="X3" s="1461">
        <f>ROUND(SUMPRODUCT(PRODUCT(1+N3:N$19)),4)</f>
        <v>1.4742</v>
      </c>
      <c r="Y3" s="1461">
        <f>ROUND(SUMPRODUCT(PRODUCT(1+O3:O$19)),4)</f>
        <v>1.2875000000000001</v>
      </c>
      <c r="Z3" s="1461">
        <f t="shared" ref="Z3:Z17" si="0">Y3</f>
        <v>1.2875000000000001</v>
      </c>
      <c r="AA3" s="1461">
        <f>ROUND(SUMPRODUCT(PRODUCT(1+P3:P$19)),4)</f>
        <v>1.5399</v>
      </c>
      <c r="AB3" s="1461">
        <f>ROUND(SUMPRODUCT(PRODUCT(1+Q3:Q$19)),4)</f>
        <v>1.2475000000000001</v>
      </c>
      <c r="AD3" s="1462">
        <f>ROUND(AVERAGE(I3:I$20)/100,4)</f>
        <v>2.4899999999999999E-2</v>
      </c>
      <c r="AE3" s="1462">
        <f>ROUND(AVERAGE(J3:J$20)/100,4)</f>
        <v>1.6400000000000001E-2</v>
      </c>
      <c r="AF3" s="1462">
        <f t="shared" ref="AF3:AF18" si="1">AE3</f>
        <v>1.6400000000000001E-2</v>
      </c>
      <c r="AG3" s="1462">
        <f>ROUND(AVERAGE(K3:K$20)/100,4)</f>
        <v>2.7799999999999998E-2</v>
      </c>
      <c r="AH3" s="1462">
        <f>ROUND(AVERAGE(L3:L$20)/100,4)</f>
        <v>1.3899999999999999E-2</v>
      </c>
    </row>
    <row r="4" spans="1:34" s="1455" customFormat="1">
      <c r="A4" s="1463" t="s">
        <v>3035</v>
      </c>
      <c r="B4" s="1480">
        <f t="shared" ref="B4" si="2">B5*(1+N4)</f>
        <v>453.57903691012211</v>
      </c>
      <c r="C4" s="1480">
        <f t="shared" ref="C4" si="3">C5*(1+O4)</f>
        <v>331.18001284964259</v>
      </c>
      <c r="D4" s="1480">
        <f t="shared" ref="D4" si="4">C4</f>
        <v>331.18001284964259</v>
      </c>
      <c r="E4" s="1480">
        <f t="shared" ref="E4" si="5">E5*(1+P4)</f>
        <v>650.68458238034486</v>
      </c>
      <c r="F4" s="1480">
        <f t="shared" ref="F4" si="6">F5*(1+Q4)</f>
        <v>287.29097305893981</v>
      </c>
      <c r="G4" s="1458">
        <v>2018</v>
      </c>
      <c r="H4" s="1459">
        <v>1</v>
      </c>
      <c r="I4" s="2921">
        <f>ROUND(AVERAGE(I5:I20),2)</f>
        <v>2.4900000000000002</v>
      </c>
      <c r="J4" s="2921">
        <f t="shared" ref="J4:L4" si="7">ROUND(AVERAGE(J5:J20),2)</f>
        <v>1.64</v>
      </c>
      <c r="K4" s="2921">
        <f t="shared" si="7"/>
        <v>2.78</v>
      </c>
      <c r="L4" s="2921">
        <f t="shared" si="7"/>
        <v>1.39</v>
      </c>
      <c r="N4" s="1475">
        <f t="shared" ref="N4:N9" si="8">I4/100</f>
        <v>2.4900000000000002E-2</v>
      </c>
      <c r="O4" s="1476">
        <f t="shared" ref="O4" si="9">J4/100</f>
        <v>1.6399999999999998E-2</v>
      </c>
      <c r="P4" s="1476">
        <f t="shared" ref="P4" si="10">K4/100</f>
        <v>2.7799999999999998E-2</v>
      </c>
      <c r="Q4" s="1476">
        <f t="shared" ref="Q4" si="11">L4/100</f>
        <v>1.3899999999999999E-2</v>
      </c>
      <c r="R4" s="1460"/>
      <c r="S4" s="1458"/>
      <c r="T4" s="1460"/>
      <c r="U4" s="1460"/>
      <c r="V4" s="1460"/>
      <c r="X4" s="1461"/>
      <c r="Y4" s="1461"/>
      <c r="Z4" s="1461"/>
      <c r="AA4" s="1461"/>
      <c r="AB4" s="1461"/>
      <c r="AD4" s="1462"/>
      <c r="AE4" s="1462"/>
      <c r="AF4" s="1462"/>
      <c r="AG4" s="1462"/>
      <c r="AH4" s="1462"/>
    </row>
    <row r="5" spans="1:34" s="1734" customFormat="1">
      <c r="A5" s="1732" t="s">
        <v>3033</v>
      </c>
      <c r="B5" s="1794">
        <f t="shared" ref="B5" si="12">B6*(1+N5)</f>
        <v>442.55931008890832</v>
      </c>
      <c r="C5" s="1794">
        <f t="shared" ref="C5" si="13">C6*(1+O5)</f>
        <v>325.83629756950273</v>
      </c>
      <c r="D5" s="1794">
        <f t="shared" ref="D5" si="14">C5</f>
        <v>325.83629756950273</v>
      </c>
      <c r="E5" s="1794">
        <f t="shared" ref="E5" si="15">E6*(1+P5)</f>
        <v>633.08482426575677</v>
      </c>
      <c r="F5" s="1794">
        <f t="shared" ref="F5" si="16">F6*(1+Q5)</f>
        <v>283.35237504580311</v>
      </c>
      <c r="G5" s="2918">
        <v>2017</v>
      </c>
      <c r="H5" s="1733">
        <v>4</v>
      </c>
      <c r="I5" s="2922">
        <f>ROUND(AVERAGE(I6:I20),2)</f>
        <v>2.4900000000000002</v>
      </c>
      <c r="J5" s="2922">
        <f>ROUND(AVERAGE(J6:J20),2)</f>
        <v>1.64</v>
      </c>
      <c r="K5" s="2922">
        <f>ROUND(AVERAGE(K6:K20),2)</f>
        <v>2.78</v>
      </c>
      <c r="L5" s="2922">
        <f>ROUND(AVERAGE(L6:L20),2)</f>
        <v>1.39</v>
      </c>
      <c r="N5" s="1469">
        <f t="shared" si="8"/>
        <v>2.4900000000000002E-2</v>
      </c>
      <c r="O5" s="1469">
        <f t="shared" ref="O5" si="17">J5/100</f>
        <v>1.6399999999999998E-2</v>
      </c>
      <c r="P5" s="1469">
        <f t="shared" ref="P5" si="18">K5/100</f>
        <v>2.7799999999999998E-2</v>
      </c>
      <c r="Q5" s="1469">
        <f t="shared" ref="Q5" si="19">L5/100</f>
        <v>1.3899999999999999E-2</v>
      </c>
      <c r="R5" s="1735"/>
      <c r="S5" s="1736"/>
      <c r="T5" s="1735"/>
      <c r="U5" s="1735"/>
      <c r="V5" s="1735"/>
      <c r="W5" s="1470"/>
      <c r="X5" s="1729">
        <f>ROUND(SUMPRODUCT(PRODUCT(1+N5:N$19)),4)</f>
        <v>1.4383999999999999</v>
      </c>
      <c r="Y5" s="1729">
        <f>ROUND(SUMPRODUCT(PRODUCT(1+O5:O$19)),4)</f>
        <v>1.2667999999999999</v>
      </c>
      <c r="Z5" s="1729">
        <f t="shared" si="0"/>
        <v>1.2667999999999999</v>
      </c>
      <c r="AA5" s="1729">
        <f>ROUND(SUMPRODUCT(PRODUCT(1+P5:P$19)),4)</f>
        <v>1.4982</v>
      </c>
      <c r="AB5" s="1729">
        <f>ROUND(SUMPRODUCT(PRODUCT(1+Q5:Q$19)),4)</f>
        <v>1.2303999999999999</v>
      </c>
      <c r="AD5" s="1471">
        <f>ROUND(AVERAGE(I5:I$20)/100,4)</f>
        <v>2.4899999999999999E-2</v>
      </c>
      <c r="AE5" s="1471">
        <f>ROUND(AVERAGE(J5:J$20)/100,4)</f>
        <v>1.6400000000000001E-2</v>
      </c>
      <c r="AF5" s="1471">
        <f t="shared" si="1"/>
        <v>1.6400000000000001E-2</v>
      </c>
      <c r="AG5" s="1471">
        <f>ROUND(AVERAGE(K5:K$20)/100,4)</f>
        <v>2.7799999999999998E-2</v>
      </c>
      <c r="AH5" s="1471">
        <f>ROUND(AVERAGE(L5:L$20)/100,4)</f>
        <v>1.3899999999999999E-2</v>
      </c>
    </row>
    <row r="6" spans="1:34" s="1468" customFormat="1" ht="13.5" thickBot="1">
      <c r="A6" s="1463" t="s">
        <v>3034</v>
      </c>
      <c r="B6" s="1480">
        <f t="shared" ref="B6:B7" si="20">B7*(1+N6)</f>
        <v>431.80730811680002</v>
      </c>
      <c r="C6" s="1480">
        <f t="shared" ref="C6:C7" si="21">C7*(1+O6)</f>
        <v>320.57880516480003</v>
      </c>
      <c r="D6" s="1480">
        <f t="shared" ref="D6:D7" si="22">C6</f>
        <v>320.57880516480003</v>
      </c>
      <c r="E6" s="1480">
        <f t="shared" ref="E6:E7" si="23">E7*(1+P6)</f>
        <v>615.96110553196797</v>
      </c>
      <c r="F6" s="1480">
        <f t="shared" ref="F6:F7" si="24">F7*(1+Q6)</f>
        <v>279.46777300108801</v>
      </c>
      <c r="G6" s="2920"/>
      <c r="H6" s="1466">
        <v>3</v>
      </c>
      <c r="I6" s="1466">
        <v>2.98</v>
      </c>
      <c r="J6" s="1466">
        <v>2.11</v>
      </c>
      <c r="K6" s="1466">
        <v>3.24</v>
      </c>
      <c r="L6" s="1481">
        <v>1.72</v>
      </c>
      <c r="M6" s="1474"/>
      <c r="N6" s="1475">
        <f t="shared" si="8"/>
        <v>2.98E-2</v>
      </c>
      <c r="O6" s="1476">
        <f t="shared" ref="O6" si="25">J6/100</f>
        <v>2.1099999999999997E-2</v>
      </c>
      <c r="P6" s="1476">
        <f t="shared" ref="P6" si="26">K6/100</f>
        <v>3.2400000000000005E-2</v>
      </c>
      <c r="Q6" s="1476">
        <f t="shared" ref="Q6" si="27">L6/100</f>
        <v>1.72E-2</v>
      </c>
      <c r="R6" s="1477"/>
      <c r="S6" s="1475"/>
      <c r="T6" s="1476"/>
      <c r="U6" s="1476"/>
      <c r="V6" s="1476"/>
      <c r="W6" s="1793" t="s">
        <v>1162</v>
      </c>
      <c r="X6" s="1791">
        <f>ROUND(SUMPRODUCT(PRODUCT(1+N6:N$19)),4)</f>
        <v>1.4034</v>
      </c>
      <c r="Y6" s="1791">
        <f>ROUND(SUMPRODUCT(PRODUCT(1+O6:O$19)),4)</f>
        <v>1.2463</v>
      </c>
      <c r="Z6" s="1791">
        <f t="shared" si="0"/>
        <v>1.2463</v>
      </c>
      <c r="AA6" s="1791">
        <f>ROUND(SUMPRODUCT(PRODUCT(1+P6:P$19)),4)</f>
        <v>1.4577</v>
      </c>
      <c r="AB6" s="1791">
        <f>ROUND(SUMPRODUCT(PRODUCT(1+Q6:Q$19)),4)</f>
        <v>1.2136</v>
      </c>
      <c r="AC6" s="1793"/>
      <c r="AD6" s="1792">
        <f>ROUND(AVERAGE(I6:I$20)/100,4)</f>
        <v>2.4899999999999999E-2</v>
      </c>
      <c r="AE6" s="1792">
        <f>ROUND(AVERAGE(J6:J$20)/100,4)</f>
        <v>1.6400000000000001E-2</v>
      </c>
      <c r="AF6" s="1792">
        <f t="shared" si="1"/>
        <v>1.6400000000000001E-2</v>
      </c>
      <c r="AG6" s="1792">
        <f>ROUND(AVERAGE(K6:K$20)/100,4)</f>
        <v>2.7799999999999998E-2</v>
      </c>
      <c r="AH6" s="1792">
        <f>ROUND(AVERAGE(L6:L$20)/100,4)</f>
        <v>1.3899999999999999E-2</v>
      </c>
    </row>
    <row r="7" spans="1:34" s="1734" customFormat="1">
      <c r="A7" s="1463" t="s">
        <v>1387</v>
      </c>
      <c r="B7" s="1480">
        <f t="shared" si="20"/>
        <v>419.31181600000002</v>
      </c>
      <c r="C7" s="1480">
        <f t="shared" si="21"/>
        <v>313.95436800000004</v>
      </c>
      <c r="D7" s="1480">
        <f t="shared" si="22"/>
        <v>313.95436800000004</v>
      </c>
      <c r="E7" s="1480">
        <f t="shared" si="23"/>
        <v>596.63028431999999</v>
      </c>
      <c r="F7" s="1480">
        <f t="shared" si="24"/>
        <v>274.74220703999998</v>
      </c>
      <c r="G7" s="2919"/>
      <c r="H7" s="1467">
        <v>2</v>
      </c>
      <c r="I7" s="1467">
        <v>3.4</v>
      </c>
      <c r="J7" s="1467">
        <v>2</v>
      </c>
      <c r="K7" s="1467">
        <v>3.82</v>
      </c>
      <c r="L7" s="1482">
        <v>1.68</v>
      </c>
      <c r="M7" s="1474"/>
      <c r="N7" s="1475">
        <f t="shared" si="8"/>
        <v>3.4000000000000002E-2</v>
      </c>
      <c r="O7" s="1476">
        <f t="shared" ref="O7" si="28">J7/100</f>
        <v>0.02</v>
      </c>
      <c r="P7" s="1476">
        <f t="shared" ref="P7" si="29">K7/100</f>
        <v>3.8199999999999998E-2</v>
      </c>
      <c r="Q7" s="1476">
        <f t="shared" ref="Q7" si="30">L7/100</f>
        <v>1.6799999999999999E-2</v>
      </c>
      <c r="R7" s="1477"/>
      <c r="S7" s="1478"/>
      <c r="T7" s="1479"/>
      <c r="U7" s="1479"/>
      <c r="V7" s="1479"/>
      <c r="W7" s="1455"/>
      <c r="X7" s="1791">
        <f>ROUND(SUMPRODUCT(PRODUCT(1+N7:N$19)),4)</f>
        <v>1.3628</v>
      </c>
      <c r="Y7" s="1791">
        <f>ROUND(SUMPRODUCT(PRODUCT(1+O7:O$19)),4)</f>
        <v>1.2205999999999999</v>
      </c>
      <c r="Z7" s="1791">
        <f t="shared" si="0"/>
        <v>1.2205999999999999</v>
      </c>
      <c r="AA7" s="1791">
        <f>ROUND(SUMPRODUCT(PRODUCT(1+P7:P$19)),4)</f>
        <v>1.4118999999999999</v>
      </c>
      <c r="AB7" s="1791">
        <f>ROUND(SUMPRODUCT(PRODUCT(1+Q7:Q$19)),4)</f>
        <v>1.1930000000000001</v>
      </c>
      <c r="AC7" s="1455"/>
      <c r="AD7" s="1792">
        <f>ROUND(AVERAGE(I7:I$20)/100,4)</f>
        <v>2.46E-2</v>
      </c>
      <c r="AE7" s="1792">
        <f>ROUND(AVERAGE(J7:J$20)/100,4)</f>
        <v>1.6E-2</v>
      </c>
      <c r="AF7" s="1792">
        <f t="shared" si="1"/>
        <v>1.6E-2</v>
      </c>
      <c r="AG7" s="1792">
        <f>ROUND(AVERAGE(K7:K$20)/100,4)</f>
        <v>2.75E-2</v>
      </c>
      <c r="AH7" s="1792">
        <f>ROUND(AVERAGE(L7:L$20)/100,4)</f>
        <v>1.37E-2</v>
      </c>
    </row>
    <row r="8" spans="1:34" s="1468" customFormat="1" ht="13.5" thickBot="1">
      <c r="A8" s="1463" t="s">
        <v>1161</v>
      </c>
      <c r="B8" s="1480">
        <f>B9*(1+N8)</f>
        <v>405.524</v>
      </c>
      <c r="C8" s="1480">
        <f>C9*(1+O8)</f>
        <v>307.79840000000002</v>
      </c>
      <c r="D8" s="1480">
        <f>C8</f>
        <v>307.79840000000002</v>
      </c>
      <c r="E8" s="1480">
        <f>E9*(1+P8)</f>
        <v>574.67759999999998</v>
      </c>
      <c r="F8" s="1480">
        <f>F9*(1+Q8)</f>
        <v>270.20280000000002</v>
      </c>
      <c r="G8" s="2920"/>
      <c r="H8" s="1466">
        <v>1</v>
      </c>
      <c r="I8" s="1466">
        <v>3.45</v>
      </c>
      <c r="J8" s="1466">
        <v>1.92</v>
      </c>
      <c r="K8" s="1466">
        <v>3.92</v>
      </c>
      <c r="L8" s="1481">
        <v>1.58</v>
      </c>
      <c r="M8" s="1474"/>
      <c r="N8" s="1475">
        <f t="shared" si="8"/>
        <v>3.4500000000000003E-2</v>
      </c>
      <c r="O8" s="1476">
        <f t="shared" ref="O8:Q23" si="31">J8/100</f>
        <v>1.9199999999999998E-2</v>
      </c>
      <c r="P8" s="1476">
        <f t="shared" si="31"/>
        <v>3.9199999999999999E-2</v>
      </c>
      <c r="Q8" s="1476">
        <f t="shared" si="31"/>
        <v>1.5800000000000002E-2</v>
      </c>
      <c r="R8" s="1477"/>
      <c r="S8" s="1475">
        <f>B8/B9-1</f>
        <v>3.4499999999999975E-2</v>
      </c>
      <c r="T8" s="1476">
        <f t="shared" ref="T8:V8" si="32">C8/C9-1</f>
        <v>1.9200000000000106E-2</v>
      </c>
      <c r="U8" s="1476">
        <f t="shared" si="32"/>
        <v>1.9200000000000106E-2</v>
      </c>
      <c r="V8" s="1476">
        <f t="shared" si="32"/>
        <v>3.9199999999999902E-2</v>
      </c>
      <c r="W8" s="1793"/>
      <c r="X8" s="1791">
        <f>ROUND(SUMPRODUCT(PRODUCT(1+N8:N$19)),4)</f>
        <v>1.3180000000000001</v>
      </c>
      <c r="Y8" s="1791">
        <f>ROUND(SUMPRODUCT(PRODUCT(1+O8:O$19)),4)</f>
        <v>1.1966000000000001</v>
      </c>
      <c r="Z8" s="1791">
        <f t="shared" si="0"/>
        <v>1.1966000000000001</v>
      </c>
      <c r="AA8" s="1791">
        <f>ROUND(SUMPRODUCT(PRODUCT(1+P8:P$19)),4)</f>
        <v>1.36</v>
      </c>
      <c r="AB8" s="1791">
        <f>ROUND(SUMPRODUCT(PRODUCT(1+Q8:Q$19)),4)</f>
        <v>1.1733</v>
      </c>
      <c r="AC8" s="1793"/>
      <c r="AD8" s="1792">
        <f>ROUND(AVERAGE(I8:I$20)/100,4)</f>
        <v>2.3900000000000001E-2</v>
      </c>
      <c r="AE8" s="1792">
        <f>ROUND(AVERAGE(J8:J$20)/100,4)</f>
        <v>1.5699999999999999E-2</v>
      </c>
      <c r="AF8" s="1792">
        <f t="shared" si="1"/>
        <v>1.5699999999999999E-2</v>
      </c>
      <c r="AG8" s="1792">
        <f>ROUND(AVERAGE(K8:K$20)/100,4)</f>
        <v>2.6599999999999999E-2</v>
      </c>
      <c r="AH8" s="1792">
        <f>ROUND(AVERAGE(L8:L$20)/100,4)</f>
        <v>1.34E-2</v>
      </c>
    </row>
    <row r="9" spans="1:34">
      <c r="A9" s="1463" t="s">
        <v>154</v>
      </c>
      <c r="B9" s="1472">
        <v>392</v>
      </c>
      <c r="C9" s="1472">
        <v>302</v>
      </c>
      <c r="D9" s="1472">
        <f>C9</f>
        <v>302</v>
      </c>
      <c r="E9" s="1472">
        <v>553</v>
      </c>
      <c r="F9" s="1473">
        <v>266</v>
      </c>
      <c r="G9" s="3397">
        <v>2016</v>
      </c>
      <c r="H9" s="1464">
        <v>4</v>
      </c>
      <c r="I9" s="1464">
        <v>4.5599999999999996</v>
      </c>
      <c r="J9" s="1464">
        <v>2.15</v>
      </c>
      <c r="K9" s="1464">
        <v>5.32</v>
      </c>
      <c r="L9" s="1465">
        <v>1.57</v>
      </c>
      <c r="N9" s="1475">
        <f t="shared" si="8"/>
        <v>4.5599999999999995E-2</v>
      </c>
      <c r="O9" s="1476">
        <f t="shared" si="31"/>
        <v>2.1499999999999998E-2</v>
      </c>
      <c r="P9" s="1476">
        <f t="shared" si="31"/>
        <v>5.3200000000000004E-2</v>
      </c>
      <c r="Q9" s="1476">
        <f t="shared" si="31"/>
        <v>1.5700000000000002E-2</v>
      </c>
      <c r="R9" s="1477"/>
      <c r="S9" s="1478"/>
      <c r="T9" s="1479"/>
      <c r="U9" s="1479"/>
      <c r="V9" s="1479"/>
      <c r="X9" s="1461">
        <f>ROUND(SUMPRODUCT(PRODUCT(1+N9:N$19)),4)</f>
        <v>1.274</v>
      </c>
      <c r="Y9" s="1461">
        <f>ROUND(SUMPRODUCT(PRODUCT(1+O9:O$19)),4)</f>
        <v>1.1740999999999999</v>
      </c>
      <c r="Z9" s="1461">
        <f t="shared" si="0"/>
        <v>1.1740999999999999</v>
      </c>
      <c r="AA9" s="1461">
        <f>ROUND(SUMPRODUCT(PRODUCT(1+P9:P$19)),4)</f>
        <v>1.3087</v>
      </c>
      <c r="AB9" s="1461">
        <f>ROUND(SUMPRODUCT(PRODUCT(1+Q9:Q$19)),4)</f>
        <v>1.1551</v>
      </c>
      <c r="AD9" s="1462">
        <f>ROUND(AVERAGE(I9:I$20)/100,4)</f>
        <v>2.3E-2</v>
      </c>
      <c r="AE9" s="1462">
        <f>ROUND(AVERAGE(J9:J$20)/100,4)</f>
        <v>1.55E-2</v>
      </c>
      <c r="AF9" s="1462">
        <f t="shared" si="1"/>
        <v>1.55E-2</v>
      </c>
      <c r="AG9" s="1462">
        <f>ROUND(AVERAGE(K9:K$20)/100,4)</f>
        <v>2.5600000000000001E-2</v>
      </c>
      <c r="AH9" s="1462">
        <f>ROUND(AVERAGE(L9:L$20)/100,4)</f>
        <v>1.32E-2</v>
      </c>
    </row>
    <row r="10" spans="1:34">
      <c r="A10" s="1463" t="s">
        <v>153</v>
      </c>
      <c r="B10" s="1480">
        <f t="shared" ref="B10:C12" si="33">B9/(1+N9)</f>
        <v>374.90436113236416</v>
      </c>
      <c r="C10" s="1480">
        <f t="shared" si="33"/>
        <v>295.64366128242779</v>
      </c>
      <c r="D10" s="1480">
        <f t="shared" ref="D10:D69" si="34">C10</f>
        <v>295.64366128242779</v>
      </c>
      <c r="E10" s="1480">
        <f t="shared" ref="E10:F12" si="35">E9/(1+P9)</f>
        <v>525.06646410938095</v>
      </c>
      <c r="F10" s="1480">
        <f t="shared" si="35"/>
        <v>261.88835286009646</v>
      </c>
      <c r="G10" s="3392"/>
      <c r="H10" s="1466">
        <v>3</v>
      </c>
      <c r="I10" s="1466">
        <v>4.12</v>
      </c>
      <c r="J10" s="1466">
        <v>2</v>
      </c>
      <c r="K10" s="1466">
        <v>4.79</v>
      </c>
      <c r="L10" s="1481">
        <v>1.97</v>
      </c>
      <c r="N10" s="1475">
        <f t="shared" ref="N10:Q44" si="36">I10/100</f>
        <v>4.1200000000000001E-2</v>
      </c>
      <c r="O10" s="1476">
        <f t="shared" si="31"/>
        <v>0.02</v>
      </c>
      <c r="P10" s="1476">
        <f t="shared" si="31"/>
        <v>4.7899999999999998E-2</v>
      </c>
      <c r="Q10" s="1476">
        <f t="shared" si="31"/>
        <v>1.9699999999999999E-2</v>
      </c>
      <c r="R10" s="1477"/>
      <c r="S10" s="1475"/>
      <c r="T10" s="1476"/>
      <c r="U10" s="1476"/>
      <c r="V10" s="1476"/>
      <c r="X10" s="1461">
        <f>ROUND(SUMPRODUCT(PRODUCT(1+N10:N$19)),4)</f>
        <v>1.2184999999999999</v>
      </c>
      <c r="Y10" s="1461">
        <f>ROUND(SUMPRODUCT(PRODUCT(1+O10:O$19)),4)</f>
        <v>1.1494</v>
      </c>
      <c r="Z10" s="1461">
        <f t="shared" si="0"/>
        <v>1.1494</v>
      </c>
      <c r="AA10" s="1461">
        <f>ROUND(SUMPRODUCT(PRODUCT(1+P10:P$19)),4)</f>
        <v>1.2425999999999999</v>
      </c>
      <c r="AB10" s="1461">
        <f>ROUND(SUMPRODUCT(PRODUCT(1+Q10:Q$19)),4)</f>
        <v>1.1372</v>
      </c>
      <c r="AD10" s="1462">
        <f>ROUND(AVERAGE(I10:I$20)/100,4)</f>
        <v>2.0899999999999998E-2</v>
      </c>
      <c r="AE10" s="1462">
        <f>ROUND(AVERAGE(J10:J$20)/100,4)</f>
        <v>1.49E-2</v>
      </c>
      <c r="AF10" s="1462">
        <f t="shared" si="1"/>
        <v>1.49E-2</v>
      </c>
      <c r="AG10" s="1462">
        <f>ROUND(AVERAGE(K10:K$20)/100,4)</f>
        <v>2.3099999999999999E-2</v>
      </c>
      <c r="AH10" s="1462">
        <f>ROUND(AVERAGE(L10:L$20)/100,4)</f>
        <v>1.2999999999999999E-2</v>
      </c>
    </row>
    <row r="11" spans="1:34">
      <c r="A11" s="1463" t="s">
        <v>143</v>
      </c>
      <c r="B11" s="1480">
        <f t="shared" si="33"/>
        <v>360.06949782209392</v>
      </c>
      <c r="C11" s="1480">
        <f t="shared" si="33"/>
        <v>289.84672674747821</v>
      </c>
      <c r="D11" s="1480">
        <f t="shared" si="34"/>
        <v>289.84672674747821</v>
      </c>
      <c r="E11" s="1480">
        <f t="shared" si="35"/>
        <v>501.06543001181495</v>
      </c>
      <c r="F11" s="1480">
        <f t="shared" si="35"/>
        <v>256.82882500744967</v>
      </c>
      <c r="G11" s="3392"/>
      <c r="H11" s="1467">
        <v>2</v>
      </c>
      <c r="I11" s="1467">
        <v>3.85</v>
      </c>
      <c r="J11" s="1467">
        <v>1.95</v>
      </c>
      <c r="K11" s="1467">
        <v>4.4800000000000004</v>
      </c>
      <c r="L11" s="1482">
        <v>1.41</v>
      </c>
      <c r="N11" s="1475">
        <f t="shared" si="36"/>
        <v>3.85E-2</v>
      </c>
      <c r="O11" s="1476">
        <f t="shared" si="31"/>
        <v>1.95E-2</v>
      </c>
      <c r="P11" s="1476">
        <f t="shared" si="31"/>
        <v>4.4800000000000006E-2</v>
      </c>
      <c r="Q11" s="1476">
        <f t="shared" si="31"/>
        <v>1.41E-2</v>
      </c>
      <c r="R11" s="1477"/>
      <c r="S11" s="1475"/>
      <c r="T11" s="1476"/>
      <c r="U11" s="1476"/>
      <c r="V11" s="1476"/>
      <c r="X11" s="1461">
        <f>ROUND(SUMPRODUCT(PRODUCT(1+N11:N$19)),4)</f>
        <v>1.1702999999999999</v>
      </c>
      <c r="Y11" s="1461">
        <f>ROUND(SUMPRODUCT(PRODUCT(1+O11:O$19)),4)</f>
        <v>1.1269</v>
      </c>
      <c r="Z11" s="1461">
        <f t="shared" si="0"/>
        <v>1.1269</v>
      </c>
      <c r="AA11" s="1461">
        <f>ROUND(SUMPRODUCT(PRODUCT(1+P11:P$19)),4)</f>
        <v>1.1858</v>
      </c>
      <c r="AB11" s="1461">
        <f>ROUND(SUMPRODUCT(PRODUCT(1+Q11:Q$19)),4)</f>
        <v>1.1152</v>
      </c>
      <c r="AD11" s="1462">
        <f>ROUND(AVERAGE(I11:I$20)/100,4)</f>
        <v>1.89E-2</v>
      </c>
      <c r="AE11" s="1462">
        <f>ROUND(AVERAGE(J11:J$20)/100,4)</f>
        <v>1.44E-2</v>
      </c>
      <c r="AF11" s="1462">
        <f t="shared" si="1"/>
        <v>1.44E-2</v>
      </c>
      <c r="AG11" s="1462">
        <f>ROUND(AVERAGE(K11:K$20)/100,4)</f>
        <v>2.06E-2</v>
      </c>
      <c r="AH11" s="1462">
        <f>ROUND(AVERAGE(L11:L$20)/100,4)</f>
        <v>1.23E-2</v>
      </c>
    </row>
    <row r="12" spans="1:34" ht="13.5" thickBot="1">
      <c r="A12" s="1463" t="s">
        <v>152</v>
      </c>
      <c r="B12" s="1480">
        <f t="shared" si="33"/>
        <v>346.720748986128</v>
      </c>
      <c r="C12" s="1480">
        <f t="shared" si="33"/>
        <v>284.30282172386285</v>
      </c>
      <c r="D12" s="1480">
        <f t="shared" si="34"/>
        <v>284.30282172386285</v>
      </c>
      <c r="E12" s="1480">
        <f t="shared" si="35"/>
        <v>479.58023546306947</v>
      </c>
      <c r="F12" s="1480">
        <f t="shared" si="35"/>
        <v>253.25788877571213</v>
      </c>
      <c r="G12" s="3393"/>
      <c r="H12" s="1466">
        <v>1</v>
      </c>
      <c r="I12" s="1466">
        <v>4.09</v>
      </c>
      <c r="J12" s="1466">
        <v>2.93</v>
      </c>
      <c r="K12" s="1466">
        <v>4.54</v>
      </c>
      <c r="L12" s="1481">
        <v>1.48</v>
      </c>
      <c r="N12" s="1475">
        <f t="shared" si="36"/>
        <v>4.0899999999999999E-2</v>
      </c>
      <c r="O12" s="1476">
        <f t="shared" si="31"/>
        <v>2.9300000000000003E-2</v>
      </c>
      <c r="P12" s="1476">
        <f t="shared" si="31"/>
        <v>4.5400000000000003E-2</v>
      </c>
      <c r="Q12" s="1476">
        <f t="shared" si="31"/>
        <v>1.4800000000000001E-2</v>
      </c>
      <c r="R12" s="1477"/>
      <c r="S12" s="1483">
        <f>B12/B13-1</f>
        <v>4.1203450408792808E-2</v>
      </c>
      <c r="T12" s="1484">
        <f>C12/C13-1</f>
        <v>2.6363977342465095E-2</v>
      </c>
      <c r="U12" s="1484">
        <f>E12/E13-1</f>
        <v>4.4837114298626357E-2</v>
      </c>
      <c r="V12" s="1484">
        <f>F12/F13-1</f>
        <v>1.7099954922538574E-2</v>
      </c>
      <c r="X12" s="1461">
        <f>ROUND(SUMPRODUCT(PRODUCT(1+N12:N$19)),4)</f>
        <v>1.1269</v>
      </c>
      <c r="Y12" s="1461">
        <f>ROUND(SUMPRODUCT(PRODUCT(1+O12:O$19)),4)</f>
        <v>1.1052999999999999</v>
      </c>
      <c r="Z12" s="1461">
        <f t="shared" si="0"/>
        <v>1.1052999999999999</v>
      </c>
      <c r="AA12" s="1461">
        <f>ROUND(SUMPRODUCT(PRODUCT(1+P12:P$19)),4)</f>
        <v>1.1349</v>
      </c>
      <c r="AB12" s="1461">
        <f>ROUND(SUMPRODUCT(PRODUCT(1+Q12:Q$19)),4)</f>
        <v>1.0996999999999999</v>
      </c>
      <c r="AD12" s="1462">
        <f>ROUND(AVERAGE(I12:I$20)/100,4)</f>
        <v>1.67E-2</v>
      </c>
      <c r="AE12" s="1462">
        <f>ROUND(AVERAGE(J12:J$20)/100,4)</f>
        <v>1.38E-2</v>
      </c>
      <c r="AF12" s="1462">
        <f t="shared" si="1"/>
        <v>1.38E-2</v>
      </c>
      <c r="AG12" s="1462">
        <f>ROUND(AVERAGE(K12:K$20)/100,4)</f>
        <v>1.7899999999999999E-2</v>
      </c>
      <c r="AH12" s="1462">
        <f>ROUND(AVERAGE(L12:L$20)/100,4)</f>
        <v>1.21E-2</v>
      </c>
    </row>
    <row r="13" spans="1:34" ht="13.5" thickBot="1">
      <c r="A13" s="1463" t="s">
        <v>151</v>
      </c>
      <c r="B13" s="1472">
        <v>333</v>
      </c>
      <c r="C13" s="1472">
        <v>277</v>
      </c>
      <c r="D13" s="1472">
        <f t="shared" si="34"/>
        <v>277</v>
      </c>
      <c r="E13" s="1472">
        <v>459</v>
      </c>
      <c r="F13" s="1473">
        <v>249</v>
      </c>
      <c r="G13" s="3391">
        <v>2015</v>
      </c>
      <c r="H13" s="1485">
        <v>4</v>
      </c>
      <c r="I13" s="1485">
        <v>1.63</v>
      </c>
      <c r="J13" s="1485">
        <v>1.1100000000000001</v>
      </c>
      <c r="K13" s="1485">
        <v>1.77</v>
      </c>
      <c r="L13" s="1486">
        <v>1.89</v>
      </c>
      <c r="N13" s="1487">
        <f t="shared" si="36"/>
        <v>1.6299999999999999E-2</v>
      </c>
      <c r="O13" s="1488">
        <f t="shared" si="31"/>
        <v>1.11E-2</v>
      </c>
      <c r="P13" s="1488">
        <f t="shared" si="31"/>
        <v>1.77E-2</v>
      </c>
      <c r="Q13" s="1488">
        <f t="shared" si="31"/>
        <v>1.89E-2</v>
      </c>
      <c r="R13" s="1477"/>
      <c r="X13" s="1461">
        <f>ROUND(SUMPRODUCT(PRODUCT(1+N13:N$19)),4)</f>
        <v>1.0826</v>
      </c>
      <c r="Y13" s="1461">
        <f>ROUND(SUMPRODUCT(PRODUCT(1+O13:O$19)),4)</f>
        <v>1.0738000000000001</v>
      </c>
      <c r="Z13" s="1461">
        <f t="shared" si="0"/>
        <v>1.0738000000000001</v>
      </c>
      <c r="AA13" s="1461">
        <f>ROUND(SUMPRODUCT(PRODUCT(1+P13:P$19)),4)</f>
        <v>1.0855999999999999</v>
      </c>
      <c r="AB13" s="1461">
        <f>ROUND(SUMPRODUCT(PRODUCT(1+Q13:Q$19)),4)</f>
        <v>1.0837000000000001</v>
      </c>
      <c r="AD13" s="1462">
        <f>ROUND(AVERAGE(I13:I$20)/100,4)</f>
        <v>1.37E-2</v>
      </c>
      <c r="AE13" s="1462">
        <f>ROUND(AVERAGE(J13:J$20)/100,4)</f>
        <v>1.1900000000000001E-2</v>
      </c>
      <c r="AF13" s="1462">
        <f t="shared" si="1"/>
        <v>1.1900000000000001E-2</v>
      </c>
      <c r="AG13" s="1462">
        <f>ROUND(AVERAGE(K13:K$20)/100,4)</f>
        <v>1.4500000000000001E-2</v>
      </c>
      <c r="AH13" s="1462">
        <f>ROUND(AVERAGE(L13:L$20)/100,4)</f>
        <v>1.18E-2</v>
      </c>
    </row>
    <row r="14" spans="1:34">
      <c r="A14" s="1463" t="s">
        <v>150</v>
      </c>
      <c r="B14" s="1480">
        <f t="shared" ref="B14:C16" si="37">B13/(1+N13)</f>
        <v>327.65915576109415</v>
      </c>
      <c r="C14" s="1480">
        <f t="shared" si="37"/>
        <v>273.95905449510434</v>
      </c>
      <c r="D14" s="1480">
        <f t="shared" si="34"/>
        <v>273.95905449510434</v>
      </c>
      <c r="E14" s="1480">
        <f t="shared" ref="E14:F16" si="38">E13/(1+P13)</f>
        <v>451.01699911565294</v>
      </c>
      <c r="F14" s="1480">
        <f t="shared" si="38"/>
        <v>244.38119540681129</v>
      </c>
      <c r="G14" s="3392"/>
      <c r="H14" s="1490">
        <v>3</v>
      </c>
      <c r="I14" s="1490">
        <v>1.65</v>
      </c>
      <c r="J14" s="1490">
        <v>0.92</v>
      </c>
      <c r="K14" s="1490">
        <v>1.88</v>
      </c>
      <c r="L14" s="1491">
        <v>1.26</v>
      </c>
      <c r="N14" s="1475">
        <f t="shared" si="36"/>
        <v>1.6500000000000001E-2</v>
      </c>
      <c r="O14" s="1492">
        <f t="shared" si="31"/>
        <v>9.1999999999999998E-3</v>
      </c>
      <c r="P14" s="1492">
        <f t="shared" si="31"/>
        <v>1.8799999999999997E-2</v>
      </c>
      <c r="Q14" s="1492">
        <f t="shared" si="31"/>
        <v>1.26E-2</v>
      </c>
      <c r="R14" s="1477"/>
      <c r="S14" s="1475"/>
      <c r="T14" s="1476"/>
      <c r="U14" s="1476"/>
      <c r="V14" s="1476"/>
      <c r="X14" s="1461">
        <f>ROUND(SUMPRODUCT(PRODUCT(1+N14:N$19)),4)</f>
        <v>1.0651999999999999</v>
      </c>
      <c r="Y14" s="1461">
        <f>ROUND(SUMPRODUCT(PRODUCT(1+O14:O$19)),4)</f>
        <v>1.0621</v>
      </c>
      <c r="Z14" s="1461">
        <f t="shared" si="0"/>
        <v>1.0621</v>
      </c>
      <c r="AA14" s="1461">
        <f>ROUND(SUMPRODUCT(PRODUCT(1+P14:P$19)),4)</f>
        <v>1.0668</v>
      </c>
      <c r="AB14" s="1461">
        <f>ROUND(SUMPRODUCT(PRODUCT(1+Q14:Q$19)),4)</f>
        <v>1.0636000000000001</v>
      </c>
      <c r="AD14" s="1462">
        <f>ROUND(AVERAGE(I14:I$20)/100,4)</f>
        <v>1.3299999999999999E-2</v>
      </c>
      <c r="AE14" s="1462">
        <f>ROUND(AVERAGE(J14:J$20)/100,4)</f>
        <v>1.2E-2</v>
      </c>
      <c r="AF14" s="1462">
        <f t="shared" si="1"/>
        <v>1.2E-2</v>
      </c>
      <c r="AG14" s="1462">
        <f>ROUND(AVERAGE(K14:K$20)/100,4)</f>
        <v>1.4E-2</v>
      </c>
      <c r="AH14" s="1462">
        <f>ROUND(AVERAGE(L14:L$20)/100,4)</f>
        <v>1.0800000000000001E-2</v>
      </c>
    </row>
    <row r="15" spans="1:34">
      <c r="A15" s="1463" t="s">
        <v>149</v>
      </c>
      <c r="B15" s="1480">
        <f t="shared" si="37"/>
        <v>322.34053690220776</v>
      </c>
      <c r="C15" s="1480">
        <f t="shared" si="37"/>
        <v>271.46160770422546</v>
      </c>
      <c r="D15" s="1480">
        <f t="shared" si="34"/>
        <v>271.46160770422546</v>
      </c>
      <c r="E15" s="1480">
        <f t="shared" si="38"/>
        <v>442.69434542172456</v>
      </c>
      <c r="F15" s="1480">
        <f t="shared" si="38"/>
        <v>241.34030753190925</v>
      </c>
      <c r="G15" s="3392"/>
      <c r="H15" s="1467">
        <v>2</v>
      </c>
      <c r="I15" s="1467">
        <v>0.77</v>
      </c>
      <c r="J15" s="1467">
        <v>0.69</v>
      </c>
      <c r="K15" s="1467">
        <v>0.8</v>
      </c>
      <c r="L15" s="1482">
        <v>0.88</v>
      </c>
      <c r="N15" s="1475">
        <f t="shared" si="36"/>
        <v>7.7000000000000002E-3</v>
      </c>
      <c r="O15" s="1492">
        <f t="shared" si="31"/>
        <v>6.8999999999999999E-3</v>
      </c>
      <c r="P15" s="1492">
        <f t="shared" si="31"/>
        <v>8.0000000000000002E-3</v>
      </c>
      <c r="Q15" s="1492">
        <f t="shared" si="31"/>
        <v>8.8000000000000005E-3</v>
      </c>
      <c r="R15" s="1477"/>
      <c r="S15" s="1475"/>
      <c r="T15" s="1476"/>
      <c r="U15" s="1476"/>
      <c r="V15" s="1476"/>
      <c r="X15" s="1461">
        <f>ROUND(SUMPRODUCT(PRODUCT(1+N15:N$19)),4)</f>
        <v>1.048</v>
      </c>
      <c r="Y15" s="1461">
        <f>ROUND(SUMPRODUCT(PRODUCT(1+O15:O$19)),4)</f>
        <v>1.0524</v>
      </c>
      <c r="Z15" s="1461">
        <f t="shared" si="0"/>
        <v>1.0524</v>
      </c>
      <c r="AA15" s="1461">
        <f>ROUND(SUMPRODUCT(PRODUCT(1+P15:P$19)),4)</f>
        <v>1.0470999999999999</v>
      </c>
      <c r="AB15" s="1461">
        <f>ROUND(SUMPRODUCT(PRODUCT(1+Q15:Q$19)),4)</f>
        <v>1.0504</v>
      </c>
      <c r="AD15" s="1462">
        <f>ROUND(AVERAGE(I15:I$20)/100,4)</f>
        <v>1.2800000000000001E-2</v>
      </c>
      <c r="AE15" s="1462">
        <f>ROUND(AVERAGE(J15:J$20)/100,4)</f>
        <v>1.2500000000000001E-2</v>
      </c>
      <c r="AF15" s="1462">
        <f t="shared" si="1"/>
        <v>1.2500000000000001E-2</v>
      </c>
      <c r="AG15" s="1462">
        <f>ROUND(AVERAGE(K15:K$20)/100,4)</f>
        <v>1.32E-2</v>
      </c>
      <c r="AH15" s="1462">
        <f>ROUND(AVERAGE(L15:L$20)/100,4)</f>
        <v>1.0500000000000001E-2</v>
      </c>
    </row>
    <row r="16" spans="1:34">
      <c r="A16" s="1463" t="s">
        <v>148</v>
      </c>
      <c r="B16" s="1480">
        <f t="shared" si="37"/>
        <v>319.87748030386797</v>
      </c>
      <c r="C16" s="1480">
        <f t="shared" si="37"/>
        <v>269.60135833173649</v>
      </c>
      <c r="D16" s="1480">
        <f t="shared" si="34"/>
        <v>269.60135833173649</v>
      </c>
      <c r="E16" s="1480">
        <f t="shared" si="38"/>
        <v>439.18089823583784</v>
      </c>
      <c r="F16" s="1480">
        <f t="shared" si="38"/>
        <v>239.23503918706311</v>
      </c>
      <c r="G16" s="3393"/>
      <c r="H16" s="1466">
        <v>1</v>
      </c>
      <c r="I16" s="1466">
        <v>0.51</v>
      </c>
      <c r="J16" s="1466">
        <v>0.54</v>
      </c>
      <c r="K16" s="1466">
        <v>0.48</v>
      </c>
      <c r="L16" s="1481">
        <v>0.93</v>
      </c>
      <c r="N16" s="1483">
        <f t="shared" si="36"/>
        <v>5.1000000000000004E-3</v>
      </c>
      <c r="O16" s="1484">
        <f t="shared" si="31"/>
        <v>5.4000000000000003E-3</v>
      </c>
      <c r="P16" s="1484">
        <f t="shared" si="31"/>
        <v>4.7999999999999996E-3</v>
      </c>
      <c r="Q16" s="1484">
        <f t="shared" si="31"/>
        <v>9.300000000000001E-3</v>
      </c>
      <c r="R16" s="1477"/>
      <c r="S16" s="1483">
        <f>B16/B17-1</f>
        <v>5.9040261127922822E-3</v>
      </c>
      <c r="T16" s="1484">
        <f>C16/C17-1</f>
        <v>5.9752176557332781E-3</v>
      </c>
      <c r="U16" s="1484">
        <f>E16/E17-1</f>
        <v>4.9906138119859556E-3</v>
      </c>
      <c r="V16" s="1484">
        <f>F16/F17-1</f>
        <v>9.4305450930933787E-3</v>
      </c>
      <c r="X16" s="1461">
        <f>ROUND(SUMPRODUCT(PRODUCT(1+N16:N$19)),4)</f>
        <v>1.0399</v>
      </c>
      <c r="Y16" s="1461">
        <f>ROUND(SUMPRODUCT(PRODUCT(1+O16:O$19)),4)</f>
        <v>1.0451999999999999</v>
      </c>
      <c r="Z16" s="1461">
        <f t="shared" si="0"/>
        <v>1.0451999999999999</v>
      </c>
      <c r="AA16" s="1461">
        <f>ROUND(SUMPRODUCT(PRODUCT(1+P16:P$19)),4)</f>
        <v>1.0387999999999999</v>
      </c>
      <c r="AB16" s="1461">
        <f>ROUND(SUMPRODUCT(PRODUCT(1+Q16:Q$19)),4)</f>
        <v>1.0411999999999999</v>
      </c>
      <c r="AD16" s="1462">
        <f>ROUND(AVERAGE(I16:I$20)/100,4)</f>
        <v>1.38E-2</v>
      </c>
      <c r="AE16" s="1462">
        <f>ROUND(AVERAGE(J16:J$20)/100,4)</f>
        <v>1.3599999999999999E-2</v>
      </c>
      <c r="AF16" s="1462">
        <f t="shared" si="1"/>
        <v>1.3599999999999999E-2</v>
      </c>
      <c r="AG16" s="1462">
        <f>ROUND(AVERAGE(K16:K$20)/100,4)</f>
        <v>1.4200000000000001E-2</v>
      </c>
      <c r="AH16" s="1462">
        <f>ROUND(AVERAGE(L16:L$20)/100,4)</f>
        <v>1.0800000000000001E-2</v>
      </c>
    </row>
    <row r="17" spans="1:34" ht="13.5" thickBot="1">
      <c r="A17" s="1463" t="s">
        <v>147</v>
      </c>
      <c r="B17" s="1493">
        <v>318</v>
      </c>
      <c r="C17" s="1493">
        <v>268</v>
      </c>
      <c r="D17" s="1493">
        <f t="shared" si="34"/>
        <v>268</v>
      </c>
      <c r="E17" s="1493">
        <v>437</v>
      </c>
      <c r="F17" s="1494">
        <v>237</v>
      </c>
      <c r="G17" s="3391">
        <v>2014</v>
      </c>
      <c r="H17" s="1485">
        <v>4</v>
      </c>
      <c r="I17" s="1485">
        <v>0.21</v>
      </c>
      <c r="J17" s="1485">
        <v>0.41</v>
      </c>
      <c r="K17" s="1485">
        <v>0.12</v>
      </c>
      <c r="L17" s="1486">
        <v>0.89</v>
      </c>
      <c r="N17" s="1475">
        <f t="shared" si="36"/>
        <v>2.0999999999999999E-3</v>
      </c>
      <c r="O17" s="1476">
        <f t="shared" si="31"/>
        <v>4.0999999999999995E-3</v>
      </c>
      <c r="P17" s="1476">
        <f t="shared" si="31"/>
        <v>1.1999999999999999E-3</v>
      </c>
      <c r="Q17" s="1476">
        <f t="shared" si="31"/>
        <v>8.8999999999999999E-3</v>
      </c>
      <c r="R17" s="1477"/>
      <c r="S17" s="1478"/>
      <c r="T17" s="1479"/>
      <c r="U17" s="1479"/>
      <c r="V17" s="1479"/>
      <c r="X17" s="1461">
        <f>ROUND(SUMPRODUCT(PRODUCT(1+N17:N$19)),4)</f>
        <v>1.0347</v>
      </c>
      <c r="Y17" s="1461">
        <f>ROUND(SUMPRODUCT(PRODUCT(1+O17:O$19)),4)</f>
        <v>1.0395000000000001</v>
      </c>
      <c r="Z17" s="1461">
        <f t="shared" si="0"/>
        <v>1.0395000000000001</v>
      </c>
      <c r="AA17" s="1461">
        <f>ROUND(SUMPRODUCT(PRODUCT(1+P17:P$19)),4)</f>
        <v>1.0338000000000001</v>
      </c>
      <c r="AB17" s="1461">
        <f>ROUND(SUMPRODUCT(PRODUCT(1+Q17:Q$19)),4)</f>
        <v>1.0316000000000001</v>
      </c>
      <c r="AD17" s="1462">
        <f>ROUND(AVERAGE(I17:I$20)/100,4)</f>
        <v>1.6E-2</v>
      </c>
      <c r="AE17" s="1462">
        <f>ROUND(AVERAGE(J17:J$20)/100,4)</f>
        <v>1.5599999999999999E-2</v>
      </c>
      <c r="AF17" s="1462">
        <f t="shared" si="1"/>
        <v>1.5599999999999999E-2</v>
      </c>
      <c r="AG17" s="1462">
        <f>ROUND(AVERAGE(K17:K$20)/100,4)</f>
        <v>1.66E-2</v>
      </c>
      <c r="AH17" s="1462">
        <f>ROUND(AVERAGE(L17:L$20)/100,4)</f>
        <v>1.12E-2</v>
      </c>
    </row>
    <row r="18" spans="1:34">
      <c r="A18" s="1463" t="s">
        <v>146</v>
      </c>
      <c r="B18" s="1480">
        <f t="shared" ref="B18:C20" si="39">B17/(1+N17)</f>
        <v>317.33359944117353</v>
      </c>
      <c r="C18" s="1480">
        <f t="shared" si="39"/>
        <v>266.90568668459315</v>
      </c>
      <c r="D18" s="1480">
        <f t="shared" si="34"/>
        <v>266.90568668459315</v>
      </c>
      <c r="E18" s="1480">
        <f t="shared" ref="E18:F20" si="40">E17/(1+P17)</f>
        <v>436.47622852576905</v>
      </c>
      <c r="F18" s="1480">
        <f t="shared" si="40"/>
        <v>234.90930716622066</v>
      </c>
      <c r="G18" s="3392"/>
      <c r="H18" s="1495">
        <v>3</v>
      </c>
      <c r="I18" s="1495">
        <v>0.83</v>
      </c>
      <c r="J18" s="1495">
        <v>1.47</v>
      </c>
      <c r="K18" s="1495">
        <v>0.65</v>
      </c>
      <c r="L18" s="1496">
        <v>0.72</v>
      </c>
      <c r="N18" s="1475">
        <f t="shared" si="36"/>
        <v>8.3000000000000001E-3</v>
      </c>
      <c r="O18" s="1476">
        <f t="shared" si="31"/>
        <v>1.47E-2</v>
      </c>
      <c r="P18" s="1476">
        <f t="shared" si="31"/>
        <v>6.5000000000000006E-3</v>
      </c>
      <c r="Q18" s="1476">
        <f t="shared" si="31"/>
        <v>7.1999999999999998E-3</v>
      </c>
      <c r="R18" s="1477"/>
      <c r="S18" s="1475"/>
      <c r="T18" s="1476"/>
      <c r="U18" s="1476"/>
      <c r="V18" s="1476"/>
      <c r="X18" s="1461">
        <f>ROUND(SUMPRODUCT(PRODUCT(1+N18:N$19)),4)</f>
        <v>1.0325</v>
      </c>
      <c r="Y18" s="1461">
        <f>ROUND(SUMPRODUCT(PRODUCT(1+O18:O$19)),4)</f>
        <v>1.0353000000000001</v>
      </c>
      <c r="Z18" s="1461">
        <f t="shared" ref="Z18:Z19" si="41">Y18</f>
        <v>1.0353000000000001</v>
      </c>
      <c r="AA18" s="1461">
        <f>ROUND(SUMPRODUCT(PRODUCT(1+P18:P$19)),4)</f>
        <v>1.0326</v>
      </c>
      <c r="AB18" s="1461">
        <f>ROUND(SUMPRODUCT(PRODUCT(1+Q18:Q$19)),4)</f>
        <v>1.0225</v>
      </c>
      <c r="AD18" s="1462">
        <f>ROUND(AVERAGE(I18:I$20)/100,4)</f>
        <v>2.07E-2</v>
      </c>
      <c r="AE18" s="1462">
        <f>ROUND(AVERAGE(J18:J$20)/100,4)</f>
        <v>1.95E-2</v>
      </c>
      <c r="AF18" s="1462">
        <f t="shared" si="1"/>
        <v>1.95E-2</v>
      </c>
      <c r="AG18" s="1462">
        <f>ROUND(AVERAGE(K18:K$20)/100,4)</f>
        <v>2.1700000000000001E-2</v>
      </c>
      <c r="AH18" s="1462">
        <f>ROUND(AVERAGE(L18:L$20)/100,4)</f>
        <v>1.2E-2</v>
      </c>
    </row>
    <row r="19" spans="1:34" ht="13.5" thickBot="1">
      <c r="A19" s="1463" t="s">
        <v>145</v>
      </c>
      <c r="B19" s="1480">
        <f t="shared" si="39"/>
        <v>314.72141172386546</v>
      </c>
      <c r="C19" s="1480">
        <f t="shared" si="39"/>
        <v>263.03901319069001</v>
      </c>
      <c r="D19" s="1480">
        <f t="shared" si="34"/>
        <v>263.03901319069001</v>
      </c>
      <c r="E19" s="1480">
        <f t="shared" si="40"/>
        <v>433.65745506782821</v>
      </c>
      <c r="F19" s="1480">
        <f t="shared" si="40"/>
        <v>233.23005080045735</v>
      </c>
      <c r="G19" s="3392"/>
      <c r="H19" s="1485">
        <v>2</v>
      </c>
      <c r="I19" s="1485">
        <v>2.4</v>
      </c>
      <c r="J19" s="1485">
        <v>2.0299999999999998</v>
      </c>
      <c r="K19" s="1485">
        <v>2.59</v>
      </c>
      <c r="L19" s="1486">
        <v>1.52</v>
      </c>
      <c r="N19" s="1475">
        <f t="shared" si="36"/>
        <v>2.4E-2</v>
      </c>
      <c r="O19" s="1476">
        <f t="shared" si="31"/>
        <v>2.0299999999999999E-2</v>
      </c>
      <c r="P19" s="1476">
        <f t="shared" si="31"/>
        <v>2.5899999999999999E-2</v>
      </c>
      <c r="Q19" s="1476">
        <f t="shared" si="31"/>
        <v>1.52E-2</v>
      </c>
      <c r="R19" s="1477"/>
      <c r="S19" s="1475"/>
      <c r="T19" s="1476"/>
      <c r="U19" s="1476"/>
      <c r="V19" s="1476"/>
      <c r="X19" s="1461">
        <f>1+N19</f>
        <v>1.024</v>
      </c>
      <c r="Y19" s="1461">
        <f>1+O19</f>
        <v>1.0203</v>
      </c>
      <c r="Z19" s="1461">
        <f t="shared" si="41"/>
        <v>1.0203</v>
      </c>
      <c r="AA19" s="1461">
        <f>1+P19</f>
        <v>1.0259</v>
      </c>
      <c r="AB19" s="1461">
        <f>1+Q19</f>
        <v>1.0152000000000001</v>
      </c>
      <c r="AD19" s="1462">
        <f>ROUND(AVERAGE(I19:I$20)/100,4)</f>
        <v>2.69E-2</v>
      </c>
      <c r="AE19" s="1462">
        <f>ROUND(AVERAGE(J19:J$20)/100,4)</f>
        <v>2.1899999999999999E-2</v>
      </c>
      <c r="AF19" s="1462">
        <f t="shared" ref="AF19" si="42">AE19</f>
        <v>2.1899999999999999E-2</v>
      </c>
      <c r="AG19" s="1462">
        <f>ROUND(AVERAGE(K19:K$20)/100,4)</f>
        <v>2.9399999999999999E-2</v>
      </c>
      <c r="AH19" s="1462">
        <f>ROUND(AVERAGE(L19:L$20)/100,4)</f>
        <v>1.44E-2</v>
      </c>
    </row>
    <row r="20" spans="1:34" s="1501" customFormat="1" ht="13.5" thickBot="1">
      <c r="A20" s="1497" t="s">
        <v>144</v>
      </c>
      <c r="B20" s="1498">
        <f t="shared" si="39"/>
        <v>307.34512863658733</v>
      </c>
      <c r="C20" s="1498">
        <f t="shared" si="39"/>
        <v>257.80556031626975</v>
      </c>
      <c r="D20" s="1498">
        <f t="shared" si="34"/>
        <v>257.80556031626975</v>
      </c>
      <c r="E20" s="1498">
        <f t="shared" si="40"/>
        <v>422.70928459677179</v>
      </c>
      <c r="F20" s="1498">
        <f t="shared" si="40"/>
        <v>229.73803270336617</v>
      </c>
      <c r="G20" s="3393"/>
      <c r="H20" s="1499">
        <v>1</v>
      </c>
      <c r="I20" s="1499">
        <v>2.97</v>
      </c>
      <c r="J20" s="1499">
        <v>2.34</v>
      </c>
      <c r="K20" s="1499">
        <v>3.28</v>
      </c>
      <c r="L20" s="1500">
        <v>1.36</v>
      </c>
      <c r="N20" s="1502">
        <f t="shared" si="36"/>
        <v>2.9700000000000001E-2</v>
      </c>
      <c r="O20" s="1503">
        <f t="shared" si="31"/>
        <v>2.3399999999999997E-2</v>
      </c>
      <c r="P20" s="1503">
        <f t="shared" si="31"/>
        <v>3.2799999999999996E-2</v>
      </c>
      <c r="Q20" s="1503">
        <f t="shared" si="31"/>
        <v>1.3600000000000001E-2</v>
      </c>
      <c r="R20" s="1504"/>
      <c r="S20" s="1505">
        <f>B20/B21-1</f>
        <v>2.7910129219355539E-2</v>
      </c>
      <c r="T20" s="1506">
        <f>C20/C21-1</f>
        <v>2.3037937762975247E-2</v>
      </c>
      <c r="U20" s="1506">
        <f>E20/E21-1</f>
        <v>3.3519033243940788E-2</v>
      </c>
      <c r="V20" s="1506">
        <f>F20/F21-1</f>
        <v>1.2061818076502862E-2</v>
      </c>
      <c r="W20" s="1507" t="s">
        <v>1163</v>
      </c>
      <c r="X20" s="1508">
        <v>1</v>
      </c>
      <c r="Y20" s="1508">
        <v>1</v>
      </c>
      <c r="Z20" s="1508">
        <v>1</v>
      </c>
      <c r="AA20" s="1508">
        <v>1</v>
      </c>
      <c r="AB20" s="1508">
        <v>1</v>
      </c>
      <c r="AD20" s="1730">
        <f>I20/100</f>
        <v>2.9700000000000001E-2</v>
      </c>
      <c r="AE20" s="1730">
        <f>J20/100</f>
        <v>2.3399999999999997E-2</v>
      </c>
      <c r="AF20" s="1730">
        <f>AE20</f>
        <v>2.3399999999999997E-2</v>
      </c>
      <c r="AG20" s="1730">
        <f>K20/100</f>
        <v>3.2799999999999996E-2</v>
      </c>
      <c r="AH20" s="1730">
        <f>L20/100</f>
        <v>1.3600000000000001E-2</v>
      </c>
    </row>
    <row r="21" spans="1:34" ht="13.5" thickBot="1">
      <c r="A21" s="1463" t="s">
        <v>1164</v>
      </c>
      <c r="B21" s="1472">
        <v>299</v>
      </c>
      <c r="C21" s="1472">
        <v>252</v>
      </c>
      <c r="D21" s="1472">
        <f t="shared" si="34"/>
        <v>252</v>
      </c>
      <c r="E21" s="1472">
        <v>409</v>
      </c>
      <c r="F21" s="1473">
        <v>227</v>
      </c>
      <c r="G21" s="3398">
        <v>2013</v>
      </c>
      <c r="H21" s="1509">
        <v>4</v>
      </c>
      <c r="I21" s="1509">
        <v>1.83</v>
      </c>
      <c r="J21" s="1509">
        <v>1.68</v>
      </c>
      <c r="K21" s="1509">
        <v>1.97</v>
      </c>
      <c r="L21" s="1510">
        <v>0.87</v>
      </c>
      <c r="N21" s="1487">
        <f t="shared" si="36"/>
        <v>1.83E-2</v>
      </c>
      <c r="O21" s="1488">
        <f t="shared" si="31"/>
        <v>1.6799999999999999E-2</v>
      </c>
      <c r="P21" s="1488">
        <f t="shared" si="31"/>
        <v>1.9699999999999999E-2</v>
      </c>
      <c r="Q21" s="1488">
        <f t="shared" si="31"/>
        <v>8.6999999999999994E-3</v>
      </c>
      <c r="R21" s="1477"/>
      <c r="S21" s="1478"/>
      <c r="T21" s="1479"/>
      <c r="U21" s="1479"/>
      <c r="V21" s="1479"/>
      <c r="X21" s="1479"/>
      <c r="Y21" s="1479"/>
      <c r="Z21" s="1479"/>
    </row>
    <row r="22" spans="1:34">
      <c r="A22" s="1463" t="s">
        <v>1165</v>
      </c>
      <c r="B22" s="1480">
        <f t="shared" ref="B22:C24" si="43">B21/(1+N21)</f>
        <v>293.62663262299913</v>
      </c>
      <c r="C22" s="1480">
        <f t="shared" si="43"/>
        <v>247.83634933123525</v>
      </c>
      <c r="D22" s="1480">
        <f t="shared" si="34"/>
        <v>247.83634933123525</v>
      </c>
      <c r="E22" s="1480">
        <f t="shared" ref="E22:F24" si="44">E21/(1+P21)</f>
        <v>401.09836226341076</v>
      </c>
      <c r="F22" s="1480">
        <f t="shared" si="44"/>
        <v>225.04213343908003</v>
      </c>
      <c r="G22" s="3399"/>
      <c r="H22" s="1490">
        <v>3</v>
      </c>
      <c r="I22" s="1490">
        <v>1.86</v>
      </c>
      <c r="J22" s="1490">
        <v>1.72</v>
      </c>
      <c r="K22" s="1490">
        <v>1.98</v>
      </c>
      <c r="L22" s="1491">
        <v>0.88</v>
      </c>
      <c r="N22" s="1475">
        <f t="shared" si="36"/>
        <v>1.8600000000000002E-2</v>
      </c>
      <c r="O22" s="1492">
        <f t="shared" si="31"/>
        <v>1.72E-2</v>
      </c>
      <c r="P22" s="1492">
        <f t="shared" si="31"/>
        <v>1.9799999999999998E-2</v>
      </c>
      <c r="Q22" s="1492">
        <f t="shared" si="31"/>
        <v>8.8000000000000005E-3</v>
      </c>
      <c r="R22" s="1477"/>
      <c r="S22" s="1475"/>
      <c r="T22" s="1476"/>
      <c r="U22" s="1476"/>
      <c r="V22" s="1476"/>
    </row>
    <row r="23" spans="1:34">
      <c r="A23" s="1463" t="s">
        <v>1166</v>
      </c>
      <c r="B23" s="1480">
        <f t="shared" si="43"/>
        <v>288.2649053828776</v>
      </c>
      <c r="C23" s="1480">
        <f t="shared" si="43"/>
        <v>243.64564425013293</v>
      </c>
      <c r="D23" s="1480">
        <f t="shared" si="34"/>
        <v>243.64564425013293</v>
      </c>
      <c r="E23" s="1480">
        <f t="shared" si="44"/>
        <v>393.31080825986544</v>
      </c>
      <c r="F23" s="1480">
        <f t="shared" si="44"/>
        <v>223.07903790551154</v>
      </c>
      <c r="G23" s="3399"/>
      <c r="H23" s="1467">
        <v>2</v>
      </c>
      <c r="I23" s="1467">
        <v>2.04</v>
      </c>
      <c r="J23" s="1467">
        <v>2.33</v>
      </c>
      <c r="K23" s="1467">
        <v>2.0699999999999998</v>
      </c>
      <c r="L23" s="1482">
        <v>0.69</v>
      </c>
      <c r="N23" s="1475">
        <f t="shared" si="36"/>
        <v>2.0400000000000001E-2</v>
      </c>
      <c r="O23" s="1492">
        <f t="shared" si="31"/>
        <v>2.3300000000000001E-2</v>
      </c>
      <c r="P23" s="1492">
        <f t="shared" si="31"/>
        <v>2.07E-2</v>
      </c>
      <c r="Q23" s="1492">
        <f t="shared" si="31"/>
        <v>6.8999999999999999E-3</v>
      </c>
      <c r="R23" s="1477"/>
      <c r="S23" s="1475"/>
      <c r="T23" s="1476"/>
      <c r="U23" s="1476"/>
      <c r="V23" s="1476"/>
      <c r="X23" s="1511"/>
      <c r="Y23" s="1512"/>
    </row>
    <row r="24" spans="1:34">
      <c r="A24" s="1463" t="s">
        <v>1167</v>
      </c>
      <c r="B24" s="1480">
        <f t="shared" si="43"/>
        <v>282.50186729015837</v>
      </c>
      <c r="C24" s="1480">
        <f t="shared" si="43"/>
        <v>238.09796174155468</v>
      </c>
      <c r="D24" s="1480">
        <f t="shared" si="34"/>
        <v>238.09796174155468</v>
      </c>
      <c r="E24" s="1480">
        <f t="shared" si="44"/>
        <v>385.33438646014054</v>
      </c>
      <c r="F24" s="1480">
        <f t="shared" si="44"/>
        <v>221.55034055567739</v>
      </c>
      <c r="G24" s="3400"/>
      <c r="H24" s="1466">
        <v>1</v>
      </c>
      <c r="I24" s="1466">
        <v>1.67</v>
      </c>
      <c r="J24" s="1466">
        <v>1.31</v>
      </c>
      <c r="K24" s="1466">
        <v>1.85</v>
      </c>
      <c r="L24" s="1481">
        <v>0.96</v>
      </c>
      <c r="N24" s="1483">
        <f t="shared" si="36"/>
        <v>1.67E-2</v>
      </c>
      <c r="O24" s="1484">
        <f t="shared" si="36"/>
        <v>1.3100000000000001E-2</v>
      </c>
      <c r="P24" s="1484">
        <f t="shared" si="36"/>
        <v>1.8500000000000003E-2</v>
      </c>
      <c r="Q24" s="1484">
        <f t="shared" si="36"/>
        <v>9.5999999999999992E-3</v>
      </c>
      <c r="R24" s="1477"/>
      <c r="S24" s="1483">
        <f>B24/B25-1</f>
        <v>1.6193767230785472E-2</v>
      </c>
      <c r="T24" s="1484">
        <f>C24/C25-1</f>
        <v>1.7512657015190891E-2</v>
      </c>
      <c r="U24" s="1484">
        <f>E24/E25-1</f>
        <v>1.6713420739157048E-2</v>
      </c>
      <c r="V24" s="1484">
        <f>F24/F25-1</f>
        <v>7.0470025258062563E-3</v>
      </c>
      <c r="X24" s="1513"/>
      <c r="Y24" s="1462"/>
      <c r="Z24" s="1462"/>
    </row>
    <row r="25" spans="1:34" ht="13.5" thickBot="1">
      <c r="A25" s="1463" t="s">
        <v>1168</v>
      </c>
      <c r="B25" s="1514">
        <v>278</v>
      </c>
      <c r="C25" s="1514">
        <v>234</v>
      </c>
      <c r="D25" s="1514">
        <f t="shared" si="34"/>
        <v>234</v>
      </c>
      <c r="E25" s="1514">
        <v>379</v>
      </c>
      <c r="F25" s="1515">
        <v>220</v>
      </c>
      <c r="G25" s="3391">
        <v>2012</v>
      </c>
      <c r="H25" s="1485">
        <v>4</v>
      </c>
      <c r="I25" s="1485">
        <v>0.91</v>
      </c>
      <c r="J25" s="1485">
        <v>0.68</v>
      </c>
      <c r="K25" s="1485">
        <v>0.98</v>
      </c>
      <c r="L25" s="1486">
        <v>0.9</v>
      </c>
      <c r="N25" s="1475">
        <f t="shared" si="36"/>
        <v>9.1000000000000004E-3</v>
      </c>
      <c r="O25" s="1476">
        <f t="shared" si="36"/>
        <v>6.8000000000000005E-3</v>
      </c>
      <c r="P25" s="1476">
        <f t="shared" si="36"/>
        <v>9.7999999999999997E-3</v>
      </c>
      <c r="Q25" s="1476">
        <f t="shared" si="36"/>
        <v>9.0000000000000011E-3</v>
      </c>
      <c r="R25" s="1477"/>
      <c r="S25" s="1478"/>
      <c r="T25" s="1479"/>
      <c r="U25" s="1479"/>
      <c r="V25" s="1479"/>
      <c r="X25" s="1479"/>
      <c r="Y25" s="1479"/>
      <c r="Z25" s="1479"/>
    </row>
    <row r="26" spans="1:34">
      <c r="A26" s="1463" t="s">
        <v>1169</v>
      </c>
      <c r="B26" s="1480">
        <f>B25/(1+N25)</f>
        <v>275.49301357645425</v>
      </c>
      <c r="C26" s="1480">
        <f>C25/(1+O25)</f>
        <v>232.41954707985698</v>
      </c>
      <c r="D26" s="1480">
        <f t="shared" si="34"/>
        <v>232.41954707985698</v>
      </c>
      <c r="E26" s="1480">
        <f t="shared" ref="E26:F28" si="45">E25/(1+P25)</f>
        <v>375.32184591008121</v>
      </c>
      <c r="F26" s="1480">
        <f t="shared" si="45"/>
        <v>218.03766105054513</v>
      </c>
      <c r="G26" s="3392"/>
      <c r="H26" s="1490">
        <v>3</v>
      </c>
      <c r="I26" s="1490">
        <v>0.09</v>
      </c>
      <c r="J26" s="1490">
        <v>0.28999999999999998</v>
      </c>
      <c r="K26" s="1490">
        <v>-0.01</v>
      </c>
      <c r="L26" s="1491">
        <v>0.57999999999999996</v>
      </c>
      <c r="N26" s="1475">
        <f t="shared" si="36"/>
        <v>8.9999999999999998E-4</v>
      </c>
      <c r="O26" s="1476">
        <f t="shared" si="36"/>
        <v>2.8999999999999998E-3</v>
      </c>
      <c r="P26" s="1476">
        <f t="shared" si="36"/>
        <v>-1E-4</v>
      </c>
      <c r="Q26" s="1476">
        <f t="shared" si="36"/>
        <v>5.7999999999999996E-3</v>
      </c>
      <c r="R26" s="1477"/>
      <c r="S26" s="1475"/>
      <c r="T26" s="1476"/>
      <c r="U26" s="1476"/>
      <c r="V26" s="1476"/>
    </row>
    <row r="27" spans="1:34">
      <c r="A27" s="1463" t="s">
        <v>1170</v>
      </c>
      <c r="B27" s="1480">
        <f>B26/(1+N26)</f>
        <v>275.24529281292263</v>
      </c>
      <c r="C27" s="1480">
        <f>C26/(1+O26)</f>
        <v>231.74747938962707</v>
      </c>
      <c r="D27" s="1480">
        <f t="shared" si="34"/>
        <v>231.74747938962707</v>
      </c>
      <c r="E27" s="1480">
        <f t="shared" si="45"/>
        <v>375.35938184826603</v>
      </c>
      <c r="F27" s="1480">
        <f t="shared" si="45"/>
        <v>216.78033510692495</v>
      </c>
      <c r="G27" s="3392"/>
      <c r="H27" s="1467">
        <v>2</v>
      </c>
      <c r="I27" s="1467">
        <v>0.02</v>
      </c>
      <c r="J27" s="1467">
        <v>0.12</v>
      </c>
      <c r="K27" s="1467">
        <v>-0.08</v>
      </c>
      <c r="L27" s="1482">
        <v>1.24</v>
      </c>
      <c r="N27" s="1475">
        <f t="shared" si="36"/>
        <v>2.0000000000000001E-4</v>
      </c>
      <c r="O27" s="1476">
        <f t="shared" si="36"/>
        <v>1.1999999999999999E-3</v>
      </c>
      <c r="P27" s="1476">
        <f t="shared" si="36"/>
        <v>-8.0000000000000004E-4</v>
      </c>
      <c r="Q27" s="1476">
        <f t="shared" si="36"/>
        <v>1.24E-2</v>
      </c>
      <c r="R27" s="1477"/>
      <c r="S27" s="1475"/>
      <c r="T27" s="1476"/>
      <c r="U27" s="1476"/>
      <c r="V27" s="1476"/>
    </row>
    <row r="28" spans="1:34" ht="13.5" thickBot="1">
      <c r="A28" s="1463" t="s">
        <v>1171</v>
      </c>
      <c r="B28" s="1480">
        <f>B27/(1+N27)</f>
        <v>275.19025476197027</v>
      </c>
      <c r="C28" s="1516">
        <v>232</v>
      </c>
      <c r="D28" s="1516">
        <f t="shared" si="34"/>
        <v>232</v>
      </c>
      <c r="E28" s="1480">
        <f t="shared" si="45"/>
        <v>375.65990977608692</v>
      </c>
      <c r="F28" s="1480">
        <f t="shared" si="45"/>
        <v>214.12518283971252</v>
      </c>
      <c r="G28" s="3393"/>
      <c r="H28" s="1466">
        <v>1</v>
      </c>
      <c r="I28" s="1466">
        <v>0.02</v>
      </c>
      <c r="J28" s="1466">
        <v>0.13</v>
      </c>
      <c r="K28" s="1466">
        <v>-0.04</v>
      </c>
      <c r="L28" s="1481">
        <v>0.46</v>
      </c>
      <c r="N28" s="1475">
        <f t="shared" si="36"/>
        <v>2.0000000000000001E-4</v>
      </c>
      <c r="O28" s="1476">
        <f t="shared" si="36"/>
        <v>1.2999999999999999E-3</v>
      </c>
      <c r="P28" s="1476">
        <f t="shared" si="36"/>
        <v>-4.0000000000000002E-4</v>
      </c>
      <c r="Q28" s="1476">
        <f t="shared" si="36"/>
        <v>4.5999999999999999E-3</v>
      </c>
      <c r="R28" s="1477"/>
      <c r="S28" s="1483">
        <f>B28/B29-1</f>
        <v>6.9183549807361189E-4</v>
      </c>
      <c r="T28" s="1484">
        <f>C28/C29-1</f>
        <v>0</v>
      </c>
      <c r="U28" s="1484">
        <f>E28/E29-1</f>
        <v>-9.0449527636460303E-4</v>
      </c>
      <c r="V28" s="1484">
        <f>F28/F29-1</f>
        <v>5.2825485432512753E-3</v>
      </c>
      <c r="X28" s="1462"/>
      <c r="Y28" s="1462"/>
      <c r="Z28" s="1462"/>
    </row>
    <row r="29" spans="1:34" ht="13.5" thickBot="1">
      <c r="A29" s="1463" t="s">
        <v>1172</v>
      </c>
      <c r="B29" s="1472">
        <v>275</v>
      </c>
      <c r="C29" s="1472">
        <v>232</v>
      </c>
      <c r="D29" s="1472">
        <f t="shared" si="34"/>
        <v>232</v>
      </c>
      <c r="E29" s="1472">
        <v>376</v>
      </c>
      <c r="F29" s="1473">
        <v>213</v>
      </c>
      <c r="G29" s="3391">
        <v>2011</v>
      </c>
      <c r="H29" s="1485">
        <v>4</v>
      </c>
      <c r="I29" s="1485">
        <v>-0.2</v>
      </c>
      <c r="J29" s="1485">
        <v>0.04</v>
      </c>
      <c r="K29" s="1485">
        <v>-0.34</v>
      </c>
      <c r="L29" s="1486">
        <v>0.46</v>
      </c>
      <c r="N29" s="1487">
        <f t="shared" si="36"/>
        <v>-2E-3</v>
      </c>
      <c r="O29" s="1488">
        <f t="shared" si="36"/>
        <v>4.0000000000000002E-4</v>
      </c>
      <c r="P29" s="1488">
        <f t="shared" si="36"/>
        <v>-3.4000000000000002E-3</v>
      </c>
      <c r="Q29" s="1488">
        <f t="shared" si="36"/>
        <v>4.5999999999999999E-3</v>
      </c>
      <c r="R29" s="1477"/>
      <c r="S29" s="1478"/>
      <c r="T29" s="1479"/>
      <c r="U29" s="1479"/>
      <c r="V29" s="1479"/>
      <c r="X29" s="1479"/>
      <c r="Y29" s="1479"/>
      <c r="Z29" s="1479"/>
    </row>
    <row r="30" spans="1:34">
      <c r="A30" s="1463" t="s">
        <v>1173</v>
      </c>
      <c r="B30" s="1480">
        <f t="shared" ref="B30:C32" si="46">B29/(1+N29)</f>
        <v>275.55110220440883</v>
      </c>
      <c r="C30" s="1480">
        <f t="shared" si="46"/>
        <v>231.90723710515795</v>
      </c>
      <c r="D30" s="1480">
        <f t="shared" si="34"/>
        <v>231.90723710515795</v>
      </c>
      <c r="E30" s="1480">
        <f t="shared" ref="E30:F32" si="47">E29/(1+P29)</f>
        <v>377.28276138872161</v>
      </c>
      <c r="F30" s="1480">
        <f t="shared" si="47"/>
        <v>212.02468644236512</v>
      </c>
      <c r="G30" s="3392">
        <v>2011</v>
      </c>
      <c r="H30" s="1490">
        <v>3</v>
      </c>
      <c r="I30" s="1490">
        <v>0.13</v>
      </c>
      <c r="J30" s="1490">
        <v>0.75</v>
      </c>
      <c r="K30" s="1490">
        <v>-0.08</v>
      </c>
      <c r="L30" s="1491">
        <v>0.53</v>
      </c>
      <c r="N30" s="1475">
        <f t="shared" si="36"/>
        <v>1.2999999999999999E-3</v>
      </c>
      <c r="O30" s="1492">
        <f t="shared" si="36"/>
        <v>7.4999999999999997E-3</v>
      </c>
      <c r="P30" s="1492">
        <f t="shared" si="36"/>
        <v>-8.0000000000000004E-4</v>
      </c>
      <c r="Q30" s="1492">
        <f t="shared" si="36"/>
        <v>5.3E-3</v>
      </c>
      <c r="R30" s="1477"/>
      <c r="S30" s="1475"/>
      <c r="T30" s="1476"/>
      <c r="U30" s="1476"/>
      <c r="V30" s="1476"/>
    </row>
    <row r="31" spans="1:34">
      <c r="A31" s="1463" t="s">
        <v>1174</v>
      </c>
      <c r="B31" s="1480">
        <f t="shared" si="46"/>
        <v>275.19335084830601</v>
      </c>
      <c r="C31" s="1480">
        <f t="shared" si="46"/>
        <v>230.18088050139744</v>
      </c>
      <c r="D31" s="1480">
        <f t="shared" si="34"/>
        <v>230.18088050139744</v>
      </c>
      <c r="E31" s="1480">
        <f t="shared" si="47"/>
        <v>377.58482925212331</v>
      </c>
      <c r="F31" s="1480">
        <f t="shared" si="47"/>
        <v>210.90687997847917</v>
      </c>
      <c r="G31" s="3392">
        <v>2011</v>
      </c>
      <c r="H31" s="1467">
        <v>2</v>
      </c>
      <c r="I31" s="1467">
        <v>-0.4</v>
      </c>
      <c r="J31" s="1467">
        <v>0.17</v>
      </c>
      <c r="K31" s="1467">
        <v>-0.57999999999999996</v>
      </c>
      <c r="L31" s="1482">
        <v>-0.2</v>
      </c>
      <c r="N31" s="1475">
        <f t="shared" si="36"/>
        <v>-4.0000000000000001E-3</v>
      </c>
      <c r="O31" s="1492">
        <f t="shared" si="36"/>
        <v>1.7000000000000001E-3</v>
      </c>
      <c r="P31" s="1492">
        <f t="shared" si="36"/>
        <v>-5.7999999999999996E-3</v>
      </c>
      <c r="Q31" s="1492">
        <f t="shared" si="36"/>
        <v>-2E-3</v>
      </c>
      <c r="R31" s="1477"/>
      <c r="S31" s="1475"/>
      <c r="T31" s="1476"/>
      <c r="U31" s="1476"/>
      <c r="V31" s="1476"/>
    </row>
    <row r="32" spans="1:34" ht="13.5" thickBot="1">
      <c r="A32" s="1463" t="s">
        <v>1175</v>
      </c>
      <c r="B32" s="1480">
        <f t="shared" si="46"/>
        <v>276.29854502841971</v>
      </c>
      <c r="C32" s="1480">
        <f t="shared" si="46"/>
        <v>229.79023709833027</v>
      </c>
      <c r="D32" s="1480">
        <f t="shared" si="34"/>
        <v>229.79023709833027</v>
      </c>
      <c r="E32" s="1480">
        <f t="shared" si="47"/>
        <v>379.78759731655936</v>
      </c>
      <c r="F32" s="1480">
        <f t="shared" si="47"/>
        <v>211.32953905659235</v>
      </c>
      <c r="G32" s="3393">
        <v>2011</v>
      </c>
      <c r="H32" s="1466">
        <v>1</v>
      </c>
      <c r="I32" s="1466">
        <v>2.65</v>
      </c>
      <c r="J32" s="1466">
        <v>3.76</v>
      </c>
      <c r="K32" s="1466">
        <v>1.89</v>
      </c>
      <c r="L32" s="1481">
        <v>7.95</v>
      </c>
      <c r="N32" s="1483">
        <f t="shared" si="36"/>
        <v>2.6499999999999999E-2</v>
      </c>
      <c r="O32" s="1484">
        <f t="shared" si="36"/>
        <v>3.7599999999999995E-2</v>
      </c>
      <c r="P32" s="1484">
        <f t="shared" si="36"/>
        <v>1.89E-2</v>
      </c>
      <c r="Q32" s="1484">
        <f t="shared" si="36"/>
        <v>7.9500000000000001E-2</v>
      </c>
      <c r="R32" s="1477"/>
      <c r="S32" s="1483">
        <f>B32/B33-1</f>
        <v>2.713213765211786E-2</v>
      </c>
      <c r="T32" s="1484">
        <f>C32/C33-1</f>
        <v>3.9774828499231862E-2</v>
      </c>
      <c r="U32" s="1484">
        <f>E32/E33-1</f>
        <v>1.8197311840641772E-2</v>
      </c>
      <c r="V32" s="1484">
        <f>F32/F33-1</f>
        <v>7.8211933962205826E-2</v>
      </c>
      <c r="X32" s="1462"/>
      <c r="Y32" s="1462"/>
      <c r="Z32" s="1462"/>
    </row>
    <row r="33" spans="1:26" ht="13.5" thickBot="1">
      <c r="A33" s="1463" t="s">
        <v>1176</v>
      </c>
      <c r="B33" s="1472">
        <v>269</v>
      </c>
      <c r="C33" s="1472">
        <v>221</v>
      </c>
      <c r="D33" s="1472">
        <f t="shared" si="34"/>
        <v>221</v>
      </c>
      <c r="E33" s="1472">
        <v>373</v>
      </c>
      <c r="F33" s="1473">
        <v>196</v>
      </c>
      <c r="G33" s="3391">
        <v>2010</v>
      </c>
      <c r="H33" s="1485">
        <v>4</v>
      </c>
      <c r="I33" s="1485">
        <v>5.72</v>
      </c>
      <c r="J33" s="1485">
        <v>6.57</v>
      </c>
      <c r="K33" s="1485">
        <v>5.72</v>
      </c>
      <c r="L33" s="1486">
        <v>2.72</v>
      </c>
      <c r="N33" s="1475">
        <f t="shared" si="36"/>
        <v>5.7200000000000001E-2</v>
      </c>
      <c r="O33" s="1476">
        <f t="shared" si="36"/>
        <v>6.5700000000000008E-2</v>
      </c>
      <c r="P33" s="1476">
        <f t="shared" si="36"/>
        <v>5.7200000000000001E-2</v>
      </c>
      <c r="Q33" s="1476">
        <f t="shared" si="36"/>
        <v>2.7200000000000002E-2</v>
      </c>
      <c r="R33" s="1477"/>
      <c r="S33" s="1478"/>
      <c r="T33" s="1479"/>
      <c r="U33" s="1479"/>
      <c r="V33" s="1479"/>
      <c r="X33" s="1479"/>
      <c r="Y33" s="1479"/>
      <c r="Z33" s="1479"/>
    </row>
    <row r="34" spans="1:26">
      <c r="A34" s="1463" t="s">
        <v>1177</v>
      </c>
      <c r="B34" s="1480">
        <f t="shared" ref="B34:C36" si="48">B33/(1+N33)</f>
        <v>254.44570563753314</v>
      </c>
      <c r="C34" s="1480">
        <f t="shared" si="48"/>
        <v>207.37543398705074</v>
      </c>
      <c r="D34" s="1480">
        <f t="shared" si="34"/>
        <v>207.37543398705074</v>
      </c>
      <c r="E34" s="1480">
        <f t="shared" ref="E34:F36" si="49">E33/(1+P33)</f>
        <v>352.81876655315932</v>
      </c>
      <c r="F34" s="1480">
        <f t="shared" si="49"/>
        <v>190.809968847352</v>
      </c>
      <c r="G34" s="3392">
        <v>2010</v>
      </c>
      <c r="H34" s="1490">
        <v>3</v>
      </c>
      <c r="I34" s="1490">
        <v>4.7300000000000004</v>
      </c>
      <c r="J34" s="1490">
        <v>3.9</v>
      </c>
      <c r="K34" s="1490">
        <v>5.03</v>
      </c>
      <c r="L34" s="1491">
        <v>4.21</v>
      </c>
      <c r="N34" s="1475">
        <f t="shared" si="36"/>
        <v>4.7300000000000002E-2</v>
      </c>
      <c r="O34" s="1476">
        <f t="shared" si="36"/>
        <v>3.9E-2</v>
      </c>
      <c r="P34" s="1476">
        <f t="shared" si="36"/>
        <v>5.0300000000000004E-2</v>
      </c>
      <c r="Q34" s="1476">
        <f t="shared" si="36"/>
        <v>4.2099999999999999E-2</v>
      </c>
      <c r="R34" s="1477"/>
      <c r="S34" s="1475"/>
      <c r="T34" s="1476"/>
      <c r="U34" s="1476"/>
      <c r="V34" s="1476"/>
    </row>
    <row r="35" spans="1:26">
      <c r="A35" s="1463" t="s">
        <v>1178</v>
      </c>
      <c r="B35" s="1480">
        <f t="shared" si="48"/>
        <v>242.95398227588385</v>
      </c>
      <c r="C35" s="1480">
        <f t="shared" si="48"/>
        <v>199.59137053614126</v>
      </c>
      <c r="D35" s="1480">
        <f t="shared" si="34"/>
        <v>199.59137053614126</v>
      </c>
      <c r="E35" s="1480">
        <f t="shared" si="49"/>
        <v>335.92189522342125</v>
      </c>
      <c r="F35" s="1480">
        <f t="shared" si="49"/>
        <v>183.10139991109489</v>
      </c>
      <c r="G35" s="3392">
        <v>2010</v>
      </c>
      <c r="H35" s="1467">
        <v>2</v>
      </c>
      <c r="I35" s="1467">
        <v>4.6900000000000004</v>
      </c>
      <c r="J35" s="1467">
        <v>3.55</v>
      </c>
      <c r="K35" s="1467">
        <v>5.07</v>
      </c>
      <c r="L35" s="1482">
        <v>4.2300000000000004</v>
      </c>
      <c r="N35" s="1475">
        <f t="shared" si="36"/>
        <v>4.6900000000000004E-2</v>
      </c>
      <c r="O35" s="1476">
        <f t="shared" si="36"/>
        <v>3.5499999999999997E-2</v>
      </c>
      <c r="P35" s="1476">
        <f t="shared" si="36"/>
        <v>5.0700000000000002E-2</v>
      </c>
      <c r="Q35" s="1476">
        <f t="shared" si="36"/>
        <v>4.2300000000000004E-2</v>
      </c>
      <c r="R35" s="1477"/>
      <c r="S35" s="1475"/>
      <c r="T35" s="1476"/>
      <c r="U35" s="1476"/>
      <c r="V35" s="1476"/>
    </row>
    <row r="36" spans="1:26" ht="13.5" thickBot="1">
      <c r="A36" s="1463" t="s">
        <v>1179</v>
      </c>
      <c r="B36" s="1480">
        <f t="shared" si="48"/>
        <v>232.06990378821649</v>
      </c>
      <c r="C36" s="1480">
        <f t="shared" si="48"/>
        <v>192.74878854286936</v>
      </c>
      <c r="D36" s="1480">
        <f t="shared" si="34"/>
        <v>192.74878854286936</v>
      </c>
      <c r="E36" s="1480">
        <f t="shared" si="49"/>
        <v>319.71247284992984</v>
      </c>
      <c r="F36" s="1480">
        <f t="shared" si="49"/>
        <v>175.67053622862409</v>
      </c>
      <c r="G36" s="3393">
        <v>2010</v>
      </c>
      <c r="H36" s="1466">
        <v>1</v>
      </c>
      <c r="I36" s="1466">
        <v>5.4</v>
      </c>
      <c r="J36" s="1466">
        <v>3.2</v>
      </c>
      <c r="K36" s="1466">
        <v>6.16</v>
      </c>
      <c r="L36" s="1481">
        <v>4.51</v>
      </c>
      <c r="N36" s="1475">
        <f t="shared" si="36"/>
        <v>5.4000000000000006E-2</v>
      </c>
      <c r="O36" s="1476">
        <f t="shared" si="36"/>
        <v>3.2000000000000001E-2</v>
      </c>
      <c r="P36" s="1476">
        <f t="shared" si="36"/>
        <v>6.1600000000000002E-2</v>
      </c>
      <c r="Q36" s="1476">
        <f t="shared" si="36"/>
        <v>4.5100000000000001E-2</v>
      </c>
      <c r="R36" s="1477"/>
      <c r="S36" s="1483">
        <f>B36/B37-1</f>
        <v>5.4863199037347599E-2</v>
      </c>
      <c r="T36" s="1484">
        <f>C36/C37-1</f>
        <v>3.0742184721226584E-2</v>
      </c>
      <c r="U36" s="1484">
        <f>E36/E37-1</f>
        <v>6.2167683886810154E-2</v>
      </c>
      <c r="V36" s="1484">
        <f>F36/F37-1</f>
        <v>4.5657953741810031E-2</v>
      </c>
      <c r="X36" s="1462"/>
      <c r="Y36" s="1462"/>
      <c r="Z36" s="1462"/>
    </row>
    <row r="37" spans="1:26" ht="13.5" thickBot="1">
      <c r="A37" s="1463" t="s">
        <v>1180</v>
      </c>
      <c r="B37" s="1472">
        <v>220</v>
      </c>
      <c r="C37" s="1472">
        <v>187</v>
      </c>
      <c r="D37" s="1472">
        <f t="shared" si="34"/>
        <v>187</v>
      </c>
      <c r="E37" s="1472">
        <v>301</v>
      </c>
      <c r="F37" s="1473">
        <v>168</v>
      </c>
      <c r="G37" s="3391">
        <v>2009</v>
      </c>
      <c r="H37" s="1485">
        <v>4</v>
      </c>
      <c r="I37" s="1485">
        <v>2.2999999999999998</v>
      </c>
      <c r="J37" s="1485">
        <v>1.04</v>
      </c>
      <c r="K37" s="1485">
        <v>2.84</v>
      </c>
      <c r="L37" s="1486">
        <v>0.67</v>
      </c>
      <c r="N37" s="1487">
        <f t="shared" si="36"/>
        <v>2.3E-2</v>
      </c>
      <c r="O37" s="1488">
        <f t="shared" si="36"/>
        <v>1.04E-2</v>
      </c>
      <c r="P37" s="1488">
        <f t="shared" si="36"/>
        <v>2.8399999999999998E-2</v>
      </c>
      <c r="Q37" s="1488">
        <f t="shared" si="36"/>
        <v>6.7000000000000002E-3</v>
      </c>
      <c r="R37" s="1477"/>
      <c r="S37" s="1478"/>
      <c r="T37" s="1479"/>
      <c r="U37" s="1479"/>
      <c r="V37" s="1479"/>
      <c r="X37" s="1479"/>
      <c r="Y37" s="1479"/>
      <c r="Z37" s="1479"/>
    </row>
    <row r="38" spans="1:26">
      <c r="A38" s="1463" t="s">
        <v>1181</v>
      </c>
      <c r="B38" s="1480">
        <f t="shared" ref="B38:C40" si="50">B37/(1+N37)</f>
        <v>215.05376344086022</v>
      </c>
      <c r="C38" s="1480">
        <f t="shared" si="50"/>
        <v>185.0752177355503</v>
      </c>
      <c r="D38" s="1480">
        <f t="shared" si="34"/>
        <v>185.0752177355503</v>
      </c>
      <c r="E38" s="1480">
        <f t="shared" ref="E38:F40" si="51">E37/(1+P37)</f>
        <v>292.68767016725008</v>
      </c>
      <c r="F38" s="1480">
        <f t="shared" si="51"/>
        <v>166.88189132810174</v>
      </c>
      <c r="G38" s="3392">
        <v>2009</v>
      </c>
      <c r="H38" s="1490">
        <v>3</v>
      </c>
      <c r="I38" s="1490">
        <v>2.1</v>
      </c>
      <c r="J38" s="1490">
        <v>1.86</v>
      </c>
      <c r="K38" s="1490">
        <v>2.29</v>
      </c>
      <c r="L38" s="1491">
        <v>0.85</v>
      </c>
      <c r="N38" s="1475">
        <f t="shared" si="36"/>
        <v>2.1000000000000001E-2</v>
      </c>
      <c r="O38" s="1492">
        <f t="shared" si="36"/>
        <v>1.8600000000000002E-2</v>
      </c>
      <c r="P38" s="1492">
        <f t="shared" si="36"/>
        <v>2.29E-2</v>
      </c>
      <c r="Q38" s="1492">
        <f t="shared" si="36"/>
        <v>8.5000000000000006E-3</v>
      </c>
      <c r="R38" s="1477"/>
      <c r="S38" s="1475"/>
      <c r="T38" s="1476"/>
      <c r="U38" s="1476"/>
      <c r="V38" s="1476"/>
    </row>
    <row r="39" spans="1:26">
      <c r="A39" s="1463" t="s">
        <v>1182</v>
      </c>
      <c r="B39" s="1480">
        <f t="shared" si="50"/>
        <v>210.630522469011</v>
      </c>
      <c r="C39" s="1480">
        <f t="shared" si="50"/>
        <v>181.69567812247232</v>
      </c>
      <c r="D39" s="1480">
        <f t="shared" si="34"/>
        <v>181.69567812247232</v>
      </c>
      <c r="E39" s="1480">
        <f t="shared" si="51"/>
        <v>286.13517466736738</v>
      </c>
      <c r="F39" s="1480">
        <f t="shared" si="51"/>
        <v>165.47535084591149</v>
      </c>
      <c r="G39" s="3392">
        <v>2009</v>
      </c>
      <c r="H39" s="1467">
        <v>2</v>
      </c>
      <c r="I39" s="1467">
        <v>0.86</v>
      </c>
      <c r="J39" s="1467">
        <v>-1.1299999999999999</v>
      </c>
      <c r="K39" s="1467">
        <v>1.79</v>
      </c>
      <c r="L39" s="1482">
        <v>-2.0699999999999998</v>
      </c>
      <c r="N39" s="1475">
        <f t="shared" si="36"/>
        <v>8.6E-3</v>
      </c>
      <c r="O39" s="1492">
        <f t="shared" si="36"/>
        <v>-1.1299999999999999E-2</v>
      </c>
      <c r="P39" s="1492">
        <f t="shared" si="36"/>
        <v>1.7899999999999999E-2</v>
      </c>
      <c r="Q39" s="1492">
        <f t="shared" si="36"/>
        <v>-2.07E-2</v>
      </c>
      <c r="R39" s="1477"/>
      <c r="S39" s="1475"/>
      <c r="T39" s="1476"/>
      <c r="U39" s="1476"/>
      <c r="V39" s="1476"/>
    </row>
    <row r="40" spans="1:26">
      <c r="A40" s="1463" t="s">
        <v>1183</v>
      </c>
      <c r="B40" s="1480">
        <f t="shared" si="50"/>
        <v>208.83454537875372</v>
      </c>
      <c r="C40" s="1480">
        <f t="shared" si="50"/>
        <v>183.77230517090351</v>
      </c>
      <c r="D40" s="1480">
        <f t="shared" si="34"/>
        <v>183.77230517090351</v>
      </c>
      <c r="E40" s="1480">
        <f t="shared" si="51"/>
        <v>281.10342338870947</v>
      </c>
      <c r="F40" s="1480">
        <f t="shared" si="51"/>
        <v>168.97309388942256</v>
      </c>
      <c r="G40" s="3393">
        <v>2009</v>
      </c>
      <c r="H40" s="1466">
        <v>1</v>
      </c>
      <c r="I40" s="1466">
        <v>-2.64</v>
      </c>
      <c r="J40" s="1466">
        <v>-2.5299999999999998</v>
      </c>
      <c r="K40" s="1466">
        <v>-3.02</v>
      </c>
      <c r="L40" s="1481">
        <v>1.52</v>
      </c>
      <c r="N40" s="1483">
        <f t="shared" si="36"/>
        <v>-2.64E-2</v>
      </c>
      <c r="O40" s="1484">
        <f t="shared" si="36"/>
        <v>-2.53E-2</v>
      </c>
      <c r="P40" s="1484">
        <f t="shared" si="36"/>
        <v>-3.0200000000000001E-2</v>
      </c>
      <c r="Q40" s="1484">
        <f t="shared" si="36"/>
        <v>1.52E-2</v>
      </c>
      <c r="R40" s="1477"/>
      <c r="S40" s="1483">
        <f>B40/B41-1</f>
        <v>-2.4137638417038754E-2</v>
      </c>
      <c r="T40" s="1484">
        <f>C40/C41-1</f>
        <v>-2.248773845264096E-2</v>
      </c>
      <c r="U40" s="1484">
        <f>E40/E41-1</f>
        <v>-2.7323794502735366E-2</v>
      </c>
      <c r="V40" s="1484">
        <f>F40/F41-1</f>
        <v>1.7910204153148035E-2</v>
      </c>
      <c r="X40" s="1462"/>
      <c r="Y40" s="1462"/>
      <c r="Z40" s="1462"/>
    </row>
    <row r="41" spans="1:26" ht="13.5" thickBot="1">
      <c r="A41" s="1463" t="s">
        <v>1184</v>
      </c>
      <c r="B41" s="1514">
        <v>214</v>
      </c>
      <c r="C41" s="1514">
        <v>188</v>
      </c>
      <c r="D41" s="1514">
        <f t="shared" si="34"/>
        <v>188</v>
      </c>
      <c r="E41" s="1514">
        <v>289</v>
      </c>
      <c r="F41" s="1515">
        <v>166</v>
      </c>
      <c r="G41" s="3391">
        <v>2008</v>
      </c>
      <c r="H41" s="1485">
        <v>4</v>
      </c>
      <c r="I41" s="1485">
        <v>1.73</v>
      </c>
      <c r="J41" s="1485">
        <v>0.03</v>
      </c>
      <c r="K41" s="1485">
        <v>2.59</v>
      </c>
      <c r="L41" s="1486">
        <v>-1.66</v>
      </c>
      <c r="N41" s="1475">
        <f t="shared" si="36"/>
        <v>1.7299999999999999E-2</v>
      </c>
      <c r="O41" s="1476">
        <f t="shared" si="36"/>
        <v>2.9999999999999997E-4</v>
      </c>
      <c r="P41" s="1476">
        <f t="shared" si="36"/>
        <v>2.5899999999999999E-2</v>
      </c>
      <c r="Q41" s="1476">
        <f t="shared" si="36"/>
        <v>-1.66E-2</v>
      </c>
      <c r="R41" s="1477"/>
      <c r="S41" s="1478"/>
      <c r="T41" s="1479"/>
      <c r="U41" s="1479"/>
      <c r="V41" s="1479"/>
      <c r="X41" s="1479"/>
      <c r="Y41" s="1479"/>
      <c r="Z41" s="1479"/>
    </row>
    <row r="42" spans="1:26">
      <c r="A42" s="1463" t="s">
        <v>1185</v>
      </c>
      <c r="B42" s="1480">
        <f t="shared" ref="B42:C44" si="52">B41/(1+N41)</f>
        <v>210.36075887152265</v>
      </c>
      <c r="C42" s="1480">
        <f t="shared" si="52"/>
        <v>187.94361691492554</v>
      </c>
      <c r="D42" s="1480">
        <f t="shared" si="34"/>
        <v>187.94361691492554</v>
      </c>
      <c r="E42" s="1480">
        <f t="shared" ref="E42:F44" si="53">E41/(1+P41)</f>
        <v>281.70386977288234</v>
      </c>
      <c r="F42" s="1480">
        <f t="shared" si="53"/>
        <v>168.80211511083994</v>
      </c>
      <c r="G42" s="3392">
        <v>2008</v>
      </c>
      <c r="H42" s="1490">
        <v>3</v>
      </c>
      <c r="I42" s="1490">
        <v>1.96</v>
      </c>
      <c r="J42" s="1490">
        <v>2.36</v>
      </c>
      <c r="K42" s="1490">
        <v>1.82</v>
      </c>
      <c r="L42" s="1491">
        <v>2.2200000000000002</v>
      </c>
      <c r="N42" s="1475">
        <f t="shared" si="36"/>
        <v>1.9599999999999999E-2</v>
      </c>
      <c r="O42" s="1476">
        <f t="shared" si="36"/>
        <v>2.3599999999999999E-2</v>
      </c>
      <c r="P42" s="1476">
        <f t="shared" si="36"/>
        <v>1.8200000000000001E-2</v>
      </c>
      <c r="Q42" s="1476">
        <f t="shared" si="36"/>
        <v>2.2200000000000001E-2</v>
      </c>
      <c r="R42" s="1477"/>
      <c r="S42" s="1475"/>
      <c r="T42" s="1476"/>
      <c r="U42" s="1476"/>
      <c r="V42" s="1476"/>
    </row>
    <row r="43" spans="1:26">
      <c r="A43" s="1463" t="s">
        <v>1186</v>
      </c>
      <c r="B43" s="1480">
        <f t="shared" si="52"/>
        <v>206.31694671589116</v>
      </c>
      <c r="C43" s="1480">
        <f t="shared" si="52"/>
        <v>183.61041121036101</v>
      </c>
      <c r="D43" s="1480">
        <f t="shared" si="34"/>
        <v>183.61041121036101</v>
      </c>
      <c r="E43" s="1480">
        <f t="shared" si="53"/>
        <v>276.66850301795557</v>
      </c>
      <c r="F43" s="1480">
        <f t="shared" si="53"/>
        <v>165.1360938278614</v>
      </c>
      <c r="G43" s="3392">
        <v>2008</v>
      </c>
      <c r="H43" s="1467">
        <v>2</v>
      </c>
      <c r="I43" s="1467">
        <v>4.93</v>
      </c>
      <c r="J43" s="1467">
        <v>7.38</v>
      </c>
      <c r="K43" s="1467">
        <v>3.98</v>
      </c>
      <c r="L43" s="1482">
        <v>6.86</v>
      </c>
      <c r="N43" s="1475">
        <f t="shared" si="36"/>
        <v>4.9299999999999997E-2</v>
      </c>
      <c r="O43" s="1476">
        <f t="shared" si="36"/>
        <v>7.3800000000000004E-2</v>
      </c>
      <c r="P43" s="1476">
        <f t="shared" si="36"/>
        <v>3.9800000000000002E-2</v>
      </c>
      <c r="Q43" s="1476">
        <f t="shared" si="36"/>
        <v>6.8600000000000008E-2</v>
      </c>
      <c r="R43" s="1477"/>
      <c r="S43" s="1475"/>
      <c r="T43" s="1476"/>
      <c r="U43" s="1476"/>
      <c r="V43" s="1476"/>
    </row>
    <row r="44" spans="1:26" s="1520" customFormat="1" ht="13.5" thickBot="1">
      <c r="A44" s="1463" t="s">
        <v>1187</v>
      </c>
      <c r="B44" s="1517">
        <f t="shared" si="52"/>
        <v>196.62341248059772</v>
      </c>
      <c r="C44" s="1517">
        <f t="shared" si="52"/>
        <v>170.99125648199012</v>
      </c>
      <c r="D44" s="1517">
        <f t="shared" si="34"/>
        <v>170.99125648199012</v>
      </c>
      <c r="E44" s="1517">
        <f t="shared" si="53"/>
        <v>266.07857570490052</v>
      </c>
      <c r="F44" s="1517">
        <f t="shared" si="53"/>
        <v>154.53499328828505</v>
      </c>
      <c r="G44" s="3393">
        <v>2008</v>
      </c>
      <c r="H44" s="1518">
        <v>1</v>
      </c>
      <c r="I44" s="1518">
        <v>4.1399999999999997</v>
      </c>
      <c r="J44" s="1518">
        <v>3.45</v>
      </c>
      <c r="K44" s="1518">
        <v>4.95</v>
      </c>
      <c r="L44" s="1519">
        <v>4.82</v>
      </c>
      <c r="N44" s="1521">
        <f t="shared" si="36"/>
        <v>4.1399999999999999E-2</v>
      </c>
      <c r="O44" s="1522">
        <f t="shared" si="36"/>
        <v>3.4500000000000003E-2</v>
      </c>
      <c r="P44" s="1522">
        <f t="shared" si="36"/>
        <v>4.9500000000000002E-2</v>
      </c>
      <c r="Q44" s="1522">
        <f t="shared" si="36"/>
        <v>4.82E-2</v>
      </c>
      <c r="R44" s="1523"/>
      <c r="S44" s="1521">
        <f>B44/B45-1</f>
        <v>4.5869215322328349E-2</v>
      </c>
      <c r="T44" s="1522">
        <f>C44/C45-1</f>
        <v>3.6310645345394743E-2</v>
      </c>
      <c r="U44" s="1522">
        <f>E44/E45-1</f>
        <v>4.7553447657088688E-2</v>
      </c>
      <c r="V44" s="1522">
        <f>F44/F45-1</f>
        <v>4.4155360055980086E-2</v>
      </c>
      <c r="X44" s="1524"/>
      <c r="Y44" s="1524"/>
      <c r="Z44" s="1524"/>
    </row>
    <row r="45" spans="1:26" ht="13.5" thickBot="1">
      <c r="A45" s="1463" t="s">
        <v>1188</v>
      </c>
      <c r="B45" s="1472">
        <v>188</v>
      </c>
      <c r="C45" s="1472">
        <v>165</v>
      </c>
      <c r="D45" s="1472">
        <f t="shared" si="34"/>
        <v>165</v>
      </c>
      <c r="E45" s="1472">
        <v>254</v>
      </c>
      <c r="F45" s="1473">
        <v>148</v>
      </c>
      <c r="G45" s="3391">
        <v>2007</v>
      </c>
      <c r="H45" s="1525">
        <v>4</v>
      </c>
      <c r="I45" s="1525">
        <v>5.51</v>
      </c>
      <c r="J45" s="1525">
        <v>4.8899999999999997</v>
      </c>
      <c r="K45" s="1525">
        <v>6.43</v>
      </c>
      <c r="L45" s="1526">
        <v>5.36</v>
      </c>
      <c r="N45" s="1527">
        <f t="shared" ref="N45:O48" si="54">B45/B46-1</f>
        <v>4.1339718365245526E-2</v>
      </c>
      <c r="O45" s="1528">
        <f t="shared" si="54"/>
        <v>4.0324492593776018E-2</v>
      </c>
      <c r="P45" s="1528">
        <f t="shared" ref="P45:Q48" si="55">E45/E46-1</f>
        <v>6.1625555347990968E-2</v>
      </c>
      <c r="Q45" s="1528">
        <f t="shared" si="55"/>
        <v>4.6757569250590603E-2</v>
      </c>
      <c r="R45" s="1477"/>
      <c r="S45" s="1478"/>
      <c r="T45" s="1479"/>
      <c r="U45" s="1479"/>
      <c r="V45" s="1479"/>
      <c r="X45" s="1479"/>
      <c r="Y45" s="1479"/>
      <c r="Z45" s="1479"/>
    </row>
    <row r="46" spans="1:26">
      <c r="A46" s="1463" t="s">
        <v>1189</v>
      </c>
      <c r="B46" s="1480">
        <f t="shared" ref="B46:C48" si="56">B47+(B$45-B$49)*I46/SUM(I$45:I$48)</f>
        <v>180.5366651097618</v>
      </c>
      <c r="C46" s="1480">
        <f t="shared" si="56"/>
        <v>158.60435967302453</v>
      </c>
      <c r="D46" s="1480">
        <f t="shared" si="34"/>
        <v>158.60435967302453</v>
      </c>
      <c r="E46" s="1480">
        <f t="shared" ref="E46:F48" si="57">E47+(E$45-E$49)*K46/SUM(K$45:K$48)</f>
        <v>239.25573260785075</v>
      </c>
      <c r="F46" s="1480">
        <f t="shared" si="57"/>
        <v>141.38899430740037</v>
      </c>
      <c r="G46" s="3392">
        <v>2007</v>
      </c>
      <c r="H46" s="1490">
        <v>3</v>
      </c>
      <c r="I46" s="1490">
        <v>8.65</v>
      </c>
      <c r="J46" s="1490">
        <v>8.06</v>
      </c>
      <c r="K46" s="1490">
        <v>9.94</v>
      </c>
      <c r="L46" s="1491">
        <v>5.8</v>
      </c>
      <c r="N46" s="1527">
        <f t="shared" si="54"/>
        <v>6.940217571740015E-2</v>
      </c>
      <c r="O46" s="1528">
        <f t="shared" si="54"/>
        <v>7.1197482471153428E-2</v>
      </c>
      <c r="P46" s="1528">
        <f t="shared" si="55"/>
        <v>0.10529679922579582</v>
      </c>
      <c r="Q46" s="1528">
        <f t="shared" si="55"/>
        <v>5.3292245059512133E-2</v>
      </c>
      <c r="R46" s="1477"/>
      <c r="S46" s="1475"/>
      <c r="T46" s="1476"/>
      <c r="U46" s="1476"/>
      <c r="V46" s="1476"/>
      <c r="X46" s="1529"/>
      <c r="Y46" s="1529"/>
      <c r="Z46" s="1529"/>
    </row>
    <row r="47" spans="1:26">
      <c r="A47" s="1463" t="s">
        <v>1190</v>
      </c>
      <c r="B47" s="1480">
        <f t="shared" si="56"/>
        <v>168.82017748715555</v>
      </c>
      <c r="C47" s="1480">
        <f t="shared" si="56"/>
        <v>148.06267029972753</v>
      </c>
      <c r="D47" s="1480">
        <f t="shared" si="34"/>
        <v>148.06267029972753</v>
      </c>
      <c r="E47" s="1480">
        <f t="shared" si="57"/>
        <v>216.46288379323747</v>
      </c>
      <c r="F47" s="1480">
        <f t="shared" si="57"/>
        <v>134.23529411764704</v>
      </c>
      <c r="G47" s="3392">
        <v>2007</v>
      </c>
      <c r="H47" s="1467">
        <v>2</v>
      </c>
      <c r="I47" s="1467">
        <v>3.67</v>
      </c>
      <c r="J47" s="1467">
        <v>2.3199999999999998</v>
      </c>
      <c r="K47" s="1467">
        <v>5.0199999999999996</v>
      </c>
      <c r="L47" s="1482">
        <v>6.71</v>
      </c>
      <c r="N47" s="1527">
        <f t="shared" si="54"/>
        <v>3.0339138143848032E-2</v>
      </c>
      <c r="O47" s="1528">
        <f t="shared" si="54"/>
        <v>2.0922341588790472E-2</v>
      </c>
      <c r="P47" s="1528">
        <f t="shared" si="55"/>
        <v>5.6164796592717003E-2</v>
      </c>
      <c r="Q47" s="1528">
        <f t="shared" si="55"/>
        <v>6.5704536723887319E-2</v>
      </c>
      <c r="R47" s="1477"/>
      <c r="S47" s="1475"/>
      <c r="T47" s="1476"/>
      <c r="U47" s="1476"/>
      <c r="V47" s="1476"/>
      <c r="X47" s="1529"/>
      <c r="Y47" s="1529"/>
      <c r="Z47" s="1529"/>
    </row>
    <row r="48" spans="1:26">
      <c r="A48" s="1463" t="s">
        <v>1191</v>
      </c>
      <c r="B48" s="1480">
        <f t="shared" si="56"/>
        <v>163.84913591779542</v>
      </c>
      <c r="C48" s="1480">
        <f t="shared" si="56"/>
        <v>145.0283378746594</v>
      </c>
      <c r="D48" s="1480">
        <f t="shared" si="34"/>
        <v>145.0283378746594</v>
      </c>
      <c r="E48" s="1480">
        <f t="shared" si="57"/>
        <v>204.95180722891567</v>
      </c>
      <c r="F48" s="1480">
        <f t="shared" si="57"/>
        <v>125.95920303605313</v>
      </c>
      <c r="G48" s="3393">
        <v>2007</v>
      </c>
      <c r="H48" s="1466">
        <v>1</v>
      </c>
      <c r="I48" s="1466">
        <v>3.58</v>
      </c>
      <c r="J48" s="1466">
        <v>3.08</v>
      </c>
      <c r="K48" s="1466">
        <v>4.34</v>
      </c>
      <c r="L48" s="1481">
        <v>3.21</v>
      </c>
      <c r="N48" s="1530">
        <f t="shared" si="54"/>
        <v>3.0497710174814063E-2</v>
      </c>
      <c r="O48" s="1531">
        <f t="shared" si="54"/>
        <v>2.8569772160704998E-2</v>
      </c>
      <c r="P48" s="1531">
        <f t="shared" si="55"/>
        <v>5.1034908866234296E-2</v>
      </c>
      <c r="Q48" s="1531">
        <f t="shared" si="55"/>
        <v>3.245248390207478E-2</v>
      </c>
      <c r="R48" s="1477"/>
      <c r="S48" s="1483">
        <f>B48/B49-1</f>
        <v>3.0497710174814063E-2</v>
      </c>
      <c r="T48" s="1484">
        <f>C48/C49-1</f>
        <v>2.8569772160704998E-2</v>
      </c>
      <c r="U48" s="1484">
        <f>E48/E49-1</f>
        <v>5.1034908866234296E-2</v>
      </c>
      <c r="V48" s="1484">
        <f>F48/F49-1</f>
        <v>3.245248390207478E-2</v>
      </c>
      <c r="X48" s="1529"/>
      <c r="Y48" s="1529"/>
      <c r="Z48" s="1529"/>
    </row>
    <row r="49" spans="1:26" ht="13.5" thickBot="1">
      <c r="A49" s="1463" t="s">
        <v>1192</v>
      </c>
      <c r="B49" s="1493">
        <v>159</v>
      </c>
      <c r="C49" s="1493">
        <v>141</v>
      </c>
      <c r="D49" s="1493">
        <f t="shared" si="34"/>
        <v>141</v>
      </c>
      <c r="E49" s="1493">
        <v>195</v>
      </c>
      <c r="F49" s="1494">
        <v>122</v>
      </c>
      <c r="G49" s="3391">
        <v>2006</v>
      </c>
      <c r="H49" s="1485">
        <v>4</v>
      </c>
      <c r="I49" s="1485">
        <v>3.79</v>
      </c>
      <c r="J49" s="1485">
        <v>2.21</v>
      </c>
      <c r="K49" s="1485">
        <v>5.65</v>
      </c>
      <c r="L49" s="1486">
        <v>5.41</v>
      </c>
      <c r="N49" s="1527">
        <f t="shared" ref="N49:O52" si="58">I49/SUM(I$49:I$52)*(B$49/B$53-1)</f>
        <v>7.245466462748526E-2</v>
      </c>
      <c r="O49" s="1528">
        <f t="shared" si="58"/>
        <v>2.3237230038062766E-2</v>
      </c>
      <c r="P49" s="1528">
        <f t="shared" ref="P49:Q52" si="59">K49/SUM(K$49:K$52)*(E$49/E$53-1)</f>
        <v>0.16146893866323722</v>
      </c>
      <c r="Q49" s="1528">
        <f t="shared" si="59"/>
        <v>5.0755230321793784E-2</v>
      </c>
      <c r="R49" s="1477"/>
      <c r="S49" s="1478"/>
      <c r="T49" s="1479"/>
      <c r="U49" s="1479"/>
      <c r="V49" s="1479"/>
      <c r="X49" s="1529"/>
      <c r="Y49" s="1529"/>
      <c r="Z49" s="1529"/>
    </row>
    <row r="50" spans="1:26">
      <c r="A50" s="1463" t="s">
        <v>1193</v>
      </c>
      <c r="B50" s="1480">
        <f t="shared" ref="B50:C52" si="60">B51+(B$49-B$53)*I50/SUM(I$49:I$52)</f>
        <v>149.00125628140702</v>
      </c>
      <c r="C50" s="1480">
        <f t="shared" si="60"/>
        <v>137.95592286501378</v>
      </c>
      <c r="D50" s="1480">
        <f t="shared" si="34"/>
        <v>137.95592286501378</v>
      </c>
      <c r="E50" s="1480">
        <f t="shared" ref="E50:F52" si="61">E51+(E$49-E$53)*K50/SUM(K$49:K$52)</f>
        <v>169.97231450719823</v>
      </c>
      <c r="F50" s="1480">
        <f t="shared" si="61"/>
        <v>116.21390374331551</v>
      </c>
      <c r="G50" s="3392">
        <v>2006</v>
      </c>
      <c r="H50" s="1490">
        <v>3</v>
      </c>
      <c r="I50" s="1490">
        <v>0.92</v>
      </c>
      <c r="J50" s="1490">
        <v>1.08</v>
      </c>
      <c r="K50" s="1490">
        <v>0.73</v>
      </c>
      <c r="L50" s="1491">
        <v>1.08</v>
      </c>
      <c r="N50" s="1527">
        <f t="shared" si="58"/>
        <v>1.7587939698492462E-2</v>
      </c>
      <c r="O50" s="1528">
        <f t="shared" si="58"/>
        <v>1.1355750425840628E-2</v>
      </c>
      <c r="P50" s="1528">
        <f t="shared" si="59"/>
        <v>2.0862358446754544E-2</v>
      </c>
      <c r="Q50" s="1528">
        <f t="shared" si="59"/>
        <v>1.0132282578103011E-2</v>
      </c>
      <c r="R50" s="1477"/>
      <c r="S50" s="1475"/>
      <c r="T50" s="1476"/>
      <c r="U50" s="1476"/>
      <c r="V50" s="1476"/>
      <c r="X50" s="1529"/>
      <c r="Y50" s="1529"/>
      <c r="Z50" s="1529"/>
    </row>
    <row r="51" spans="1:26">
      <c r="A51" s="1463" t="s">
        <v>1194</v>
      </c>
      <c r="B51" s="1480">
        <f t="shared" si="60"/>
        <v>146.57412060301507</v>
      </c>
      <c r="C51" s="1480">
        <f t="shared" si="60"/>
        <v>136.46831955922866</v>
      </c>
      <c r="D51" s="1480">
        <f t="shared" si="34"/>
        <v>136.46831955922866</v>
      </c>
      <c r="E51" s="1480">
        <f t="shared" si="61"/>
        <v>166.73864894795128</v>
      </c>
      <c r="F51" s="1480">
        <f t="shared" si="61"/>
        <v>115.05882352941177</v>
      </c>
      <c r="G51" s="3392">
        <v>2006</v>
      </c>
      <c r="H51" s="1467">
        <v>2</v>
      </c>
      <c r="I51" s="1467">
        <v>0.96</v>
      </c>
      <c r="J51" s="1467">
        <v>0.25</v>
      </c>
      <c r="K51" s="1467">
        <v>1.9</v>
      </c>
      <c r="L51" s="1482">
        <v>0.95</v>
      </c>
      <c r="N51" s="1527">
        <f t="shared" si="58"/>
        <v>1.8352632728861701E-2</v>
      </c>
      <c r="O51" s="1528">
        <f t="shared" si="58"/>
        <v>2.6286459319075526E-3</v>
      </c>
      <c r="P51" s="1528">
        <f t="shared" si="59"/>
        <v>5.4299289107991269E-2</v>
      </c>
      <c r="Q51" s="1528">
        <f t="shared" si="59"/>
        <v>8.9126559714794995E-3</v>
      </c>
      <c r="R51" s="1477"/>
      <c r="S51" s="1475"/>
      <c r="T51" s="1476"/>
      <c r="U51" s="1476"/>
      <c r="V51" s="1476"/>
      <c r="X51" s="1529"/>
      <c r="Y51" s="1529"/>
      <c r="Z51" s="1529"/>
    </row>
    <row r="52" spans="1:26">
      <c r="A52" s="1463" t="s">
        <v>1195</v>
      </c>
      <c r="B52" s="1480">
        <f t="shared" si="60"/>
        <v>144.04145728643215</v>
      </c>
      <c r="C52" s="1480">
        <f t="shared" si="60"/>
        <v>136.12396694214877</v>
      </c>
      <c r="D52" s="1480">
        <f t="shared" si="34"/>
        <v>136.12396694214877</v>
      </c>
      <c r="E52" s="1480">
        <f t="shared" si="61"/>
        <v>158.32225913621264</v>
      </c>
      <c r="F52" s="1480">
        <f t="shared" si="61"/>
        <v>114.04278074866311</v>
      </c>
      <c r="G52" s="3393">
        <v>2006</v>
      </c>
      <c r="H52" s="1466">
        <v>1</v>
      </c>
      <c r="I52" s="1466">
        <v>2.29</v>
      </c>
      <c r="J52" s="1466">
        <v>3.72</v>
      </c>
      <c r="K52" s="1466">
        <v>0.75</v>
      </c>
      <c r="L52" s="1481">
        <v>0.04</v>
      </c>
      <c r="N52" s="1530">
        <f t="shared" si="58"/>
        <v>4.3778675988638847E-2</v>
      </c>
      <c r="O52" s="1531">
        <f t="shared" si="58"/>
        <v>3.9114251466784385E-2</v>
      </c>
      <c r="P52" s="1531">
        <f t="shared" si="59"/>
        <v>2.1433929911049188E-2</v>
      </c>
      <c r="Q52" s="1531">
        <f t="shared" si="59"/>
        <v>3.7526972511492629E-4</v>
      </c>
      <c r="R52" s="1477"/>
      <c r="S52" s="1483">
        <f>B52/B53-1</f>
        <v>4.3778675988638716E-2</v>
      </c>
      <c r="T52" s="1484">
        <f>C52/C53-1</f>
        <v>3.91142514667846E-2</v>
      </c>
      <c r="U52" s="1484">
        <f>E52/E53-1</f>
        <v>2.143392991104931E-2</v>
      </c>
      <c r="V52" s="1484">
        <f>F52/F53-1</f>
        <v>3.7526972511492396E-4</v>
      </c>
      <c r="X52" s="1529"/>
      <c r="Y52" s="1529"/>
      <c r="Z52" s="1529"/>
    </row>
    <row r="53" spans="1:26" ht="13.5" thickBot="1">
      <c r="A53" s="1463" t="s">
        <v>1196</v>
      </c>
      <c r="B53" s="1493">
        <v>138</v>
      </c>
      <c r="C53" s="1493">
        <v>131</v>
      </c>
      <c r="D53" s="1493">
        <f t="shared" si="34"/>
        <v>131</v>
      </c>
      <c r="E53" s="1493">
        <v>155</v>
      </c>
      <c r="F53" s="1494">
        <v>114</v>
      </c>
      <c r="G53" s="3391">
        <v>2005</v>
      </c>
      <c r="H53" s="1485">
        <v>4</v>
      </c>
      <c r="I53" s="1485">
        <v>3.29</v>
      </c>
      <c r="J53" s="1485">
        <v>1.44</v>
      </c>
      <c r="K53" s="1485">
        <v>0.66</v>
      </c>
      <c r="L53" s="1486">
        <v>7.78</v>
      </c>
      <c r="N53" s="1527">
        <f t="shared" ref="N53:O56" si="62">I53/SUM(I$53:I$56)*(B$53/B$57-1)</f>
        <v>9.9404603216919935E-2</v>
      </c>
      <c r="O53" s="1528">
        <f t="shared" si="62"/>
        <v>4.7636550760861554E-2</v>
      </c>
      <c r="P53" s="1528">
        <f t="shared" ref="P53:Q56" si="63">K53/SUM(K$53:K$56)*(E$53/E$57-1)</f>
        <v>8.3756345177664976E-2</v>
      </c>
      <c r="Q53" s="1528">
        <f t="shared" si="63"/>
        <v>5.2148766661559584E-2</v>
      </c>
      <c r="R53" s="1477"/>
      <c r="S53" s="1478"/>
      <c r="T53" s="1479"/>
      <c r="U53" s="1479"/>
      <c r="V53" s="1479"/>
      <c r="X53" s="1529"/>
      <c r="Y53" s="1529"/>
      <c r="Z53" s="1529"/>
    </row>
    <row r="54" spans="1:26">
      <c r="A54" s="1463" t="s">
        <v>1197</v>
      </c>
      <c r="B54" s="1480">
        <f t="shared" ref="B54:C56" si="64">B55+(B$53-B$57)*I54/SUM(I$53:I$56)</f>
        <v>125.9720430107527</v>
      </c>
      <c r="C54" s="1480">
        <f t="shared" si="64"/>
        <v>125.1883408071749</v>
      </c>
      <c r="D54" s="1480">
        <f t="shared" si="34"/>
        <v>125.1883408071749</v>
      </c>
      <c r="E54" s="1480">
        <f t="shared" ref="E54:F56" si="65">E55+(E$53-E$57)*K54/SUM(K$53:K$56)</f>
        <v>144.61421319796952</v>
      </c>
      <c r="F54" s="1480">
        <f t="shared" si="65"/>
        <v>108.42008196721311</v>
      </c>
      <c r="G54" s="3392">
        <v>2005</v>
      </c>
      <c r="H54" s="1490">
        <v>3</v>
      </c>
      <c r="I54" s="1490">
        <v>0.46</v>
      </c>
      <c r="J54" s="1490">
        <v>0.32</v>
      </c>
      <c r="K54" s="1490">
        <v>0.42</v>
      </c>
      <c r="L54" s="1491">
        <v>0.64</v>
      </c>
      <c r="N54" s="1527">
        <f t="shared" si="62"/>
        <v>1.3898515951301874E-2</v>
      </c>
      <c r="O54" s="1528">
        <f t="shared" si="62"/>
        <v>1.0585900169080346E-2</v>
      </c>
      <c r="P54" s="1528">
        <f t="shared" si="63"/>
        <v>5.3299492385786795E-2</v>
      </c>
      <c r="Q54" s="1528">
        <f t="shared" si="63"/>
        <v>4.2898728359123568E-3</v>
      </c>
      <c r="R54" s="1477"/>
      <c r="S54" s="1475"/>
      <c r="T54" s="1476"/>
      <c r="U54" s="1476"/>
      <c r="V54" s="1476"/>
      <c r="X54" s="1529"/>
      <c r="Y54" s="1529"/>
      <c r="Z54" s="1529"/>
    </row>
    <row r="55" spans="1:26">
      <c r="A55" s="1463" t="s">
        <v>1198</v>
      </c>
      <c r="B55" s="1480">
        <f t="shared" si="64"/>
        <v>124.29032258064517</v>
      </c>
      <c r="C55" s="1480">
        <f t="shared" si="64"/>
        <v>123.8968609865471</v>
      </c>
      <c r="D55" s="1480">
        <f t="shared" si="34"/>
        <v>123.8968609865471</v>
      </c>
      <c r="E55" s="1480">
        <f t="shared" si="65"/>
        <v>138.00507614213197</v>
      </c>
      <c r="F55" s="1480">
        <f t="shared" si="65"/>
        <v>107.96106557377048</v>
      </c>
      <c r="G55" s="3392">
        <v>2005</v>
      </c>
      <c r="H55" s="1467">
        <v>2</v>
      </c>
      <c r="I55" s="1467">
        <v>0.47</v>
      </c>
      <c r="J55" s="1467">
        <v>0.1</v>
      </c>
      <c r="K55" s="1467">
        <v>0.52</v>
      </c>
      <c r="L55" s="1482">
        <v>0.79</v>
      </c>
      <c r="N55" s="1527">
        <f t="shared" si="62"/>
        <v>1.420065760241713E-2</v>
      </c>
      <c r="O55" s="1528">
        <f t="shared" si="62"/>
        <v>3.3080938028376083E-3</v>
      </c>
      <c r="P55" s="1528">
        <f t="shared" si="63"/>
        <v>6.598984771573603E-2</v>
      </c>
      <c r="Q55" s="1528">
        <f t="shared" si="63"/>
        <v>5.2953117818293153E-3</v>
      </c>
      <c r="R55" s="1477"/>
      <c r="S55" s="1475"/>
      <c r="T55" s="1476"/>
      <c r="U55" s="1476"/>
      <c r="V55" s="1476"/>
      <c r="X55" s="1529"/>
      <c r="Y55" s="1529"/>
      <c r="Z55" s="1529"/>
    </row>
    <row r="56" spans="1:26">
      <c r="A56" s="1463" t="s">
        <v>1199</v>
      </c>
      <c r="B56" s="1480">
        <f t="shared" si="64"/>
        <v>122.57204301075269</v>
      </c>
      <c r="C56" s="1480">
        <f t="shared" si="64"/>
        <v>123.4932735426009</v>
      </c>
      <c r="D56" s="1480">
        <f t="shared" si="34"/>
        <v>123.4932735426009</v>
      </c>
      <c r="E56" s="1480">
        <f t="shared" si="65"/>
        <v>129.82233502538071</v>
      </c>
      <c r="F56" s="1480">
        <f t="shared" si="65"/>
        <v>107.39446721311475</v>
      </c>
      <c r="G56" s="3393">
        <v>2005</v>
      </c>
      <c r="H56" s="1466">
        <v>1</v>
      </c>
      <c r="I56" s="1466">
        <v>0.43</v>
      </c>
      <c r="J56" s="1466">
        <v>0.37</v>
      </c>
      <c r="K56" s="1466">
        <v>0.37</v>
      </c>
      <c r="L56" s="1481">
        <v>0.55000000000000004</v>
      </c>
      <c r="N56" s="1530">
        <f t="shared" si="62"/>
        <v>1.2992090997956099E-2</v>
      </c>
      <c r="O56" s="1531">
        <f t="shared" si="62"/>
        <v>1.2239947070499151E-2</v>
      </c>
      <c r="P56" s="1531">
        <f t="shared" si="63"/>
        <v>4.6954314720812178E-2</v>
      </c>
      <c r="Q56" s="1531">
        <f t="shared" si="63"/>
        <v>3.6866094683621815E-3</v>
      </c>
      <c r="R56" s="1477"/>
      <c r="S56" s="1483">
        <f>B56/B57-1</f>
        <v>1.2992090997956174E-2</v>
      </c>
      <c r="T56" s="1484">
        <f>C56/C57-1</f>
        <v>1.2239947070499246E-2</v>
      </c>
      <c r="U56" s="1484">
        <f>E56/E57-1</f>
        <v>4.695431472081224E-2</v>
      </c>
      <c r="V56" s="1484">
        <f>F56/F57-1</f>
        <v>3.6866094683620787E-3</v>
      </c>
      <c r="X56" s="1529"/>
      <c r="Y56" s="1529"/>
      <c r="Z56" s="1529"/>
    </row>
    <row r="57" spans="1:26" ht="13.5" thickBot="1">
      <c r="A57" s="1463" t="s">
        <v>1200</v>
      </c>
      <c r="B57" s="1514">
        <v>121</v>
      </c>
      <c r="C57" s="1514">
        <v>122</v>
      </c>
      <c r="D57" s="1514">
        <f t="shared" si="34"/>
        <v>122</v>
      </c>
      <c r="E57" s="1514">
        <v>124</v>
      </c>
      <c r="F57" s="1515">
        <v>107</v>
      </c>
      <c r="G57" s="3391">
        <v>2004</v>
      </c>
      <c r="H57" s="1485">
        <v>4</v>
      </c>
      <c r="I57" s="1485">
        <v>0.33</v>
      </c>
      <c r="J57" s="1485">
        <v>0.5</v>
      </c>
      <c r="K57" s="1485">
        <v>0.5</v>
      </c>
      <c r="L57" s="1486">
        <v>0</v>
      </c>
      <c r="N57" s="1527">
        <f t="shared" ref="N57:O60" si="66">I57/SUM(I$57:I$60)*(B$57/B$61-1)</f>
        <v>1.3391770148526898E-2</v>
      </c>
      <c r="O57" s="1528">
        <f t="shared" si="66"/>
        <v>1.063264221158958E-2</v>
      </c>
      <c r="P57" s="1528">
        <f t="shared" ref="P57:Q60" si="67">K57/SUM(K$57:K$60)*(E$57/E$61-1)</f>
        <v>2.2244466688911134E-2</v>
      </c>
      <c r="Q57" s="1528">
        <f t="shared" si="67"/>
        <v>0</v>
      </c>
      <c r="R57" s="1477"/>
      <c r="S57" s="1478"/>
      <c r="T57" s="1479"/>
      <c r="U57" s="1479"/>
      <c r="V57" s="1479"/>
      <c r="X57" s="1529"/>
      <c r="Y57" s="1529"/>
      <c r="Z57" s="1529"/>
    </row>
    <row r="58" spans="1:26">
      <c r="A58" s="1463" t="s">
        <v>1201</v>
      </c>
      <c r="B58" s="1480">
        <f t="shared" ref="B58:C60" si="68">B59+(B$57-B$61)*I58/SUM(I$57:I$60)</f>
        <v>119.51351351351352</v>
      </c>
      <c r="C58" s="1480">
        <f t="shared" si="68"/>
        <v>120.7878787878788</v>
      </c>
      <c r="D58" s="1480">
        <f t="shared" si="34"/>
        <v>120.7878787878788</v>
      </c>
      <c r="E58" s="1480">
        <f t="shared" ref="E58:F60" si="69">E59+(E$57-E$61)*K58/SUM(K$57:K$60)</f>
        <v>121.5975975975976</v>
      </c>
      <c r="F58" s="1480">
        <f t="shared" si="69"/>
        <v>107</v>
      </c>
      <c r="G58" s="3392">
        <v>2004</v>
      </c>
      <c r="H58" s="1490">
        <v>3</v>
      </c>
      <c r="I58" s="1490">
        <v>0.56000000000000005</v>
      </c>
      <c r="J58" s="1490">
        <v>0.8</v>
      </c>
      <c r="K58" s="1490">
        <v>0.83</v>
      </c>
      <c r="L58" s="1491">
        <v>0.06</v>
      </c>
      <c r="N58" s="1527">
        <f t="shared" si="66"/>
        <v>2.2725428130833527E-2</v>
      </c>
      <c r="O58" s="1528">
        <f t="shared" si="66"/>
        <v>1.7012227538543329E-2</v>
      </c>
      <c r="P58" s="1528">
        <f t="shared" si="67"/>
        <v>3.6925814703592477E-2</v>
      </c>
      <c r="Q58" s="1528">
        <f t="shared" si="67"/>
        <v>2.8846153846153744E-2</v>
      </c>
      <c r="R58" s="1477"/>
      <c r="S58" s="1475"/>
      <c r="T58" s="1476"/>
      <c r="U58" s="1476"/>
      <c r="V58" s="1476"/>
      <c r="X58" s="1529"/>
      <c r="Y58" s="1529"/>
      <c r="Z58" s="1529"/>
    </row>
    <row r="59" spans="1:26">
      <c r="A59" s="1463" t="s">
        <v>1202</v>
      </c>
      <c r="B59" s="1480">
        <f t="shared" si="68"/>
        <v>116.99099099099099</v>
      </c>
      <c r="C59" s="1480">
        <f t="shared" si="68"/>
        <v>118.84848484848486</v>
      </c>
      <c r="D59" s="1480">
        <f t="shared" si="34"/>
        <v>118.84848484848486</v>
      </c>
      <c r="E59" s="1480">
        <f t="shared" si="69"/>
        <v>117.60960960960961</v>
      </c>
      <c r="F59" s="1480">
        <f t="shared" si="69"/>
        <v>104</v>
      </c>
      <c r="G59" s="3392">
        <v>2004</v>
      </c>
      <c r="H59" s="1467">
        <v>2</v>
      </c>
      <c r="I59" s="1467">
        <v>1</v>
      </c>
      <c r="J59" s="1467">
        <v>1.5</v>
      </c>
      <c r="K59" s="1467">
        <v>1.5</v>
      </c>
      <c r="L59" s="1482">
        <v>0</v>
      </c>
      <c r="N59" s="1527">
        <f t="shared" si="66"/>
        <v>4.0581121662202721E-2</v>
      </c>
      <c r="O59" s="1528">
        <f t="shared" si="66"/>
        <v>3.1897926634768738E-2</v>
      </c>
      <c r="P59" s="1528">
        <f t="shared" si="67"/>
        <v>6.6733400066733395E-2</v>
      </c>
      <c r="Q59" s="1528">
        <f t="shared" si="67"/>
        <v>0</v>
      </c>
      <c r="R59" s="1477"/>
      <c r="S59" s="1475"/>
      <c r="T59" s="1476"/>
      <c r="U59" s="1476"/>
      <c r="V59" s="1476"/>
      <c r="X59" s="1529"/>
      <c r="Y59" s="1529"/>
      <c r="Z59" s="1529"/>
    </row>
    <row r="60" spans="1:26" s="1520" customFormat="1" ht="13.5" thickBot="1">
      <c r="A60" s="1463" t="s">
        <v>1203</v>
      </c>
      <c r="B60" s="1517">
        <f t="shared" si="68"/>
        <v>112.48648648648648</v>
      </c>
      <c r="C60" s="1517">
        <f t="shared" si="68"/>
        <v>115.21212121212122</v>
      </c>
      <c r="D60" s="1517">
        <f t="shared" si="34"/>
        <v>115.21212121212122</v>
      </c>
      <c r="E60" s="1517">
        <f t="shared" si="69"/>
        <v>110.4024024024024</v>
      </c>
      <c r="F60" s="1517">
        <f t="shared" si="69"/>
        <v>104</v>
      </c>
      <c r="G60" s="3393">
        <v>2004</v>
      </c>
      <c r="H60" s="1518">
        <v>1</v>
      </c>
      <c r="I60" s="1518">
        <v>0.33</v>
      </c>
      <c r="J60" s="1518">
        <v>0.5</v>
      </c>
      <c r="K60" s="1518">
        <v>0.5</v>
      </c>
      <c r="L60" s="1519">
        <v>0</v>
      </c>
      <c r="N60" s="1532">
        <f t="shared" si="66"/>
        <v>1.3391770148526898E-2</v>
      </c>
      <c r="O60" s="1533">
        <f t="shared" si="66"/>
        <v>1.063264221158958E-2</v>
      </c>
      <c r="P60" s="1533">
        <f t="shared" si="67"/>
        <v>2.2244466688911134E-2</v>
      </c>
      <c r="Q60" s="1533">
        <f t="shared" si="67"/>
        <v>0</v>
      </c>
      <c r="R60" s="1523"/>
      <c r="S60" s="1521">
        <f>B60/B61-1</f>
        <v>1.3391770148526883E-2</v>
      </c>
      <c r="T60" s="1522">
        <f>C60/C61-1</f>
        <v>1.063264221158966E-2</v>
      </c>
      <c r="U60" s="1522">
        <f>E60/E61-1</f>
        <v>2.2244466688911224E-2</v>
      </c>
      <c r="V60" s="1522">
        <f>F60/F61-1</f>
        <v>0</v>
      </c>
      <c r="X60" s="1534"/>
      <c r="Y60" s="1534"/>
      <c r="Z60" s="1534"/>
    </row>
    <row r="61" spans="1:26" ht="13.5" thickBot="1">
      <c r="A61" s="1463" t="s">
        <v>1204</v>
      </c>
      <c r="B61" s="1535">
        <v>111</v>
      </c>
      <c r="C61" s="1535">
        <v>114</v>
      </c>
      <c r="D61" s="1535">
        <f t="shared" si="34"/>
        <v>114</v>
      </c>
      <c r="E61" s="1535">
        <v>108</v>
      </c>
      <c r="F61" s="1536">
        <v>104</v>
      </c>
      <c r="G61" s="3391">
        <v>2003</v>
      </c>
      <c r="H61" s="1525">
        <v>4</v>
      </c>
      <c r="I61" s="1537"/>
      <c r="J61" s="1537"/>
      <c r="K61" s="1537"/>
      <c r="L61" s="1537"/>
      <c r="N61" s="1538"/>
      <c r="O61" s="1537"/>
      <c r="P61" s="1537"/>
      <c r="Q61" s="1537"/>
      <c r="S61" s="1538"/>
      <c r="T61" s="1537"/>
      <c r="U61" s="1537"/>
      <c r="V61" s="1537"/>
      <c r="X61" s="1529"/>
      <c r="Y61" s="1529"/>
      <c r="Z61" s="1529"/>
    </row>
    <row r="62" spans="1:26">
      <c r="A62" s="1463" t="s">
        <v>1205</v>
      </c>
      <c r="B62" s="1539">
        <f t="shared" ref="B62:C64" si="70">B63+(B$61-B$65)/4</f>
        <v>109.75</v>
      </c>
      <c r="C62" s="1539">
        <f t="shared" si="70"/>
        <v>112.25</v>
      </c>
      <c r="D62" s="1539">
        <f t="shared" si="34"/>
        <v>112.25</v>
      </c>
      <c r="E62" s="1539">
        <f t="shared" ref="E62:F64" si="71">E63+(E$61-E$65)/4</f>
        <v>107.25</v>
      </c>
      <c r="F62" s="1539">
        <f t="shared" si="71"/>
        <v>103.5</v>
      </c>
      <c r="G62" s="3392">
        <v>2003</v>
      </c>
      <c r="H62" s="1490">
        <v>3</v>
      </c>
      <c r="I62" s="1537"/>
      <c r="J62" s="1537"/>
      <c r="K62" s="1537"/>
      <c r="L62" s="1537"/>
      <c r="X62" s="1529"/>
      <c r="Y62" s="1529"/>
      <c r="Z62" s="1529"/>
    </row>
    <row r="63" spans="1:26">
      <c r="A63" s="1463" t="s">
        <v>1206</v>
      </c>
      <c r="B63" s="1539">
        <f t="shared" si="70"/>
        <v>108.5</v>
      </c>
      <c r="C63" s="1539">
        <f t="shared" si="70"/>
        <v>110.5</v>
      </c>
      <c r="D63" s="1539">
        <f t="shared" si="34"/>
        <v>110.5</v>
      </c>
      <c r="E63" s="1539">
        <f t="shared" si="71"/>
        <v>106.5</v>
      </c>
      <c r="F63" s="1539">
        <f t="shared" si="71"/>
        <v>103</v>
      </c>
      <c r="G63" s="3392">
        <v>2003</v>
      </c>
      <c r="H63" s="1467">
        <v>2</v>
      </c>
      <c r="I63" s="1537"/>
      <c r="J63" s="1537"/>
      <c r="K63" s="1537"/>
      <c r="L63" s="1537"/>
      <c r="X63" s="1529"/>
      <c r="Y63" s="1529"/>
      <c r="Z63" s="1529"/>
    </row>
    <row r="64" spans="1:26" ht="13.5" thickBot="1">
      <c r="A64" s="1463" t="s">
        <v>1207</v>
      </c>
      <c r="B64" s="1539">
        <f t="shared" si="70"/>
        <v>107.25</v>
      </c>
      <c r="C64" s="1539">
        <f t="shared" si="70"/>
        <v>108.75</v>
      </c>
      <c r="D64" s="1539">
        <f t="shared" si="34"/>
        <v>108.75</v>
      </c>
      <c r="E64" s="1539">
        <f t="shared" si="71"/>
        <v>105.75</v>
      </c>
      <c r="F64" s="1539">
        <f t="shared" si="71"/>
        <v>102.5</v>
      </c>
      <c r="G64" s="3393">
        <v>2003</v>
      </c>
      <c r="H64" s="1540">
        <v>1</v>
      </c>
      <c r="I64" s="1537"/>
      <c r="J64" s="1537"/>
      <c r="K64" s="1537"/>
      <c r="L64" s="1537"/>
      <c r="S64" s="1475"/>
      <c r="T64" s="1476"/>
      <c r="U64" s="1476"/>
      <c r="X64" s="1529"/>
      <c r="Y64" s="1529"/>
      <c r="Z64" s="1529"/>
    </row>
    <row r="65" spans="1:26" ht="13.5" thickBot="1">
      <c r="A65" s="1463" t="s">
        <v>1208</v>
      </c>
      <c r="B65" s="1541">
        <v>106</v>
      </c>
      <c r="C65" s="1541">
        <v>107</v>
      </c>
      <c r="D65" s="1541">
        <f t="shared" si="34"/>
        <v>107</v>
      </c>
      <c r="E65" s="1541">
        <v>105</v>
      </c>
      <c r="F65" s="1542">
        <v>102</v>
      </c>
      <c r="G65" s="3391">
        <v>2002</v>
      </c>
      <c r="H65" s="1485">
        <v>4</v>
      </c>
      <c r="I65" s="1537"/>
      <c r="J65" s="1537"/>
      <c r="K65" s="1537"/>
      <c r="L65" s="1537"/>
      <c r="N65" s="1538"/>
      <c r="O65" s="1537"/>
      <c r="P65" s="1537"/>
      <c r="Q65" s="1537"/>
      <c r="S65" s="1538"/>
      <c r="T65" s="1537"/>
      <c r="U65" s="1537"/>
      <c r="V65" s="1537"/>
      <c r="X65" s="1529"/>
      <c r="Y65" s="1529"/>
      <c r="Z65" s="1529"/>
    </row>
    <row r="66" spans="1:26">
      <c r="A66" s="1463" t="s">
        <v>1209</v>
      </c>
      <c r="B66" s="1539">
        <f t="shared" ref="B66:C68" si="72">B67+(B$65-B$69)/4</f>
        <v>105</v>
      </c>
      <c r="C66" s="1539">
        <f t="shared" si="72"/>
        <v>106</v>
      </c>
      <c r="D66" s="1539">
        <f t="shared" si="34"/>
        <v>106</v>
      </c>
      <c r="E66" s="1539">
        <f t="shared" ref="E66:F68" si="73">E67+(E$65-E$69)/4</f>
        <v>104.5</v>
      </c>
      <c r="F66" s="1539">
        <f t="shared" si="73"/>
        <v>101.5</v>
      </c>
      <c r="G66" s="3392">
        <v>2002</v>
      </c>
      <c r="H66" s="1490">
        <v>3</v>
      </c>
      <c r="I66" s="1537"/>
      <c r="J66" s="1537"/>
      <c r="K66" s="1537"/>
      <c r="L66" s="1537"/>
      <c r="X66" s="1529"/>
      <c r="Y66" s="1529"/>
      <c r="Z66" s="1529"/>
    </row>
    <row r="67" spans="1:26">
      <c r="A67" s="1463" t="s">
        <v>1210</v>
      </c>
      <c r="B67" s="1539">
        <f t="shared" si="72"/>
        <v>104</v>
      </c>
      <c r="C67" s="1539">
        <f t="shared" si="72"/>
        <v>105</v>
      </c>
      <c r="D67" s="1539">
        <f t="shared" si="34"/>
        <v>105</v>
      </c>
      <c r="E67" s="1539">
        <f t="shared" si="73"/>
        <v>104</v>
      </c>
      <c r="F67" s="1539">
        <f t="shared" si="73"/>
        <v>101</v>
      </c>
      <c r="G67" s="3392">
        <v>2002</v>
      </c>
      <c r="H67" s="1467">
        <v>2</v>
      </c>
      <c r="I67" s="1537"/>
      <c r="J67" s="1537"/>
      <c r="K67" s="1537"/>
      <c r="L67" s="1537"/>
      <c r="X67" s="1529"/>
      <c r="Y67" s="1529"/>
      <c r="Z67" s="1529"/>
    </row>
    <row r="68" spans="1:26" s="1501" customFormat="1" ht="13.5" thickBot="1">
      <c r="A68" s="1497" t="s">
        <v>1211</v>
      </c>
      <c r="B68" s="1543">
        <f t="shared" si="72"/>
        <v>103</v>
      </c>
      <c r="C68" s="1543">
        <f t="shared" si="72"/>
        <v>104</v>
      </c>
      <c r="D68" s="1543">
        <f t="shared" si="34"/>
        <v>104</v>
      </c>
      <c r="E68" s="1543">
        <f t="shared" si="73"/>
        <v>103.5</v>
      </c>
      <c r="F68" s="1543">
        <f t="shared" si="73"/>
        <v>100.5</v>
      </c>
      <c r="G68" s="3393">
        <v>2002</v>
      </c>
      <c r="H68" s="1544">
        <v>1</v>
      </c>
      <c r="I68" s="1545"/>
      <c r="J68" s="1545"/>
      <c r="K68" s="1545"/>
      <c r="L68" s="1545"/>
      <c r="N68" s="1546"/>
      <c r="S68" s="1546"/>
      <c r="X68" s="1547"/>
      <c r="Y68" s="1547"/>
      <c r="Z68" s="1547"/>
    </row>
    <row r="69" spans="1:26" ht="13.5" thickBot="1">
      <c r="B69" s="1548">
        <v>102</v>
      </c>
      <c r="C69" s="1549">
        <v>103</v>
      </c>
      <c r="D69" s="1549">
        <f t="shared" si="34"/>
        <v>103</v>
      </c>
      <c r="E69" s="1549">
        <v>103</v>
      </c>
      <c r="F69" s="1550">
        <v>100</v>
      </c>
      <c r="I69" s="1537"/>
      <c r="J69" s="1537"/>
      <c r="K69" s="1537"/>
      <c r="L69" s="1537"/>
      <c r="N69" s="1538"/>
      <c r="O69" s="1537"/>
      <c r="P69" s="1537"/>
      <c r="Q69" s="1537"/>
      <c r="S69" s="1538"/>
      <c r="T69" s="1537"/>
      <c r="U69" s="1537"/>
      <c r="V69" s="1537"/>
      <c r="X69" s="1479"/>
      <c r="Y69" s="1479"/>
      <c r="Z69" s="1479"/>
    </row>
    <row r="71" spans="1:26" s="1552" customFormat="1">
      <c r="A71" s="1551" t="s">
        <v>1212</v>
      </c>
      <c r="G71" s="1553"/>
      <c r="N71" s="1553"/>
      <c r="S71" s="1553"/>
    </row>
    <row r="72" spans="1:26" s="1552" customFormat="1">
      <c r="A72" s="1552" t="s">
        <v>1213</v>
      </c>
      <c r="G72" s="1553"/>
      <c r="N72" s="1553"/>
      <c r="S72" s="1553"/>
    </row>
    <row r="73" spans="1:26" s="1552" customFormat="1">
      <c r="A73" s="1552" t="s">
        <v>1214</v>
      </c>
      <c r="G73" s="1553"/>
      <c r="I73" s="1554"/>
      <c r="J73" s="1554"/>
      <c r="K73" s="1554"/>
      <c r="L73" s="1554"/>
      <c r="N73" s="1555"/>
      <c r="O73" s="1554"/>
      <c r="P73" s="1554"/>
      <c r="Q73" s="1554"/>
      <c r="S73" s="1555"/>
      <c r="T73" s="1554"/>
      <c r="U73" s="1554"/>
      <c r="V73" s="1554"/>
    </row>
    <row r="74" spans="1:26" s="1552" customFormat="1">
      <c r="A74" s="1552" t="s">
        <v>1215</v>
      </c>
      <c r="G74" s="1553"/>
      <c r="N74" s="1553"/>
      <c r="S74" s="1553"/>
    </row>
    <row r="81" spans="7:22" ht="13.5" thickBot="1"/>
    <row r="82" spans="7:22">
      <c r="G82" s="1474"/>
      <c r="S82" s="1556" t="s">
        <v>1216</v>
      </c>
      <c r="T82" s="1557" t="s">
        <v>1217</v>
      </c>
      <c r="U82" s="1557" t="s">
        <v>1218</v>
      </c>
      <c r="V82" s="1557" t="s">
        <v>1219</v>
      </c>
    </row>
    <row r="83" spans="7:22">
      <c r="G83" s="1474"/>
      <c r="N83" s="1478"/>
      <c r="O83" s="1479"/>
      <c r="P83" s="1479"/>
      <c r="Q83" s="1479"/>
      <c r="S83" s="1558">
        <v>2006</v>
      </c>
      <c r="T83" s="1559">
        <v>15.1</v>
      </c>
      <c r="U83" s="1559">
        <v>7.43</v>
      </c>
      <c r="V83" s="1559">
        <v>26.26</v>
      </c>
    </row>
    <row r="84" spans="7:22">
      <c r="G84" s="1474"/>
      <c r="N84" s="1478"/>
      <c r="O84" s="1479"/>
      <c r="P84" s="1479"/>
      <c r="Q84" s="1479"/>
      <c r="S84" s="1560">
        <v>2005</v>
      </c>
      <c r="T84" s="1561">
        <v>13.9</v>
      </c>
      <c r="U84" s="1561">
        <v>7.49</v>
      </c>
      <c r="V84" s="1561">
        <v>24.92</v>
      </c>
    </row>
    <row r="85" spans="7:22">
      <c r="G85" s="1474"/>
      <c r="N85" s="1478"/>
      <c r="O85" s="1479"/>
      <c r="P85" s="1479"/>
      <c r="Q85" s="1479"/>
      <c r="S85" s="1558">
        <v>2004</v>
      </c>
      <c r="T85" s="1559">
        <v>9.48</v>
      </c>
      <c r="U85" s="1559">
        <v>7.2</v>
      </c>
      <c r="V85" s="1559">
        <v>14.68</v>
      </c>
    </row>
    <row r="86" spans="7:22">
      <c r="G86" s="1474"/>
      <c r="N86" s="1478"/>
      <c r="O86" s="1479"/>
      <c r="P86" s="1479"/>
      <c r="Q86" s="1479"/>
      <c r="S86" s="1560">
        <v>2003</v>
      </c>
      <c r="T86" s="1561">
        <v>4.5</v>
      </c>
      <c r="U86" s="1561">
        <v>6.12</v>
      </c>
      <c r="V86" s="1561">
        <v>2.34</v>
      </c>
    </row>
    <row r="87" spans="7:22" ht="13.5" thickBot="1">
      <c r="G87" s="1474"/>
      <c r="N87" s="1478"/>
      <c r="O87" s="1479"/>
      <c r="P87" s="1479"/>
      <c r="Q87" s="1479"/>
      <c r="S87" s="1562">
        <v>2002</v>
      </c>
      <c r="T87" s="1563">
        <v>3.59</v>
      </c>
      <c r="U87" s="1563">
        <v>4.54</v>
      </c>
      <c r="V87" s="1563">
        <v>2.5499999999999998</v>
      </c>
    </row>
    <row r="88" spans="7:22">
      <c r="G88" s="1474"/>
      <c r="N88" s="1478"/>
      <c r="O88" s="1479"/>
      <c r="P88" s="1479"/>
      <c r="Q88" s="1479"/>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c r="S98" s="1474"/>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D18" sqref="D18:G18"/>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6"/>
      <c r="B1" s="1206" t="s">
        <v>3002</v>
      </c>
      <c r="C1" s="3402" t="s">
        <v>3003</v>
      </c>
      <c r="D1" s="3403"/>
      <c r="E1" s="3403"/>
      <c r="F1" s="3403"/>
      <c r="G1" s="3403"/>
      <c r="H1" s="3403"/>
      <c r="I1" s="3403"/>
      <c r="J1" s="3403"/>
      <c r="K1" s="3403"/>
      <c r="L1" s="3403"/>
      <c r="M1" s="3403"/>
      <c r="N1" s="3403"/>
      <c r="O1" s="3403"/>
      <c r="P1" s="3403"/>
      <c r="Q1" s="3403"/>
      <c r="R1" s="3403"/>
      <c r="S1" s="3404"/>
      <c r="T1" s="1206" t="s">
        <v>3004</v>
      </c>
    </row>
    <row r="2" spans="1:45" s="707" customFormat="1" ht="38.25">
      <c r="A2" s="1207"/>
      <c r="B2" s="703" t="s">
        <v>3005</v>
      </c>
      <c r="C2" s="704" t="str">
        <f t="shared" ref="C2:L2" si="0">C3&amp;"(含)"&amp;"-"&amp;D3</f>
        <v>0(含)-300</v>
      </c>
      <c r="D2" s="705" t="str">
        <f t="shared" si="0"/>
        <v>300(含)-500</v>
      </c>
      <c r="E2" s="705" t="str">
        <f t="shared" si="0"/>
        <v>500(含)-1000</v>
      </c>
      <c r="F2" s="705" t="str">
        <f t="shared" si="0"/>
        <v>1000(含)-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2" customFormat="1">
      <c r="A3" s="1209"/>
      <c r="B3" s="708"/>
      <c r="C3" s="709">
        <v>0</v>
      </c>
      <c r="D3" s="710">
        <v>300</v>
      </c>
      <c r="E3" s="710">
        <v>500</v>
      </c>
      <c r="F3" s="1707">
        <v>1000</v>
      </c>
      <c r="G3" s="1707"/>
      <c r="H3" s="1707"/>
      <c r="I3" s="1707"/>
      <c r="J3" s="1707"/>
      <c r="K3" s="1707"/>
      <c r="L3" s="1708"/>
      <c r="M3" s="1709"/>
      <c r="N3" s="1709"/>
      <c r="O3" s="1707"/>
      <c r="P3" s="1707"/>
      <c r="Q3" s="1707"/>
      <c r="R3" s="1707"/>
      <c r="S3" s="1710"/>
      <c r="T3" s="711"/>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2" customFormat="1" ht="13.5" thickBot="1">
      <c r="A4" s="1210"/>
      <c r="B4" s="1211"/>
      <c r="C4" s="1212">
        <v>100</v>
      </c>
      <c r="D4" s="1213">
        <v>98</v>
      </c>
      <c r="E4" s="1213">
        <v>96</v>
      </c>
      <c r="F4" s="1711">
        <v>94</v>
      </c>
      <c r="G4" s="1711"/>
      <c r="H4" s="1711"/>
      <c r="I4" s="1711"/>
      <c r="J4" s="1711"/>
      <c r="K4" s="1711"/>
      <c r="L4" s="1711"/>
      <c r="M4" s="1712"/>
      <c r="N4" s="1712"/>
      <c r="O4" s="1711"/>
      <c r="P4" s="1711"/>
      <c r="Q4" s="1711"/>
      <c r="R4" s="1711"/>
      <c r="S4" s="1713"/>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12.75" hidden="1" customHeight="1">
      <c r="A5" s="1217"/>
      <c r="B5" s="1772" t="s">
        <v>3006</v>
      </c>
      <c r="C5" s="1218"/>
      <c r="D5" s="1219"/>
      <c r="E5" s="1219"/>
      <c r="F5" s="1714"/>
      <c r="G5" s="1714"/>
      <c r="H5" s="1714"/>
      <c r="I5" s="1714"/>
      <c r="J5" s="1714"/>
      <c r="K5" s="1714"/>
      <c r="L5" s="1715"/>
      <c r="M5" s="1716"/>
      <c r="N5" s="1716"/>
      <c r="O5" s="1714"/>
      <c r="P5" s="1714"/>
      <c r="Q5" s="1714"/>
      <c r="R5" s="1714"/>
      <c r="S5" s="1717"/>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hidden="1" customHeight="1" thickBot="1">
      <c r="A6" s="1217"/>
      <c r="B6" s="1118"/>
      <c r="C6" s="1124">
        <v>100</v>
      </c>
      <c r="D6" s="1121">
        <f>C6-$T5</f>
        <v>100</v>
      </c>
      <c r="E6" s="1121">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ht="12.75" hidden="1" customHeight="1">
      <c r="A7" s="1217"/>
      <c r="B7" s="1773" t="s">
        <v>3007</v>
      </c>
      <c r="C7" s="1123"/>
      <c r="D7" s="1117"/>
      <c r="E7" s="1117"/>
      <c r="F7" s="1719"/>
      <c r="G7" s="1719"/>
      <c r="H7" s="1719"/>
      <c r="I7" s="1719"/>
      <c r="J7" s="1719"/>
      <c r="K7" s="1719"/>
      <c r="L7" s="1719"/>
      <c r="M7" s="1720"/>
      <c r="N7" s="1721"/>
      <c r="O7" s="1722"/>
      <c r="P7" s="1723"/>
      <c r="Q7" s="1724"/>
      <c r="R7" s="1725"/>
      <c r="S7" s="1726"/>
      <c r="T7" s="713"/>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hidden="1" customHeight="1" thickBot="1">
      <c r="A8" s="1217"/>
      <c r="B8" s="1118"/>
      <c r="C8" s="1124">
        <v>100</v>
      </c>
      <c r="D8" s="1121">
        <f>C8-$T7</f>
        <v>100</v>
      </c>
      <c r="E8" s="1121">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ht="12.75" hidden="1" customHeight="1">
      <c r="A9" s="1217"/>
      <c r="B9" s="1773" t="s">
        <v>3008</v>
      </c>
      <c r="C9" s="1123"/>
      <c r="D9" s="1117"/>
      <c r="E9" s="1117"/>
      <c r="F9" s="1719"/>
      <c r="G9" s="1719"/>
      <c r="H9" s="1719"/>
      <c r="I9" s="1719"/>
      <c r="J9" s="1719"/>
      <c r="K9" s="1719"/>
      <c r="L9" s="1727"/>
      <c r="M9" s="1720"/>
      <c r="N9" s="1721"/>
      <c r="O9" s="1722"/>
      <c r="P9" s="1723"/>
      <c r="Q9" s="1724"/>
      <c r="R9" s="1725"/>
      <c r="S9" s="1726"/>
      <c r="T9" s="713"/>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hidden="1" customHeight="1" thickBot="1">
      <c r="A10" s="1217"/>
      <c r="B10" s="1211"/>
      <c r="C10" s="1222">
        <v>100</v>
      </c>
      <c r="D10" s="1223">
        <f>C10-$T9</f>
        <v>100</v>
      </c>
      <c r="E10" s="1223">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ht="12.75" hidden="1" customHeight="1">
      <c r="A11" s="1217"/>
      <c r="B11" s="1772" t="s">
        <v>3009</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hidden="1" customHeight="1"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ht="12.75" hidden="1" customHeight="1">
      <c r="A13" s="1217"/>
      <c r="B13" s="1772" t="s">
        <v>3010</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hidden="1" customHeight="1"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ht="12.75" hidden="1" customHeight="1">
      <c r="A15" s="1217"/>
      <c r="B15" s="1772" t="s">
        <v>3011</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hidden="1" customHeight="1"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3" t="s">
        <v>3012</v>
      </c>
      <c r="B17" s="2914" t="s">
        <v>3013</v>
      </c>
      <c r="C17" s="1233">
        <v>1</v>
      </c>
      <c r="D17" s="1234">
        <v>2</v>
      </c>
      <c r="E17" s="1234">
        <v>3</v>
      </c>
      <c r="F17" s="1234">
        <v>4</v>
      </c>
      <c r="G17" s="1234">
        <v>5</v>
      </c>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7" customFormat="1" ht="13.5" thickBot="1">
      <c r="A18" s="1243"/>
      <c r="B18" s="1244"/>
      <c r="C18" s="1245">
        <v>100</v>
      </c>
      <c r="D18" s="3073">
        <v>70</v>
      </c>
      <c r="E18" s="3073">
        <v>60</v>
      </c>
      <c r="F18" s="3073">
        <v>50</v>
      </c>
      <c r="G18" s="3073">
        <v>50</v>
      </c>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9"/>
      <c r="C19" s="169"/>
      <c r="D19" s="2915" t="s">
        <v>3014</v>
      </c>
      <c r="E19" s="1795"/>
      <c r="F19" s="1795"/>
      <c r="G19" s="1795"/>
      <c r="H19" s="1282"/>
      <c r="I19" s="169"/>
      <c r="J19" s="169"/>
      <c r="K19" s="169"/>
      <c r="L19" s="169"/>
      <c r="M19" s="169"/>
      <c r="N19" s="169"/>
      <c r="O19" s="169"/>
      <c r="P19" s="169"/>
      <c r="Q19" s="169"/>
      <c r="R19" s="787"/>
      <c r="S19" s="138"/>
    </row>
    <row r="20" spans="1:45" ht="16.5" thickBot="1">
      <c r="A20" s="715" t="s">
        <v>3015</v>
      </c>
      <c r="B20" s="339">
        <f ca="1">IF(D20="——",S22,S22-F20)</f>
        <v>7129</v>
      </c>
      <c r="C20" s="169"/>
      <c r="D20" s="2916" t="s">
        <v>70</v>
      </c>
      <c r="E20" s="1796"/>
      <c r="F20" s="1206" t="e">
        <f ca="1">SUMIF(INDIRECT("'"&amp;H20&amp;"'"&amp;"!A:A"),"承租人权益价值",INDIRECT("'"&amp;H20&amp;"'"&amp;"!c:c"))</f>
        <v>#N/A</v>
      </c>
      <c r="G20" s="1206" t="s">
        <v>3016</v>
      </c>
      <c r="H20" s="2917" t="s">
        <v>3192</v>
      </c>
      <c r="I20" s="169"/>
      <c r="J20" s="169"/>
      <c r="K20" s="169"/>
      <c r="L20" s="169"/>
      <c r="M20" s="169"/>
      <c r="N20" s="169"/>
      <c r="O20" s="169"/>
      <c r="P20" s="169"/>
      <c r="Q20" s="169"/>
      <c r="R20" s="787"/>
      <c r="S20" s="138"/>
    </row>
    <row r="21" spans="1:45" ht="15.75">
      <c r="A21" s="715" t="s">
        <v>3017</v>
      </c>
      <c r="B21" s="339">
        <f ca="1">R22</f>
        <v>9181</v>
      </c>
      <c r="C21" s="169"/>
      <c r="D21" s="169"/>
      <c r="E21" s="169"/>
      <c r="F21" s="169"/>
      <c r="G21" s="169"/>
      <c r="H21" s="169"/>
      <c r="I21" s="169"/>
      <c r="J21" s="169"/>
      <c r="K21" s="169"/>
      <c r="L21" s="169"/>
      <c r="M21" s="169"/>
      <c r="N21" s="169"/>
      <c r="O21" s="169"/>
      <c r="P21" s="169"/>
      <c r="Q21" s="169"/>
      <c r="R21" s="787"/>
      <c r="S21" s="138"/>
    </row>
    <row r="22" spans="1:45">
      <c r="A22" s="362" t="s">
        <v>3018</v>
      </c>
      <c r="B22" s="24">
        <f>SUM(B24:B10000)</f>
        <v>7765.3499999999995</v>
      </c>
      <c r="C22" s="3258" t="s">
        <v>33</v>
      </c>
      <c r="D22" s="3259"/>
      <c r="E22" s="3259"/>
      <c r="F22" s="3259"/>
      <c r="G22" s="3259"/>
      <c r="H22" s="3259"/>
      <c r="I22" s="3259"/>
      <c r="J22" s="3259"/>
      <c r="K22" s="3259"/>
      <c r="L22" s="3259"/>
      <c r="M22" s="3259"/>
      <c r="N22" s="3259"/>
      <c r="O22" s="3259"/>
      <c r="P22" s="3259"/>
      <c r="Q22" s="3401"/>
      <c r="R22" s="716">
        <f ca="1">ROUND(S22*10000/B22,0)</f>
        <v>9181</v>
      </c>
      <c r="S22" s="24">
        <f ca="1">SUM(S24:S10000)</f>
        <v>7129</v>
      </c>
      <c r="U22" s="3069">
        <f ca="1">ROUND(S22*10000/U23,0)</f>
        <v>9181</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2950" t="s">
        <v>3189</v>
      </c>
      <c r="U23" s="3070">
        <f>'数据-汇总表'!E3</f>
        <v>7765.3499999999995</v>
      </c>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49" t="str">
        <f>Sheet1!A20</f>
        <v>一层</v>
      </c>
      <c r="B24" s="3053">
        <f>Sheet1!E20</f>
        <v>1553.07</v>
      </c>
      <c r="C24" s="718">
        <v>1</v>
      </c>
      <c r="D24" s="719"/>
      <c r="E24" s="718">
        <v>1</v>
      </c>
      <c r="F24" s="719"/>
      <c r="G24" s="718">
        <v>1</v>
      </c>
      <c r="H24" s="719"/>
      <c r="I24" s="718">
        <v>1</v>
      </c>
      <c r="J24" s="719"/>
      <c r="K24" s="718">
        <v>1</v>
      </c>
      <c r="L24" s="719"/>
      <c r="M24" s="718">
        <v>1</v>
      </c>
      <c r="N24" s="719"/>
      <c r="O24" s="718">
        <v>1</v>
      </c>
      <c r="P24" s="3053">
        <v>1</v>
      </c>
      <c r="Q24" s="718">
        <v>1</v>
      </c>
      <c r="R24" s="720">
        <f ca="1">结果表!G20</f>
        <v>13912</v>
      </c>
      <c r="S24" s="718">
        <f t="shared" ref="S24:S54" ca="1" si="11">ROUND(R24*B24/10000,0)</f>
        <v>2161</v>
      </c>
      <c r="T24" s="2951" t="s">
        <v>3190</v>
      </c>
      <c r="U24" s="3071">
        <f>U23/5</f>
        <v>1553.07</v>
      </c>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2949" t="str">
        <f>Sheet1!A21</f>
        <v>二层</v>
      </c>
      <c r="B25" s="3053">
        <f>Sheet1!E21</f>
        <v>1553.07</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3053">
        <v>2</v>
      </c>
      <c r="Q25" s="24">
        <f>(SUMIF($17:$17,P25,$18:$18)-SUMIF($17:$17,$P$24,$18:$18)+100)/100</f>
        <v>0.7</v>
      </c>
      <c r="R25" s="716">
        <f ca="1">IF(B25="",0,ROUND($R$24*C25*E25*G25*I25*K25*M25*O25*Q25,0))</f>
        <v>9738</v>
      </c>
      <c r="S25" s="362">
        <f t="shared" ca="1" si="11"/>
        <v>1512</v>
      </c>
    </row>
    <row r="26" spans="1:45">
      <c r="A26" s="2949" t="str">
        <f>Sheet1!A22</f>
        <v>三层</v>
      </c>
      <c r="B26" s="3053">
        <f>Sheet1!E22</f>
        <v>1553.07</v>
      </c>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3053">
        <v>3</v>
      </c>
      <c r="Q26" s="24">
        <f t="shared" ref="Q26:Q89" si="19">(SUMIF($17:$17,P26,$18:$18)-SUMIF($17:$17,$P$24,$18:$18)+100)/100</f>
        <v>0.6</v>
      </c>
      <c r="R26" s="716">
        <f t="shared" ref="R26:R89" ca="1" si="20">IF(B26="",0,ROUND($R$24*C26*E26*G26*I26*K26*M26*O26*Q26,0))</f>
        <v>8347</v>
      </c>
      <c r="S26" s="362">
        <f t="shared" ca="1" si="11"/>
        <v>1296</v>
      </c>
    </row>
    <row r="27" spans="1:45">
      <c r="A27" s="2949" t="str">
        <f>Sheet1!A23</f>
        <v>四层</v>
      </c>
      <c r="B27" s="3053">
        <f>Sheet1!E23</f>
        <v>1553.07</v>
      </c>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3053">
        <v>4</v>
      </c>
      <c r="Q27" s="24">
        <f t="shared" si="19"/>
        <v>0.5</v>
      </c>
      <c r="R27" s="716">
        <f t="shared" ca="1" si="20"/>
        <v>6956</v>
      </c>
      <c r="S27" s="362">
        <f t="shared" ca="1" si="11"/>
        <v>1080</v>
      </c>
    </row>
    <row r="28" spans="1:45">
      <c r="A28" s="2949" t="str">
        <f>Sheet1!A24</f>
        <v>五层</v>
      </c>
      <c r="B28" s="3053">
        <f>Sheet1!E24</f>
        <v>1553.07</v>
      </c>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3053">
        <v>5</v>
      </c>
      <c r="Q28" s="24">
        <f t="shared" si="19"/>
        <v>0.5</v>
      </c>
      <c r="R28" s="716">
        <f t="shared" ca="1" si="20"/>
        <v>6956</v>
      </c>
      <c r="S28" s="362">
        <f t="shared" ca="1" si="11"/>
        <v>1080</v>
      </c>
    </row>
    <row r="29" spans="1:45">
      <c r="A29" s="160"/>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0</v>
      </c>
      <c r="R29" s="716">
        <f t="shared" si="20"/>
        <v>0</v>
      </c>
      <c r="S29" s="362">
        <f t="shared" si="11"/>
        <v>0</v>
      </c>
    </row>
    <row r="30" spans="1:45">
      <c r="A30" s="160"/>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v>
      </c>
      <c r="R30" s="716">
        <f t="shared" si="20"/>
        <v>0</v>
      </c>
      <c r="S30" s="362">
        <f t="shared" si="11"/>
        <v>0</v>
      </c>
    </row>
    <row r="31" spans="1:45">
      <c r="A31" s="160"/>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v>
      </c>
      <c r="R31" s="716">
        <f t="shared" si="20"/>
        <v>0</v>
      </c>
      <c r="S31" s="362">
        <f t="shared" si="11"/>
        <v>0</v>
      </c>
    </row>
    <row r="32" spans="1:45">
      <c r="A32" s="160"/>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v>
      </c>
      <c r="R32" s="716">
        <f t="shared" si="20"/>
        <v>0</v>
      </c>
      <c r="S32" s="362">
        <f t="shared" si="11"/>
        <v>0</v>
      </c>
    </row>
    <row r="33" spans="1:19">
      <c r="A33" s="160"/>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v>
      </c>
      <c r="R33" s="716">
        <f t="shared" si="20"/>
        <v>0</v>
      </c>
      <c r="S33" s="362">
        <f t="shared" si="11"/>
        <v>0</v>
      </c>
    </row>
    <row r="34" spans="1:19">
      <c r="A34" s="160"/>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v>
      </c>
      <c r="R34" s="716">
        <f t="shared" si="20"/>
        <v>0</v>
      </c>
      <c r="S34" s="362">
        <f t="shared" si="11"/>
        <v>0</v>
      </c>
    </row>
    <row r="35" spans="1:19">
      <c r="A35" s="160"/>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v>
      </c>
      <c r="R35" s="716">
        <f t="shared" si="20"/>
        <v>0</v>
      </c>
      <c r="S35" s="362">
        <f t="shared" si="11"/>
        <v>0</v>
      </c>
    </row>
    <row r="36" spans="1:19">
      <c r="A36" s="294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v>
      </c>
      <c r="R36" s="716">
        <f t="shared" si="20"/>
        <v>0</v>
      </c>
      <c r="S36" s="362">
        <f t="shared" si="11"/>
        <v>0</v>
      </c>
    </row>
    <row r="37" spans="1:19">
      <c r="A37" s="294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6">
        <f t="shared" si="20"/>
        <v>0</v>
      </c>
      <c r="S37" s="362">
        <f t="shared" si="11"/>
        <v>0</v>
      </c>
    </row>
    <row r="38" spans="1:19">
      <c r="A38" s="294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6">
        <f t="shared" si="20"/>
        <v>0</v>
      </c>
      <c r="S38" s="362">
        <f t="shared" si="11"/>
        <v>0</v>
      </c>
    </row>
    <row r="39" spans="1:19">
      <c r="A39" s="294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6">
        <f t="shared" si="20"/>
        <v>0</v>
      </c>
      <c r="S39" s="362">
        <f t="shared" si="11"/>
        <v>0</v>
      </c>
    </row>
    <row r="40" spans="1:19">
      <c r="A40" s="160"/>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6">
        <f t="shared" si="20"/>
        <v>0</v>
      </c>
      <c r="S40" s="362">
        <f t="shared" si="11"/>
        <v>0</v>
      </c>
    </row>
    <row r="41" spans="1:19">
      <c r="A41" s="160"/>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6">
        <f t="shared" si="20"/>
        <v>0</v>
      </c>
      <c r="S41" s="362">
        <f t="shared" si="11"/>
        <v>0</v>
      </c>
    </row>
    <row r="42" spans="1:19">
      <c r="A42" s="160"/>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6">
        <f t="shared" si="20"/>
        <v>0</v>
      </c>
      <c r="S42" s="362">
        <f t="shared" si="11"/>
        <v>0</v>
      </c>
    </row>
    <row r="43" spans="1:19">
      <c r="A43" s="160"/>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6">
        <f t="shared" si="20"/>
        <v>0</v>
      </c>
      <c r="S43" s="362">
        <f t="shared" si="11"/>
        <v>0</v>
      </c>
    </row>
    <row r="44" spans="1:19">
      <c r="A44" s="160"/>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6">
        <f t="shared" si="20"/>
        <v>0</v>
      </c>
      <c r="S44" s="362">
        <f t="shared" si="11"/>
        <v>0</v>
      </c>
    </row>
    <row r="45" spans="1:19">
      <c r="A45" s="160"/>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6">
        <f t="shared" si="20"/>
        <v>0</v>
      </c>
      <c r="S45" s="362">
        <f t="shared" si="11"/>
        <v>0</v>
      </c>
    </row>
    <row r="46" spans="1:19">
      <c r="A46" s="160"/>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6">
        <f t="shared" si="20"/>
        <v>0</v>
      </c>
      <c r="S46" s="362">
        <f t="shared" si="11"/>
        <v>0</v>
      </c>
    </row>
    <row r="47" spans="1:19">
      <c r="A47" s="160"/>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6">
        <f t="shared" si="20"/>
        <v>0</v>
      </c>
      <c r="S47" s="362">
        <f t="shared" si="11"/>
        <v>0</v>
      </c>
    </row>
    <row r="48" spans="1:19">
      <c r="A48" s="160"/>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6">
        <f t="shared" si="20"/>
        <v>0</v>
      </c>
      <c r="S48" s="362">
        <f t="shared" si="11"/>
        <v>0</v>
      </c>
    </row>
    <row r="49" spans="1:19">
      <c r="A49" s="160"/>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6">
        <f t="shared" si="20"/>
        <v>0</v>
      </c>
      <c r="S49" s="362">
        <f t="shared" si="11"/>
        <v>0</v>
      </c>
    </row>
    <row r="50" spans="1:19">
      <c r="A50" s="160"/>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6">
        <f t="shared" si="20"/>
        <v>0</v>
      </c>
      <c r="S50" s="362">
        <f t="shared" si="11"/>
        <v>0</v>
      </c>
    </row>
    <row r="51" spans="1:19">
      <c r="A51" s="160"/>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6">
        <f t="shared" si="20"/>
        <v>0</v>
      </c>
      <c r="S51" s="362">
        <f t="shared" si="11"/>
        <v>0</v>
      </c>
    </row>
    <row r="52" spans="1:19">
      <c r="A52" s="160"/>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6">
        <f t="shared" si="20"/>
        <v>0</v>
      </c>
      <c r="S52" s="362">
        <f t="shared" si="11"/>
        <v>0</v>
      </c>
    </row>
    <row r="53" spans="1:19">
      <c r="A53" s="160"/>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6">
        <f t="shared" si="20"/>
        <v>0</v>
      </c>
      <c r="S53" s="362">
        <f t="shared" si="11"/>
        <v>0</v>
      </c>
    </row>
    <row r="54" spans="1:19">
      <c r="A54" s="160"/>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6">
        <f t="shared" si="20"/>
        <v>0</v>
      </c>
      <c r="S54" s="362">
        <f t="shared" si="11"/>
        <v>0</v>
      </c>
    </row>
    <row r="55" spans="1:19">
      <c r="A55" s="160"/>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6">
        <f t="shared" si="20"/>
        <v>0</v>
      </c>
      <c r="S55" s="362">
        <f t="shared" ref="S55:S77" si="21">ROUND(R55*B55/10000,0)</f>
        <v>0</v>
      </c>
    </row>
    <row r="56" spans="1:19">
      <c r="A56" s="160"/>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6">
        <f t="shared" si="20"/>
        <v>0</v>
      </c>
      <c r="S56" s="362">
        <f t="shared" si="21"/>
        <v>0</v>
      </c>
    </row>
    <row r="57" spans="1:19">
      <c r="A57" s="160"/>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6">
        <f t="shared" si="20"/>
        <v>0</v>
      </c>
      <c r="S57" s="362">
        <f t="shared" si="21"/>
        <v>0</v>
      </c>
    </row>
    <row r="58" spans="1:19">
      <c r="A58" s="160"/>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6">
        <f t="shared" si="20"/>
        <v>0</v>
      </c>
      <c r="S58" s="362">
        <f t="shared" si="21"/>
        <v>0</v>
      </c>
    </row>
    <row r="59" spans="1:19">
      <c r="A59" s="160"/>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6">
        <f t="shared" si="20"/>
        <v>0</v>
      </c>
      <c r="S59" s="362">
        <f t="shared" si="21"/>
        <v>0</v>
      </c>
    </row>
    <row r="60" spans="1:19">
      <c r="A60" s="160"/>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6">
        <f t="shared" si="20"/>
        <v>0</v>
      </c>
      <c r="S60" s="362">
        <f t="shared" si="21"/>
        <v>0</v>
      </c>
    </row>
    <row r="61" spans="1:19">
      <c r="A61" s="160"/>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6">
        <f t="shared" si="20"/>
        <v>0</v>
      </c>
      <c r="S61" s="362">
        <f t="shared" si="21"/>
        <v>0</v>
      </c>
    </row>
    <row r="62" spans="1:19">
      <c r="A62" s="160"/>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6">
        <f t="shared" si="20"/>
        <v>0</v>
      </c>
      <c r="S62" s="362">
        <f t="shared" si="21"/>
        <v>0</v>
      </c>
    </row>
    <row r="63" spans="1:19">
      <c r="A63" s="160"/>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6">
        <f t="shared" si="20"/>
        <v>0</v>
      </c>
      <c r="S63" s="362">
        <f t="shared" si="21"/>
        <v>0</v>
      </c>
    </row>
    <row r="64" spans="1:19">
      <c r="A64" s="160"/>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6">
        <f t="shared" si="20"/>
        <v>0</v>
      </c>
      <c r="S64" s="362">
        <f t="shared" si="21"/>
        <v>0</v>
      </c>
    </row>
    <row r="65" spans="1:19">
      <c r="A65" s="160"/>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6">
        <f t="shared" si="20"/>
        <v>0</v>
      </c>
      <c r="S65" s="362">
        <f t="shared" si="21"/>
        <v>0</v>
      </c>
    </row>
    <row r="66" spans="1:19">
      <c r="A66" s="160"/>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6">
        <f t="shared" si="20"/>
        <v>0</v>
      </c>
      <c r="S66" s="362">
        <f t="shared" si="21"/>
        <v>0</v>
      </c>
    </row>
    <row r="67" spans="1:19">
      <c r="A67" s="160"/>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6">
        <f t="shared" si="20"/>
        <v>0</v>
      </c>
      <c r="S67" s="362">
        <f t="shared" si="21"/>
        <v>0</v>
      </c>
    </row>
    <row r="68" spans="1:19">
      <c r="A68" s="160"/>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6">
        <f t="shared" si="20"/>
        <v>0</v>
      </c>
      <c r="S68" s="362">
        <f t="shared" si="21"/>
        <v>0</v>
      </c>
    </row>
    <row r="69" spans="1:19">
      <c r="A69" s="160"/>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6">
        <f t="shared" si="20"/>
        <v>0</v>
      </c>
      <c r="S69" s="362">
        <f t="shared" si="21"/>
        <v>0</v>
      </c>
    </row>
    <row r="70" spans="1:19">
      <c r="A70" s="160"/>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6">
        <f t="shared" si="20"/>
        <v>0</v>
      </c>
      <c r="S70" s="362">
        <f t="shared" si="21"/>
        <v>0</v>
      </c>
    </row>
    <row r="71" spans="1:19">
      <c r="A71" s="160"/>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6">
        <f t="shared" si="20"/>
        <v>0</v>
      </c>
      <c r="S71" s="362">
        <f t="shared" si="21"/>
        <v>0</v>
      </c>
    </row>
    <row r="72" spans="1:19">
      <c r="A72" s="160"/>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6">
        <f t="shared" si="20"/>
        <v>0</v>
      </c>
      <c r="S72" s="362">
        <f t="shared" si="21"/>
        <v>0</v>
      </c>
    </row>
    <row r="73" spans="1:19">
      <c r="A73" s="160"/>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6">
        <f t="shared" si="20"/>
        <v>0</v>
      </c>
      <c r="S73" s="362">
        <f t="shared" si="21"/>
        <v>0</v>
      </c>
    </row>
    <row r="74" spans="1:19">
      <c r="A74" s="160"/>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6">
        <f t="shared" si="20"/>
        <v>0</v>
      </c>
      <c r="S74" s="362">
        <f t="shared" si="21"/>
        <v>0</v>
      </c>
    </row>
    <row r="75" spans="1:19">
      <c r="A75" s="160"/>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6">
        <f t="shared" si="20"/>
        <v>0</v>
      </c>
      <c r="S75" s="362">
        <f t="shared" si="21"/>
        <v>0</v>
      </c>
    </row>
    <row r="76" spans="1:19">
      <c r="A76" s="160"/>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6">
        <f t="shared" si="20"/>
        <v>0</v>
      </c>
      <c r="S76" s="362">
        <f t="shared" si="21"/>
        <v>0</v>
      </c>
    </row>
    <row r="77" spans="1:19">
      <c r="A77" s="160"/>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6">
        <f t="shared" si="20"/>
        <v>0</v>
      </c>
      <c r="S77" s="362">
        <f t="shared" si="21"/>
        <v>0</v>
      </c>
    </row>
    <row r="78" spans="1:19">
      <c r="A78" s="160"/>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6">
        <f t="shared" si="20"/>
        <v>0</v>
      </c>
      <c r="S78" s="362">
        <f t="shared" ref="S78:S122" si="22">ROUND(R78*B78/10000,0)</f>
        <v>0</v>
      </c>
    </row>
    <row r="79" spans="1:19">
      <c r="A79" s="160"/>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6">
        <f t="shared" si="20"/>
        <v>0</v>
      </c>
      <c r="S79" s="362">
        <f t="shared" si="22"/>
        <v>0</v>
      </c>
    </row>
    <row r="80" spans="1:19">
      <c r="A80" s="160"/>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6">
        <f t="shared" si="20"/>
        <v>0</v>
      </c>
      <c r="S80" s="362">
        <f t="shared" si="22"/>
        <v>0</v>
      </c>
    </row>
    <row r="81" spans="1:19">
      <c r="A81" s="160"/>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6">
        <f t="shared" si="20"/>
        <v>0</v>
      </c>
      <c r="S81" s="362">
        <f t="shared" si="22"/>
        <v>0</v>
      </c>
    </row>
    <row r="82" spans="1:19">
      <c r="A82" s="160"/>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6">
        <f t="shared" si="20"/>
        <v>0</v>
      </c>
      <c r="S82" s="362">
        <f t="shared" si="22"/>
        <v>0</v>
      </c>
    </row>
    <row r="83" spans="1:19">
      <c r="A83" s="160"/>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6">
        <f t="shared" si="20"/>
        <v>0</v>
      </c>
      <c r="S83" s="362">
        <f t="shared" si="22"/>
        <v>0</v>
      </c>
    </row>
    <row r="84" spans="1:19">
      <c r="A84" s="160"/>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6">
        <f t="shared" si="20"/>
        <v>0</v>
      </c>
      <c r="S84" s="362">
        <f t="shared" si="22"/>
        <v>0</v>
      </c>
    </row>
    <row r="85" spans="1:19">
      <c r="A85" s="160"/>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6">
        <f t="shared" si="20"/>
        <v>0</v>
      </c>
      <c r="S85" s="362">
        <f t="shared" si="22"/>
        <v>0</v>
      </c>
    </row>
    <row r="86" spans="1:19">
      <c r="A86" s="160"/>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6">
        <f t="shared" si="20"/>
        <v>0</v>
      </c>
      <c r="S86" s="362">
        <f t="shared" si="22"/>
        <v>0</v>
      </c>
    </row>
    <row r="87" spans="1:19">
      <c r="A87" s="160"/>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6">
        <f t="shared" si="20"/>
        <v>0</v>
      </c>
      <c r="S87" s="362">
        <f t="shared" si="22"/>
        <v>0</v>
      </c>
    </row>
    <row r="88" spans="1:19">
      <c r="A88" s="160"/>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6">
        <f t="shared" si="20"/>
        <v>0</v>
      </c>
      <c r="S88" s="362">
        <f t="shared" si="22"/>
        <v>0</v>
      </c>
    </row>
    <row r="89" spans="1:19">
      <c r="A89" s="160"/>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6">
        <f t="shared" si="20"/>
        <v>0</v>
      </c>
      <c r="S89" s="362">
        <f t="shared" si="22"/>
        <v>0</v>
      </c>
    </row>
    <row r="90" spans="1:19">
      <c r="A90" s="160"/>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6">
        <f t="shared" ref="R90:R153" si="31">IF(B90="",0,ROUND($R$24*C90*E90*G90*I90*K90*M90*O90*Q90,0))</f>
        <v>0</v>
      </c>
      <c r="S90" s="362">
        <f t="shared" si="22"/>
        <v>0</v>
      </c>
    </row>
    <row r="91" spans="1:19">
      <c r="A91" s="160"/>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6">
        <f t="shared" si="31"/>
        <v>0</v>
      </c>
      <c r="S91" s="362">
        <f t="shared" si="22"/>
        <v>0</v>
      </c>
    </row>
    <row r="92" spans="1:19">
      <c r="A92" s="160"/>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6">
        <f t="shared" si="31"/>
        <v>0</v>
      </c>
      <c r="S92" s="362">
        <f t="shared" si="22"/>
        <v>0</v>
      </c>
    </row>
    <row r="93" spans="1:19">
      <c r="A93" s="160"/>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6">
        <f t="shared" si="31"/>
        <v>0</v>
      </c>
      <c r="S93" s="362">
        <f t="shared" si="22"/>
        <v>0</v>
      </c>
    </row>
    <row r="94" spans="1:19">
      <c r="A94" s="160"/>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6">
        <f t="shared" si="31"/>
        <v>0</v>
      </c>
      <c r="S94" s="362">
        <f t="shared" si="22"/>
        <v>0</v>
      </c>
    </row>
    <row r="95" spans="1:19">
      <c r="A95" s="160"/>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6">
        <f t="shared" si="31"/>
        <v>0</v>
      </c>
      <c r="S95" s="362">
        <f t="shared" si="22"/>
        <v>0</v>
      </c>
    </row>
    <row r="96" spans="1:19">
      <c r="A96" s="160"/>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6">
        <f t="shared" si="31"/>
        <v>0</v>
      </c>
      <c r="S96" s="362">
        <f t="shared" si="22"/>
        <v>0</v>
      </c>
    </row>
    <row r="97" spans="1:19">
      <c r="A97" s="160"/>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6">
        <f t="shared" si="31"/>
        <v>0</v>
      </c>
      <c r="S97" s="362">
        <f t="shared" si="22"/>
        <v>0</v>
      </c>
    </row>
    <row r="98" spans="1:19">
      <c r="A98" s="160"/>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6">
        <f t="shared" si="31"/>
        <v>0</v>
      </c>
      <c r="S98" s="362">
        <f t="shared" si="22"/>
        <v>0</v>
      </c>
    </row>
    <row r="99" spans="1:19">
      <c r="A99" s="160"/>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6">
        <f t="shared" si="31"/>
        <v>0</v>
      </c>
      <c r="S99" s="362">
        <f t="shared" si="22"/>
        <v>0</v>
      </c>
    </row>
    <row r="100" spans="1:19">
      <c r="A100" s="160"/>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6">
        <f t="shared" si="31"/>
        <v>0</v>
      </c>
      <c r="S100" s="362">
        <f t="shared" si="22"/>
        <v>0</v>
      </c>
    </row>
    <row r="101" spans="1:19">
      <c r="A101" s="160"/>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6">
        <f t="shared" si="31"/>
        <v>0</v>
      </c>
      <c r="S101" s="362">
        <f t="shared" si="22"/>
        <v>0</v>
      </c>
    </row>
    <row r="102" spans="1:19">
      <c r="A102" s="160"/>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6">
        <f t="shared" si="31"/>
        <v>0</v>
      </c>
      <c r="S102" s="362">
        <f t="shared" si="22"/>
        <v>0</v>
      </c>
    </row>
    <row r="103" spans="1:19">
      <c r="A103" s="160"/>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6">
        <f t="shared" si="31"/>
        <v>0</v>
      </c>
      <c r="S103" s="362">
        <f t="shared" si="22"/>
        <v>0</v>
      </c>
    </row>
    <row r="104" spans="1:19">
      <c r="A104" s="160"/>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6">
        <f t="shared" si="31"/>
        <v>0</v>
      </c>
      <c r="S104" s="362">
        <f t="shared" si="22"/>
        <v>0</v>
      </c>
    </row>
    <row r="105" spans="1:19">
      <c r="A105" s="160"/>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6">
        <f t="shared" si="31"/>
        <v>0</v>
      </c>
      <c r="S105" s="362">
        <f t="shared" si="22"/>
        <v>0</v>
      </c>
    </row>
    <row r="106" spans="1:19">
      <c r="A106" s="160"/>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6">
        <f t="shared" si="31"/>
        <v>0</v>
      </c>
      <c r="S106" s="362">
        <f t="shared" si="22"/>
        <v>0</v>
      </c>
    </row>
    <row r="107" spans="1:19">
      <c r="A107" s="160"/>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6">
        <f t="shared" si="31"/>
        <v>0</v>
      </c>
      <c r="S107" s="362">
        <f t="shared" si="22"/>
        <v>0</v>
      </c>
    </row>
    <row r="108" spans="1:19">
      <c r="A108" s="160"/>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6">
        <f t="shared" si="31"/>
        <v>0</v>
      </c>
      <c r="S108" s="362">
        <f t="shared" si="22"/>
        <v>0</v>
      </c>
    </row>
    <row r="109" spans="1:19">
      <c r="A109" s="160"/>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6">
        <f t="shared" si="31"/>
        <v>0</v>
      </c>
      <c r="S109" s="362">
        <f t="shared" si="22"/>
        <v>0</v>
      </c>
    </row>
    <row r="110" spans="1:19">
      <c r="A110" s="160"/>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6">
        <f t="shared" si="31"/>
        <v>0</v>
      </c>
      <c r="S110" s="362">
        <f t="shared" si="22"/>
        <v>0</v>
      </c>
    </row>
    <row r="111" spans="1:19">
      <c r="A111" s="160"/>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6">
        <f t="shared" si="31"/>
        <v>0</v>
      </c>
      <c r="S111" s="362">
        <f t="shared" si="22"/>
        <v>0</v>
      </c>
    </row>
    <row r="112" spans="1:19">
      <c r="A112" s="160"/>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6">
        <f t="shared" si="31"/>
        <v>0</v>
      </c>
      <c r="S112" s="362">
        <f t="shared" si="22"/>
        <v>0</v>
      </c>
    </row>
    <row r="113" spans="1:19">
      <c r="A113" s="160"/>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6">
        <f t="shared" si="31"/>
        <v>0</v>
      </c>
      <c r="S113" s="362">
        <f t="shared" si="22"/>
        <v>0</v>
      </c>
    </row>
    <row r="114" spans="1:19">
      <c r="A114" s="160"/>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6">
        <f t="shared" si="31"/>
        <v>0</v>
      </c>
      <c r="S114" s="362">
        <f t="shared" si="22"/>
        <v>0</v>
      </c>
    </row>
    <row r="115" spans="1:19">
      <c r="A115" s="160"/>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6">
        <f t="shared" si="31"/>
        <v>0</v>
      </c>
      <c r="S115" s="362">
        <f t="shared" si="22"/>
        <v>0</v>
      </c>
    </row>
    <row r="116" spans="1:19">
      <c r="A116" s="160"/>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6">
        <f t="shared" si="31"/>
        <v>0</v>
      </c>
      <c r="S116" s="362">
        <f t="shared" si="22"/>
        <v>0</v>
      </c>
    </row>
    <row r="117" spans="1:19">
      <c r="A117" s="160"/>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6">
        <f t="shared" si="31"/>
        <v>0</v>
      </c>
      <c r="S117" s="362">
        <f t="shared" si="22"/>
        <v>0</v>
      </c>
    </row>
    <row r="118" spans="1:19">
      <c r="A118" s="160"/>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6">
        <f t="shared" si="31"/>
        <v>0</v>
      </c>
      <c r="S118" s="362">
        <f t="shared" si="22"/>
        <v>0</v>
      </c>
    </row>
    <row r="119" spans="1:19">
      <c r="A119" s="160"/>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6">
        <f t="shared" si="31"/>
        <v>0</v>
      </c>
      <c r="S119" s="362">
        <f t="shared" si="22"/>
        <v>0</v>
      </c>
    </row>
    <row r="120" spans="1:19">
      <c r="A120" s="160"/>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6">
        <f t="shared" si="31"/>
        <v>0</v>
      </c>
      <c r="S120" s="362">
        <f t="shared" si="22"/>
        <v>0</v>
      </c>
    </row>
    <row r="121" spans="1:19">
      <c r="A121" s="160"/>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6">
        <f t="shared" si="31"/>
        <v>0</v>
      </c>
      <c r="S121" s="362">
        <f t="shared" si="22"/>
        <v>0</v>
      </c>
    </row>
    <row r="122" spans="1:19">
      <c r="A122" s="160"/>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6">
        <f t="shared" si="31"/>
        <v>0</v>
      </c>
      <c r="S122" s="362">
        <f t="shared" si="22"/>
        <v>0</v>
      </c>
    </row>
    <row r="123" spans="1:19">
      <c r="A123" s="160"/>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6">
        <f t="shared" si="31"/>
        <v>0</v>
      </c>
      <c r="S123" s="362">
        <f t="shared" ref="S123:S186" si="32">ROUND(R123*B123/10000,0)</f>
        <v>0</v>
      </c>
    </row>
    <row r="124" spans="1:19">
      <c r="A124" s="160"/>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6">
        <f t="shared" si="31"/>
        <v>0</v>
      </c>
      <c r="S124" s="362">
        <f t="shared" si="32"/>
        <v>0</v>
      </c>
    </row>
    <row r="125" spans="1:19">
      <c r="A125" s="160"/>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6">
        <f t="shared" si="31"/>
        <v>0</v>
      </c>
      <c r="S125" s="362">
        <f t="shared" si="32"/>
        <v>0</v>
      </c>
    </row>
    <row r="126" spans="1:19">
      <c r="A126" s="160"/>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6">
        <f t="shared" si="31"/>
        <v>0</v>
      </c>
      <c r="S126" s="362">
        <f t="shared" si="32"/>
        <v>0</v>
      </c>
    </row>
    <row r="127" spans="1:19">
      <c r="A127" s="160"/>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6">
        <f t="shared" si="31"/>
        <v>0</v>
      </c>
      <c r="S127" s="362">
        <f t="shared" si="32"/>
        <v>0</v>
      </c>
    </row>
    <row r="128" spans="1:19">
      <c r="A128" s="160"/>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6">
        <f t="shared" si="31"/>
        <v>0</v>
      </c>
      <c r="S128" s="362">
        <f t="shared" si="32"/>
        <v>0</v>
      </c>
    </row>
    <row r="129" spans="1:19">
      <c r="A129" s="160"/>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6">
        <f t="shared" si="31"/>
        <v>0</v>
      </c>
      <c r="S129" s="362">
        <f t="shared" si="32"/>
        <v>0</v>
      </c>
    </row>
    <row r="130" spans="1:19">
      <c r="A130" s="160"/>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6">
        <f t="shared" si="31"/>
        <v>0</v>
      </c>
      <c r="S130" s="362">
        <f t="shared" si="32"/>
        <v>0</v>
      </c>
    </row>
    <row r="131" spans="1:19">
      <c r="A131" s="160"/>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6">
        <f t="shared" si="31"/>
        <v>0</v>
      </c>
      <c r="S131" s="362">
        <f t="shared" si="32"/>
        <v>0</v>
      </c>
    </row>
    <row r="132" spans="1:19">
      <c r="A132" s="160"/>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6">
        <f t="shared" si="31"/>
        <v>0</v>
      </c>
      <c r="S132" s="362">
        <f t="shared" si="32"/>
        <v>0</v>
      </c>
    </row>
    <row r="133" spans="1:19">
      <c r="A133" s="160"/>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6">
        <f t="shared" si="31"/>
        <v>0</v>
      </c>
      <c r="S133" s="362">
        <f t="shared" si="32"/>
        <v>0</v>
      </c>
    </row>
    <row r="134" spans="1:19">
      <c r="A134" s="160"/>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6">
        <f t="shared" si="31"/>
        <v>0</v>
      </c>
      <c r="S134" s="362">
        <f t="shared" si="32"/>
        <v>0</v>
      </c>
    </row>
    <row r="135" spans="1:19">
      <c r="A135" s="160"/>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6">
        <f t="shared" si="31"/>
        <v>0</v>
      </c>
      <c r="S135" s="362">
        <f t="shared" si="32"/>
        <v>0</v>
      </c>
    </row>
    <row r="136" spans="1:19">
      <c r="A136" s="160"/>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6">
        <f t="shared" si="31"/>
        <v>0</v>
      </c>
      <c r="S136" s="362">
        <f t="shared" si="32"/>
        <v>0</v>
      </c>
    </row>
    <row r="137" spans="1:19">
      <c r="A137" s="160"/>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6">
        <f t="shared" si="31"/>
        <v>0</v>
      </c>
      <c r="S137" s="362">
        <f t="shared" si="32"/>
        <v>0</v>
      </c>
    </row>
    <row r="138" spans="1:19">
      <c r="A138" s="160"/>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6">
        <f t="shared" si="31"/>
        <v>0</v>
      </c>
      <c r="S138" s="362">
        <f t="shared" si="32"/>
        <v>0</v>
      </c>
    </row>
    <row r="139" spans="1:19">
      <c r="A139" s="160"/>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6">
        <f t="shared" si="31"/>
        <v>0</v>
      </c>
      <c r="S139" s="362">
        <f t="shared" si="32"/>
        <v>0</v>
      </c>
    </row>
    <row r="140" spans="1:19">
      <c r="A140" s="160"/>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6">
        <f t="shared" si="31"/>
        <v>0</v>
      </c>
      <c r="S140" s="362">
        <f t="shared" si="32"/>
        <v>0</v>
      </c>
    </row>
    <row r="141" spans="1:19">
      <c r="A141" s="160"/>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6">
        <f t="shared" si="31"/>
        <v>0</v>
      </c>
      <c r="S141" s="362">
        <f t="shared" si="32"/>
        <v>0</v>
      </c>
    </row>
    <row r="142" spans="1:19">
      <c r="A142" s="160"/>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6">
        <f t="shared" si="31"/>
        <v>0</v>
      </c>
      <c r="S142" s="362">
        <f t="shared" si="32"/>
        <v>0</v>
      </c>
    </row>
    <row r="143" spans="1:19">
      <c r="A143" s="160"/>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6">
        <f t="shared" si="31"/>
        <v>0</v>
      </c>
      <c r="S143" s="362">
        <f t="shared" si="32"/>
        <v>0</v>
      </c>
    </row>
    <row r="144" spans="1:19">
      <c r="A144" s="160"/>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6">
        <f t="shared" si="31"/>
        <v>0</v>
      </c>
      <c r="S144" s="362">
        <f t="shared" si="32"/>
        <v>0</v>
      </c>
    </row>
    <row r="145" spans="1:19">
      <c r="A145" s="160"/>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6">
        <f t="shared" si="31"/>
        <v>0</v>
      </c>
      <c r="S145" s="362">
        <f t="shared" si="32"/>
        <v>0</v>
      </c>
    </row>
    <row r="146" spans="1:19">
      <c r="A146" s="160"/>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6">
        <f t="shared" si="31"/>
        <v>0</v>
      </c>
      <c r="S146" s="362">
        <f t="shared" si="32"/>
        <v>0</v>
      </c>
    </row>
    <row r="147" spans="1:19">
      <c r="A147" s="160"/>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6">
        <f t="shared" si="31"/>
        <v>0</v>
      </c>
      <c r="S147" s="362">
        <f t="shared" si="32"/>
        <v>0</v>
      </c>
    </row>
    <row r="148" spans="1:19">
      <c r="A148" s="160"/>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6">
        <f t="shared" si="31"/>
        <v>0</v>
      </c>
      <c r="S148" s="362">
        <f t="shared" si="32"/>
        <v>0</v>
      </c>
    </row>
    <row r="149" spans="1:19">
      <c r="A149" s="160"/>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6">
        <f t="shared" si="31"/>
        <v>0</v>
      </c>
      <c r="S149" s="362">
        <f t="shared" si="32"/>
        <v>0</v>
      </c>
    </row>
    <row r="150" spans="1:19">
      <c r="A150" s="160"/>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6">
        <f t="shared" si="31"/>
        <v>0</v>
      </c>
      <c r="S150" s="362">
        <f t="shared" si="32"/>
        <v>0</v>
      </c>
    </row>
    <row r="151" spans="1:19">
      <c r="A151" s="160"/>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6">
        <f t="shared" si="31"/>
        <v>0</v>
      </c>
      <c r="S151" s="362">
        <f t="shared" si="32"/>
        <v>0</v>
      </c>
    </row>
    <row r="152" spans="1:19">
      <c r="A152" s="160"/>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6">
        <f t="shared" si="31"/>
        <v>0</v>
      </c>
      <c r="S152" s="362">
        <f t="shared" si="32"/>
        <v>0</v>
      </c>
    </row>
    <row r="153" spans="1:19">
      <c r="A153" s="160"/>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6">
        <f t="shared" si="31"/>
        <v>0</v>
      </c>
      <c r="S153" s="362">
        <f t="shared" si="32"/>
        <v>0</v>
      </c>
    </row>
    <row r="154" spans="1:19">
      <c r="A154" s="160"/>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6">
        <f t="shared" ref="R154:R217" si="41">IF(B154="",0,ROUND($R$24*C154*E154*G154*I154*K154*M154*O154*Q154,0))</f>
        <v>0</v>
      </c>
      <c r="S154" s="362">
        <f t="shared" si="32"/>
        <v>0</v>
      </c>
    </row>
    <row r="155" spans="1:19">
      <c r="A155" s="160"/>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6">
        <f t="shared" si="41"/>
        <v>0</v>
      </c>
      <c r="S155" s="362">
        <f t="shared" si="32"/>
        <v>0</v>
      </c>
    </row>
    <row r="156" spans="1:19">
      <c r="A156" s="160"/>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6">
        <f t="shared" si="41"/>
        <v>0</v>
      </c>
      <c r="S156" s="362">
        <f t="shared" si="32"/>
        <v>0</v>
      </c>
    </row>
    <row r="157" spans="1:19">
      <c r="A157" s="160"/>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6">
        <f t="shared" si="41"/>
        <v>0</v>
      </c>
      <c r="S157" s="362">
        <f t="shared" si="32"/>
        <v>0</v>
      </c>
    </row>
    <row r="158" spans="1:19">
      <c r="A158" s="160"/>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6">
        <f t="shared" si="41"/>
        <v>0</v>
      </c>
      <c r="S158" s="362">
        <f t="shared" si="32"/>
        <v>0</v>
      </c>
    </row>
    <row r="159" spans="1:19">
      <c r="A159" s="160"/>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6">
        <f t="shared" si="41"/>
        <v>0</v>
      </c>
      <c r="S159" s="362">
        <f t="shared" si="32"/>
        <v>0</v>
      </c>
    </row>
    <row r="160" spans="1:19">
      <c r="A160" s="160"/>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6">
        <f t="shared" si="41"/>
        <v>0</v>
      </c>
      <c r="S160" s="362">
        <f t="shared" si="32"/>
        <v>0</v>
      </c>
    </row>
    <row r="161" spans="1:19">
      <c r="A161" s="160"/>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6">
        <f t="shared" si="41"/>
        <v>0</v>
      </c>
      <c r="S161" s="362">
        <f t="shared" si="32"/>
        <v>0</v>
      </c>
    </row>
    <row r="162" spans="1:19">
      <c r="A162" s="160"/>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6">
        <f t="shared" si="41"/>
        <v>0</v>
      </c>
      <c r="S162" s="362">
        <f t="shared" si="32"/>
        <v>0</v>
      </c>
    </row>
    <row r="163" spans="1:19">
      <c r="A163" s="160"/>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6">
        <f t="shared" si="41"/>
        <v>0</v>
      </c>
      <c r="S163" s="362">
        <f t="shared" si="32"/>
        <v>0</v>
      </c>
    </row>
    <row r="164" spans="1:19">
      <c r="A164" s="160"/>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6">
        <f t="shared" si="41"/>
        <v>0</v>
      </c>
      <c r="S164" s="362">
        <f t="shared" si="32"/>
        <v>0</v>
      </c>
    </row>
    <row r="165" spans="1:19">
      <c r="A165" s="160"/>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6">
        <f t="shared" si="41"/>
        <v>0</v>
      </c>
      <c r="S165" s="362">
        <f t="shared" si="32"/>
        <v>0</v>
      </c>
    </row>
    <row r="166" spans="1:19">
      <c r="A166" s="160"/>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6">
        <f t="shared" si="41"/>
        <v>0</v>
      </c>
      <c r="S166" s="362">
        <f t="shared" si="32"/>
        <v>0</v>
      </c>
    </row>
    <row r="167" spans="1:19">
      <c r="A167" s="160"/>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6">
        <f t="shared" si="41"/>
        <v>0</v>
      </c>
      <c r="S167" s="362">
        <f t="shared" si="32"/>
        <v>0</v>
      </c>
    </row>
    <row r="168" spans="1:19">
      <c r="A168" s="160"/>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6">
        <f t="shared" si="41"/>
        <v>0</v>
      </c>
      <c r="S168" s="362">
        <f t="shared" si="32"/>
        <v>0</v>
      </c>
    </row>
    <row r="169" spans="1:19">
      <c r="A169" s="160"/>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6">
        <f t="shared" si="41"/>
        <v>0</v>
      </c>
      <c r="S169" s="362">
        <f t="shared" si="32"/>
        <v>0</v>
      </c>
    </row>
    <row r="170" spans="1:19">
      <c r="A170" s="160"/>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6">
        <f t="shared" si="41"/>
        <v>0</v>
      </c>
      <c r="S170" s="362">
        <f t="shared" si="32"/>
        <v>0</v>
      </c>
    </row>
    <row r="171" spans="1:19">
      <c r="A171" s="160"/>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6">
        <f t="shared" si="41"/>
        <v>0</v>
      </c>
      <c r="S171" s="362">
        <f t="shared" si="32"/>
        <v>0</v>
      </c>
    </row>
    <row r="172" spans="1:19">
      <c r="A172" s="160"/>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6">
        <f t="shared" si="41"/>
        <v>0</v>
      </c>
      <c r="S172" s="362">
        <f t="shared" si="32"/>
        <v>0</v>
      </c>
    </row>
    <row r="173" spans="1:19">
      <c r="A173" s="160"/>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6">
        <f t="shared" si="41"/>
        <v>0</v>
      </c>
      <c r="S173" s="362">
        <f t="shared" si="32"/>
        <v>0</v>
      </c>
    </row>
    <row r="174" spans="1:19">
      <c r="A174" s="160"/>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6">
        <f t="shared" si="41"/>
        <v>0</v>
      </c>
      <c r="S174" s="362">
        <f t="shared" si="32"/>
        <v>0</v>
      </c>
    </row>
    <row r="175" spans="1:19">
      <c r="A175" s="160"/>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6">
        <f t="shared" si="41"/>
        <v>0</v>
      </c>
      <c r="S175" s="362">
        <f t="shared" si="32"/>
        <v>0</v>
      </c>
    </row>
    <row r="176" spans="1:19">
      <c r="A176" s="160"/>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6">
        <f t="shared" si="41"/>
        <v>0</v>
      </c>
      <c r="S176" s="362">
        <f t="shared" si="32"/>
        <v>0</v>
      </c>
    </row>
    <row r="177" spans="1:19">
      <c r="A177" s="160"/>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6">
        <f t="shared" si="41"/>
        <v>0</v>
      </c>
      <c r="S177" s="362">
        <f t="shared" si="32"/>
        <v>0</v>
      </c>
    </row>
    <row r="178" spans="1:19">
      <c r="A178" s="160"/>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6">
        <f t="shared" si="41"/>
        <v>0</v>
      </c>
      <c r="S178" s="362">
        <f t="shared" si="32"/>
        <v>0</v>
      </c>
    </row>
    <row r="179" spans="1:19">
      <c r="A179" s="160"/>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6">
        <f t="shared" si="41"/>
        <v>0</v>
      </c>
      <c r="S179" s="362">
        <f t="shared" si="32"/>
        <v>0</v>
      </c>
    </row>
    <row r="180" spans="1:19">
      <c r="A180" s="160"/>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6">
        <f t="shared" si="41"/>
        <v>0</v>
      </c>
      <c r="S180" s="362">
        <f t="shared" si="32"/>
        <v>0</v>
      </c>
    </row>
    <row r="181" spans="1:19">
      <c r="A181" s="160"/>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6">
        <f t="shared" si="41"/>
        <v>0</v>
      </c>
      <c r="S181" s="362">
        <f t="shared" si="32"/>
        <v>0</v>
      </c>
    </row>
    <row r="182" spans="1:19">
      <c r="A182" s="160"/>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6">
        <f t="shared" si="41"/>
        <v>0</v>
      </c>
      <c r="S182" s="362">
        <f t="shared" si="32"/>
        <v>0</v>
      </c>
    </row>
    <row r="183" spans="1:19">
      <c r="A183" s="160"/>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6">
        <f t="shared" si="41"/>
        <v>0</v>
      </c>
      <c r="S183" s="362">
        <f t="shared" si="32"/>
        <v>0</v>
      </c>
    </row>
    <row r="184" spans="1:19">
      <c r="A184" s="160"/>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6">
        <f t="shared" si="41"/>
        <v>0</v>
      </c>
      <c r="S184" s="362">
        <f t="shared" si="32"/>
        <v>0</v>
      </c>
    </row>
    <row r="185" spans="1:19">
      <c r="A185" s="160"/>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6">
        <f t="shared" si="41"/>
        <v>0</v>
      </c>
      <c r="S185" s="362">
        <f t="shared" si="32"/>
        <v>0</v>
      </c>
    </row>
    <row r="186" spans="1:19">
      <c r="A186" s="160"/>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6">
        <f t="shared" si="41"/>
        <v>0</v>
      </c>
      <c r="S186" s="362">
        <f t="shared" si="32"/>
        <v>0</v>
      </c>
    </row>
    <row r="187" spans="1:19">
      <c r="A187" s="160"/>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6">
        <f t="shared" si="41"/>
        <v>0</v>
      </c>
      <c r="S187" s="362">
        <f t="shared" ref="S187:S222" si="42">ROUND(R187*B187/10000,0)</f>
        <v>0</v>
      </c>
    </row>
    <row r="188" spans="1:19">
      <c r="A188" s="160"/>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6">
        <f t="shared" si="41"/>
        <v>0</v>
      </c>
      <c r="S188" s="362">
        <f t="shared" si="42"/>
        <v>0</v>
      </c>
    </row>
    <row r="189" spans="1:19">
      <c r="A189" s="160"/>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6">
        <f t="shared" si="41"/>
        <v>0</v>
      </c>
      <c r="S189" s="362">
        <f t="shared" si="42"/>
        <v>0</v>
      </c>
    </row>
    <row r="190" spans="1:19">
      <c r="A190" s="160"/>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6">
        <f t="shared" si="41"/>
        <v>0</v>
      </c>
      <c r="S190" s="362">
        <f t="shared" si="42"/>
        <v>0</v>
      </c>
    </row>
    <row r="191" spans="1:19">
      <c r="A191" s="160"/>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6">
        <f t="shared" si="41"/>
        <v>0</v>
      </c>
      <c r="S191" s="362">
        <f t="shared" si="42"/>
        <v>0</v>
      </c>
    </row>
    <row r="192" spans="1:19">
      <c r="A192" s="160"/>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6">
        <f t="shared" si="41"/>
        <v>0</v>
      </c>
      <c r="S192" s="362">
        <f t="shared" si="42"/>
        <v>0</v>
      </c>
    </row>
    <row r="193" spans="1:19">
      <c r="A193" s="160"/>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6">
        <f t="shared" si="41"/>
        <v>0</v>
      </c>
      <c r="S193" s="362">
        <f t="shared" si="42"/>
        <v>0</v>
      </c>
    </row>
    <row r="194" spans="1:19">
      <c r="A194" s="160"/>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6">
        <f t="shared" si="41"/>
        <v>0</v>
      </c>
      <c r="S194" s="362">
        <f t="shared" si="42"/>
        <v>0</v>
      </c>
    </row>
    <row r="195" spans="1:19">
      <c r="A195" s="160"/>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6">
        <f t="shared" si="41"/>
        <v>0</v>
      </c>
      <c r="S195" s="362">
        <f t="shared" si="42"/>
        <v>0</v>
      </c>
    </row>
    <row r="196" spans="1:19">
      <c r="A196" s="160"/>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6">
        <f t="shared" si="41"/>
        <v>0</v>
      </c>
      <c r="S196" s="362">
        <f t="shared" si="42"/>
        <v>0</v>
      </c>
    </row>
    <row r="197" spans="1:19">
      <c r="A197" s="160"/>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6">
        <f t="shared" si="41"/>
        <v>0</v>
      </c>
      <c r="S197" s="362">
        <f t="shared" si="42"/>
        <v>0</v>
      </c>
    </row>
    <row r="198" spans="1:19">
      <c r="A198" s="160"/>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6">
        <f t="shared" si="41"/>
        <v>0</v>
      </c>
      <c r="S198" s="362">
        <f t="shared" si="42"/>
        <v>0</v>
      </c>
    </row>
    <row r="199" spans="1:19">
      <c r="A199" s="160"/>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6">
        <f t="shared" si="41"/>
        <v>0</v>
      </c>
      <c r="S199" s="362">
        <f t="shared" si="42"/>
        <v>0</v>
      </c>
    </row>
    <row r="200" spans="1:19">
      <c r="A200" s="160"/>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6">
        <f t="shared" si="41"/>
        <v>0</v>
      </c>
      <c r="S200" s="362">
        <f t="shared" si="42"/>
        <v>0</v>
      </c>
    </row>
    <row r="201" spans="1:19">
      <c r="A201" s="160"/>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6">
        <f t="shared" si="41"/>
        <v>0</v>
      </c>
      <c r="S201" s="362">
        <f t="shared" si="42"/>
        <v>0</v>
      </c>
    </row>
    <row r="202" spans="1:19">
      <c r="A202" s="160"/>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6">
        <f t="shared" si="41"/>
        <v>0</v>
      </c>
      <c r="S202" s="362">
        <f t="shared" si="42"/>
        <v>0</v>
      </c>
    </row>
    <row r="203" spans="1:19">
      <c r="A203" s="160"/>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6">
        <f t="shared" si="41"/>
        <v>0</v>
      </c>
      <c r="S203" s="362">
        <f t="shared" si="42"/>
        <v>0</v>
      </c>
    </row>
    <row r="204" spans="1:19">
      <c r="A204" s="160"/>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6">
        <f t="shared" si="41"/>
        <v>0</v>
      </c>
      <c r="S204" s="362">
        <f t="shared" si="42"/>
        <v>0</v>
      </c>
    </row>
    <row r="205" spans="1:19">
      <c r="A205" s="160"/>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6">
        <f t="shared" si="41"/>
        <v>0</v>
      </c>
      <c r="S205" s="362">
        <f t="shared" si="42"/>
        <v>0</v>
      </c>
    </row>
    <row r="206" spans="1:19">
      <c r="A206" s="160"/>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6">
        <f t="shared" si="41"/>
        <v>0</v>
      </c>
      <c r="S206" s="362">
        <f t="shared" si="42"/>
        <v>0</v>
      </c>
    </row>
    <row r="207" spans="1:19">
      <c r="A207" s="160"/>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6">
        <f t="shared" si="41"/>
        <v>0</v>
      </c>
      <c r="S207" s="362">
        <f t="shared" si="42"/>
        <v>0</v>
      </c>
    </row>
    <row r="208" spans="1:19">
      <c r="A208" s="160"/>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6">
        <f t="shared" si="41"/>
        <v>0</v>
      </c>
      <c r="S208" s="362">
        <f t="shared" si="42"/>
        <v>0</v>
      </c>
    </row>
    <row r="209" spans="1:19">
      <c r="A209" s="160"/>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6">
        <f t="shared" si="41"/>
        <v>0</v>
      </c>
      <c r="S209" s="362">
        <f t="shared" si="42"/>
        <v>0</v>
      </c>
    </row>
    <row r="210" spans="1:19">
      <c r="A210" s="160"/>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6">
        <f t="shared" si="41"/>
        <v>0</v>
      </c>
      <c r="S210" s="362">
        <f t="shared" si="42"/>
        <v>0</v>
      </c>
    </row>
    <row r="211" spans="1:19">
      <c r="A211" s="160"/>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6">
        <f t="shared" si="41"/>
        <v>0</v>
      </c>
      <c r="S211" s="362">
        <f t="shared" si="42"/>
        <v>0</v>
      </c>
    </row>
    <row r="212" spans="1:19">
      <c r="A212" s="160"/>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6">
        <f t="shared" si="41"/>
        <v>0</v>
      </c>
      <c r="S212" s="362">
        <f t="shared" si="42"/>
        <v>0</v>
      </c>
    </row>
    <row r="213" spans="1:19">
      <c r="A213" s="160"/>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6">
        <f t="shared" si="41"/>
        <v>0</v>
      </c>
      <c r="S213" s="362">
        <f t="shared" si="42"/>
        <v>0</v>
      </c>
    </row>
    <row r="214" spans="1:19">
      <c r="A214" s="160"/>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6">
        <f t="shared" si="41"/>
        <v>0</v>
      </c>
      <c r="S214" s="362">
        <f t="shared" si="42"/>
        <v>0</v>
      </c>
    </row>
    <row r="215" spans="1:19">
      <c r="A215" s="160"/>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6">
        <f t="shared" si="41"/>
        <v>0</v>
      </c>
      <c r="S215" s="362">
        <f t="shared" si="42"/>
        <v>0</v>
      </c>
    </row>
    <row r="216" spans="1:19">
      <c r="A216" s="160"/>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6">
        <f t="shared" si="41"/>
        <v>0</v>
      </c>
      <c r="S216" s="362">
        <f t="shared" si="42"/>
        <v>0</v>
      </c>
    </row>
    <row r="217" spans="1:19">
      <c r="A217" s="160"/>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6">
        <f t="shared" si="41"/>
        <v>0</v>
      </c>
      <c r="S217" s="362">
        <f t="shared" si="42"/>
        <v>0</v>
      </c>
    </row>
    <row r="218" spans="1:19">
      <c r="A218" s="160"/>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6">
        <f t="shared" ref="R218:R281" si="51">IF(B218="",0,ROUND($R$24*C218*E218*G218*I218*K218*M218*O218*Q218,0))</f>
        <v>0</v>
      </c>
      <c r="S218" s="362">
        <f t="shared" si="42"/>
        <v>0</v>
      </c>
    </row>
    <row r="219" spans="1:19">
      <c r="A219" s="160"/>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6">
        <f t="shared" si="51"/>
        <v>0</v>
      </c>
      <c r="S219" s="362">
        <f t="shared" si="42"/>
        <v>0</v>
      </c>
    </row>
    <row r="220" spans="1:19">
      <c r="A220" s="160"/>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6">
        <f t="shared" si="51"/>
        <v>0</v>
      </c>
      <c r="S220" s="362">
        <f t="shared" si="42"/>
        <v>0</v>
      </c>
    </row>
    <row r="221" spans="1:19">
      <c r="A221" s="160"/>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6">
        <f t="shared" si="51"/>
        <v>0</v>
      </c>
      <c r="S221" s="362">
        <f t="shared" si="42"/>
        <v>0</v>
      </c>
    </row>
    <row r="222" spans="1:19">
      <c r="A222" s="160"/>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6">
        <f t="shared" si="51"/>
        <v>0</v>
      </c>
      <c r="S222" s="362">
        <f t="shared" si="42"/>
        <v>0</v>
      </c>
    </row>
    <row r="223" spans="1:19">
      <c r="A223" s="160"/>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6">
        <f t="shared" si="51"/>
        <v>0</v>
      </c>
      <c r="S223" s="362">
        <f t="shared" ref="S223:S286" si="52">ROUND(R223*B223/10000,0)</f>
        <v>0</v>
      </c>
    </row>
    <row r="224" spans="1:19">
      <c r="A224" s="160"/>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6">
        <f t="shared" si="51"/>
        <v>0</v>
      </c>
      <c r="S224" s="362">
        <f t="shared" si="52"/>
        <v>0</v>
      </c>
    </row>
    <row r="225" spans="1:19">
      <c r="A225" s="160"/>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6">
        <f t="shared" si="51"/>
        <v>0</v>
      </c>
      <c r="S225" s="362">
        <f t="shared" si="52"/>
        <v>0</v>
      </c>
    </row>
    <row r="226" spans="1:19">
      <c r="A226" s="160"/>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6">
        <f t="shared" si="51"/>
        <v>0</v>
      </c>
      <c r="S226" s="362">
        <f t="shared" si="52"/>
        <v>0</v>
      </c>
    </row>
    <row r="227" spans="1:19">
      <c r="A227" s="160"/>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6">
        <f t="shared" si="51"/>
        <v>0</v>
      </c>
      <c r="S227" s="362">
        <f t="shared" si="52"/>
        <v>0</v>
      </c>
    </row>
    <row r="228" spans="1:19">
      <c r="A228" s="160"/>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6">
        <f t="shared" si="51"/>
        <v>0</v>
      </c>
      <c r="S228" s="362">
        <f t="shared" si="52"/>
        <v>0</v>
      </c>
    </row>
    <row r="229" spans="1:19">
      <c r="A229" s="160"/>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6">
        <f t="shared" si="51"/>
        <v>0</v>
      </c>
      <c r="S229" s="362">
        <f t="shared" si="52"/>
        <v>0</v>
      </c>
    </row>
    <row r="230" spans="1:19">
      <c r="A230" s="160"/>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6">
        <f t="shared" si="51"/>
        <v>0</v>
      </c>
      <c r="S230" s="362">
        <f t="shared" si="52"/>
        <v>0</v>
      </c>
    </row>
    <row r="231" spans="1:19">
      <c r="A231" s="160"/>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6">
        <f t="shared" si="51"/>
        <v>0</v>
      </c>
      <c r="S231" s="362">
        <f t="shared" si="52"/>
        <v>0</v>
      </c>
    </row>
    <row r="232" spans="1:19">
      <c r="A232" s="160"/>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6">
        <f t="shared" si="51"/>
        <v>0</v>
      </c>
      <c r="S232" s="362">
        <f t="shared" si="52"/>
        <v>0</v>
      </c>
    </row>
    <row r="233" spans="1:19">
      <c r="A233" s="160"/>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6">
        <f t="shared" si="51"/>
        <v>0</v>
      </c>
      <c r="S233" s="362">
        <f t="shared" si="52"/>
        <v>0</v>
      </c>
    </row>
    <row r="234" spans="1:19">
      <c r="A234" s="160"/>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6">
        <f t="shared" si="51"/>
        <v>0</v>
      </c>
      <c r="S234" s="362">
        <f t="shared" si="52"/>
        <v>0</v>
      </c>
    </row>
    <row r="235" spans="1:19">
      <c r="A235" s="160"/>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6">
        <f t="shared" si="51"/>
        <v>0</v>
      </c>
      <c r="S235" s="362">
        <f t="shared" si="52"/>
        <v>0</v>
      </c>
    </row>
    <row r="236" spans="1:19">
      <c r="A236" s="160"/>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6">
        <f t="shared" si="51"/>
        <v>0</v>
      </c>
      <c r="S236" s="362">
        <f t="shared" si="52"/>
        <v>0</v>
      </c>
    </row>
    <row r="237" spans="1:19">
      <c r="A237" s="160"/>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6">
        <f t="shared" si="51"/>
        <v>0</v>
      </c>
      <c r="S237" s="362">
        <f t="shared" si="52"/>
        <v>0</v>
      </c>
    </row>
    <row r="238" spans="1:19">
      <c r="A238" s="160"/>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6">
        <f t="shared" si="51"/>
        <v>0</v>
      </c>
      <c r="S238" s="362">
        <f t="shared" si="52"/>
        <v>0</v>
      </c>
    </row>
    <row r="239" spans="1:19">
      <c r="A239" s="160"/>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6">
        <f t="shared" si="51"/>
        <v>0</v>
      </c>
      <c r="S239" s="362">
        <f t="shared" si="52"/>
        <v>0</v>
      </c>
    </row>
    <row r="240" spans="1:19">
      <c r="A240" s="160"/>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6">
        <f t="shared" si="51"/>
        <v>0</v>
      </c>
      <c r="S240" s="362">
        <f t="shared" si="52"/>
        <v>0</v>
      </c>
    </row>
    <row r="241" spans="1:19">
      <c r="A241" s="160"/>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6">
        <f t="shared" si="51"/>
        <v>0</v>
      </c>
      <c r="S241" s="362">
        <f t="shared" si="52"/>
        <v>0</v>
      </c>
    </row>
    <row r="242" spans="1:19">
      <c r="A242" s="160"/>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6">
        <f t="shared" si="51"/>
        <v>0</v>
      </c>
      <c r="S242" s="362">
        <f t="shared" si="52"/>
        <v>0</v>
      </c>
    </row>
    <row r="243" spans="1:19">
      <c r="A243" s="160"/>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6">
        <f t="shared" si="51"/>
        <v>0</v>
      </c>
      <c r="S243" s="362">
        <f t="shared" si="52"/>
        <v>0</v>
      </c>
    </row>
    <row r="244" spans="1:19">
      <c r="A244" s="160"/>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6">
        <f t="shared" si="51"/>
        <v>0</v>
      </c>
      <c r="S244" s="362">
        <f t="shared" si="52"/>
        <v>0</v>
      </c>
    </row>
    <row r="245" spans="1:19">
      <c r="A245" s="160"/>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6">
        <f t="shared" si="51"/>
        <v>0</v>
      </c>
      <c r="S245" s="362">
        <f t="shared" si="52"/>
        <v>0</v>
      </c>
    </row>
    <row r="246" spans="1:19">
      <c r="A246" s="160"/>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6">
        <f t="shared" si="51"/>
        <v>0</v>
      </c>
      <c r="S246" s="362">
        <f t="shared" si="52"/>
        <v>0</v>
      </c>
    </row>
    <row r="247" spans="1:19">
      <c r="A247" s="160"/>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6">
        <f t="shared" si="51"/>
        <v>0</v>
      </c>
      <c r="S247" s="362">
        <f t="shared" si="52"/>
        <v>0</v>
      </c>
    </row>
    <row r="248" spans="1:19">
      <c r="A248" s="160"/>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6">
        <f t="shared" si="51"/>
        <v>0</v>
      </c>
      <c r="S248" s="362">
        <f t="shared" si="52"/>
        <v>0</v>
      </c>
    </row>
    <row r="249" spans="1:19">
      <c r="A249" s="160"/>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6">
        <f t="shared" si="51"/>
        <v>0</v>
      </c>
      <c r="S249" s="362">
        <f t="shared" si="52"/>
        <v>0</v>
      </c>
    </row>
    <row r="250" spans="1:19">
      <c r="A250" s="160"/>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6">
        <f t="shared" si="51"/>
        <v>0</v>
      </c>
      <c r="S250" s="362">
        <f t="shared" si="52"/>
        <v>0</v>
      </c>
    </row>
    <row r="251" spans="1:19">
      <c r="A251" s="160"/>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6">
        <f t="shared" si="51"/>
        <v>0</v>
      </c>
      <c r="S251" s="362">
        <f t="shared" si="52"/>
        <v>0</v>
      </c>
    </row>
    <row r="252" spans="1:19">
      <c r="A252" s="160"/>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6">
        <f t="shared" si="51"/>
        <v>0</v>
      </c>
      <c r="S252" s="362">
        <f t="shared" si="52"/>
        <v>0</v>
      </c>
    </row>
    <row r="253" spans="1:19">
      <c r="A253" s="160"/>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6">
        <f t="shared" si="51"/>
        <v>0</v>
      </c>
      <c r="S253" s="362">
        <f t="shared" si="52"/>
        <v>0</v>
      </c>
    </row>
    <row r="254" spans="1:19">
      <c r="A254" s="160"/>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6">
        <f t="shared" si="51"/>
        <v>0</v>
      </c>
      <c r="S254" s="362">
        <f t="shared" si="52"/>
        <v>0</v>
      </c>
    </row>
    <row r="255" spans="1:19">
      <c r="A255" s="160"/>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6">
        <f t="shared" si="51"/>
        <v>0</v>
      </c>
      <c r="S255" s="362">
        <f t="shared" si="52"/>
        <v>0</v>
      </c>
    </row>
    <row r="256" spans="1:19">
      <c r="A256" s="160"/>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6">
        <f t="shared" si="51"/>
        <v>0</v>
      </c>
      <c r="S256" s="362">
        <f t="shared" si="52"/>
        <v>0</v>
      </c>
    </row>
    <row r="257" spans="1:19">
      <c r="A257" s="160"/>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6">
        <f t="shared" si="51"/>
        <v>0</v>
      </c>
      <c r="S257" s="362">
        <f t="shared" si="52"/>
        <v>0</v>
      </c>
    </row>
    <row r="258" spans="1:19">
      <c r="A258" s="160"/>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6">
        <f t="shared" si="51"/>
        <v>0</v>
      </c>
      <c r="S258" s="362">
        <f t="shared" si="52"/>
        <v>0</v>
      </c>
    </row>
    <row r="259" spans="1:19">
      <c r="A259" s="160"/>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6">
        <f t="shared" si="51"/>
        <v>0</v>
      </c>
      <c r="S259" s="362">
        <f t="shared" si="52"/>
        <v>0</v>
      </c>
    </row>
    <row r="260" spans="1:19">
      <c r="A260" s="160"/>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6">
        <f t="shared" si="51"/>
        <v>0</v>
      </c>
      <c r="S260" s="362">
        <f t="shared" si="52"/>
        <v>0</v>
      </c>
    </row>
    <row r="261" spans="1:19">
      <c r="A261" s="160"/>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6">
        <f t="shared" si="51"/>
        <v>0</v>
      </c>
      <c r="S261" s="362">
        <f t="shared" si="52"/>
        <v>0</v>
      </c>
    </row>
    <row r="262" spans="1:19">
      <c r="A262" s="160"/>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6">
        <f t="shared" si="51"/>
        <v>0</v>
      </c>
      <c r="S262" s="362">
        <f t="shared" si="52"/>
        <v>0</v>
      </c>
    </row>
    <row r="263" spans="1:19">
      <c r="A263" s="160"/>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6">
        <f t="shared" si="51"/>
        <v>0</v>
      </c>
      <c r="S263" s="362">
        <f t="shared" si="52"/>
        <v>0</v>
      </c>
    </row>
    <row r="264" spans="1:19">
      <c r="A264" s="160"/>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6">
        <f t="shared" si="51"/>
        <v>0</v>
      </c>
      <c r="S264" s="362">
        <f t="shared" si="52"/>
        <v>0</v>
      </c>
    </row>
    <row r="265" spans="1:19">
      <c r="A265" s="160"/>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6">
        <f t="shared" si="51"/>
        <v>0</v>
      </c>
      <c r="S265" s="362">
        <f t="shared" si="52"/>
        <v>0</v>
      </c>
    </row>
    <row r="266" spans="1:19">
      <c r="A266" s="160"/>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6">
        <f t="shared" si="51"/>
        <v>0</v>
      </c>
      <c r="S266" s="362">
        <f t="shared" si="52"/>
        <v>0</v>
      </c>
    </row>
    <row r="267" spans="1:19">
      <c r="A267" s="160"/>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6">
        <f t="shared" si="51"/>
        <v>0</v>
      </c>
      <c r="S267" s="362">
        <f t="shared" si="52"/>
        <v>0</v>
      </c>
    </row>
    <row r="268" spans="1:19">
      <c r="A268" s="160"/>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6">
        <f t="shared" si="51"/>
        <v>0</v>
      </c>
      <c r="S268" s="362">
        <f t="shared" si="52"/>
        <v>0</v>
      </c>
    </row>
    <row r="269" spans="1:19">
      <c r="A269" s="160"/>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6">
        <f t="shared" si="51"/>
        <v>0</v>
      </c>
      <c r="S269" s="362">
        <f t="shared" si="52"/>
        <v>0</v>
      </c>
    </row>
    <row r="270" spans="1:19">
      <c r="A270" s="160"/>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6">
        <f t="shared" si="51"/>
        <v>0</v>
      </c>
      <c r="S270" s="362">
        <f t="shared" si="52"/>
        <v>0</v>
      </c>
    </row>
    <row r="271" spans="1:19">
      <c r="A271" s="160"/>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6">
        <f t="shared" si="51"/>
        <v>0</v>
      </c>
      <c r="S271" s="362">
        <f t="shared" si="52"/>
        <v>0</v>
      </c>
    </row>
    <row r="272" spans="1:19">
      <c r="A272" s="160"/>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6">
        <f t="shared" si="51"/>
        <v>0</v>
      </c>
      <c r="S272" s="362">
        <f t="shared" si="52"/>
        <v>0</v>
      </c>
    </row>
    <row r="273" spans="1:19">
      <c r="A273" s="160"/>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6">
        <f t="shared" si="51"/>
        <v>0</v>
      </c>
      <c r="S273" s="362">
        <f t="shared" si="52"/>
        <v>0</v>
      </c>
    </row>
    <row r="274" spans="1:19">
      <c r="A274" s="160"/>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6">
        <f t="shared" si="51"/>
        <v>0</v>
      </c>
      <c r="S274" s="362">
        <f t="shared" si="52"/>
        <v>0</v>
      </c>
    </row>
    <row r="275" spans="1:19">
      <c r="A275" s="160"/>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6">
        <f t="shared" si="51"/>
        <v>0</v>
      </c>
      <c r="S275" s="362">
        <f t="shared" si="52"/>
        <v>0</v>
      </c>
    </row>
    <row r="276" spans="1:19">
      <c r="A276" s="160"/>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6">
        <f t="shared" si="51"/>
        <v>0</v>
      </c>
      <c r="S276" s="362">
        <f t="shared" si="52"/>
        <v>0</v>
      </c>
    </row>
    <row r="277" spans="1:19">
      <c r="A277" s="160"/>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6">
        <f t="shared" si="51"/>
        <v>0</v>
      </c>
      <c r="S277" s="362">
        <f t="shared" si="52"/>
        <v>0</v>
      </c>
    </row>
    <row r="278" spans="1:19">
      <c r="A278" s="160"/>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6">
        <f t="shared" si="51"/>
        <v>0</v>
      </c>
      <c r="S278" s="362">
        <f t="shared" si="52"/>
        <v>0</v>
      </c>
    </row>
    <row r="279" spans="1:19">
      <c r="A279" s="160"/>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6">
        <f t="shared" si="51"/>
        <v>0</v>
      </c>
      <c r="S279" s="362">
        <f t="shared" si="52"/>
        <v>0</v>
      </c>
    </row>
    <row r="280" spans="1:19">
      <c r="A280" s="160"/>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6">
        <f t="shared" si="51"/>
        <v>0</v>
      </c>
      <c r="S280" s="362">
        <f t="shared" si="52"/>
        <v>0</v>
      </c>
    </row>
    <row r="281" spans="1:19">
      <c r="A281" s="160"/>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6">
        <f t="shared" si="51"/>
        <v>0</v>
      </c>
      <c r="S281" s="362">
        <f t="shared" si="52"/>
        <v>0</v>
      </c>
    </row>
    <row r="282" spans="1:19">
      <c r="A282" s="160"/>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6">
        <f t="shared" ref="R282:R345" si="61">IF(B282="",0,ROUND($R$24*C282*E282*G282*I282*K282*M282*O282*Q282,0))</f>
        <v>0</v>
      </c>
      <c r="S282" s="362">
        <f t="shared" si="52"/>
        <v>0</v>
      </c>
    </row>
    <row r="283" spans="1:19">
      <c r="A283" s="160"/>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6">
        <f t="shared" si="61"/>
        <v>0</v>
      </c>
      <c r="S283" s="362">
        <f t="shared" si="52"/>
        <v>0</v>
      </c>
    </row>
    <row r="284" spans="1:19">
      <c r="A284" s="160"/>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6">
        <f t="shared" si="61"/>
        <v>0</v>
      </c>
      <c r="S284" s="362">
        <f t="shared" si="52"/>
        <v>0</v>
      </c>
    </row>
    <row r="285" spans="1:19">
      <c r="A285" s="160"/>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6">
        <f t="shared" si="61"/>
        <v>0</v>
      </c>
      <c r="S285" s="362">
        <f t="shared" si="52"/>
        <v>0</v>
      </c>
    </row>
    <row r="286" spans="1:19">
      <c r="A286" s="160"/>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6">
        <f t="shared" si="61"/>
        <v>0</v>
      </c>
      <c r="S286" s="362">
        <f t="shared" si="52"/>
        <v>0</v>
      </c>
    </row>
    <row r="287" spans="1:19">
      <c r="A287" s="160"/>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6">
        <f t="shared" si="61"/>
        <v>0</v>
      </c>
      <c r="S287" s="362">
        <f t="shared" ref="S287:S320" si="62">ROUND(R287*B287/10000,0)</f>
        <v>0</v>
      </c>
    </row>
    <row r="288" spans="1:19">
      <c r="A288" s="160"/>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6">
        <f t="shared" si="61"/>
        <v>0</v>
      </c>
      <c r="S288" s="362">
        <f t="shared" si="62"/>
        <v>0</v>
      </c>
    </row>
    <row r="289" spans="1:19">
      <c r="A289" s="160"/>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6">
        <f t="shared" si="61"/>
        <v>0</v>
      </c>
      <c r="S289" s="362">
        <f t="shared" si="62"/>
        <v>0</v>
      </c>
    </row>
    <row r="290" spans="1:19">
      <c r="A290" s="160"/>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6">
        <f t="shared" si="61"/>
        <v>0</v>
      </c>
      <c r="S290" s="362">
        <f t="shared" si="62"/>
        <v>0</v>
      </c>
    </row>
    <row r="291" spans="1:19">
      <c r="A291" s="160"/>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6">
        <f t="shared" si="61"/>
        <v>0</v>
      </c>
      <c r="S291" s="362">
        <f t="shared" si="62"/>
        <v>0</v>
      </c>
    </row>
    <row r="292" spans="1:19">
      <c r="A292" s="160"/>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6">
        <f t="shared" si="61"/>
        <v>0</v>
      </c>
      <c r="S292" s="362">
        <f t="shared" si="62"/>
        <v>0</v>
      </c>
    </row>
    <row r="293" spans="1:19">
      <c r="A293" s="160"/>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6">
        <f t="shared" si="61"/>
        <v>0</v>
      </c>
      <c r="S293" s="362">
        <f t="shared" si="62"/>
        <v>0</v>
      </c>
    </row>
    <row r="294" spans="1:19">
      <c r="A294" s="160"/>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6">
        <f t="shared" si="61"/>
        <v>0</v>
      </c>
      <c r="S294" s="362">
        <f t="shared" si="62"/>
        <v>0</v>
      </c>
    </row>
    <row r="295" spans="1:19">
      <c r="A295" s="160"/>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6">
        <f t="shared" si="61"/>
        <v>0</v>
      </c>
      <c r="S295" s="362">
        <f t="shared" si="62"/>
        <v>0</v>
      </c>
    </row>
    <row r="296" spans="1:19">
      <c r="A296" s="160"/>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6">
        <f t="shared" si="61"/>
        <v>0</v>
      </c>
      <c r="S296" s="362">
        <f t="shared" si="62"/>
        <v>0</v>
      </c>
    </row>
    <row r="297" spans="1:19">
      <c r="A297" s="160"/>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6">
        <f t="shared" si="61"/>
        <v>0</v>
      </c>
      <c r="S297" s="362">
        <f t="shared" si="62"/>
        <v>0</v>
      </c>
    </row>
    <row r="298" spans="1:19">
      <c r="A298" s="160"/>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6">
        <f t="shared" si="61"/>
        <v>0</v>
      </c>
      <c r="S298" s="362">
        <f t="shared" si="62"/>
        <v>0</v>
      </c>
    </row>
    <row r="299" spans="1:19">
      <c r="A299" s="160"/>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6">
        <f t="shared" si="61"/>
        <v>0</v>
      </c>
      <c r="S299" s="362">
        <f t="shared" si="62"/>
        <v>0</v>
      </c>
    </row>
    <row r="300" spans="1:19">
      <c r="A300" s="160"/>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6">
        <f t="shared" si="61"/>
        <v>0</v>
      </c>
      <c r="S300" s="362">
        <f t="shared" si="62"/>
        <v>0</v>
      </c>
    </row>
    <row r="301" spans="1:19">
      <c r="A301" s="160"/>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6">
        <f t="shared" si="61"/>
        <v>0</v>
      </c>
      <c r="S301" s="362">
        <f t="shared" si="62"/>
        <v>0</v>
      </c>
    </row>
    <row r="302" spans="1:19">
      <c r="A302" s="160"/>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6">
        <f t="shared" si="61"/>
        <v>0</v>
      </c>
      <c r="S302" s="362">
        <f t="shared" si="62"/>
        <v>0</v>
      </c>
    </row>
    <row r="303" spans="1:19">
      <c r="A303" s="160"/>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6">
        <f t="shared" si="61"/>
        <v>0</v>
      </c>
      <c r="S303" s="362">
        <f t="shared" si="62"/>
        <v>0</v>
      </c>
    </row>
    <row r="304" spans="1:19">
      <c r="A304" s="160"/>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6">
        <f t="shared" si="61"/>
        <v>0</v>
      </c>
      <c r="S304" s="362">
        <f t="shared" si="62"/>
        <v>0</v>
      </c>
    </row>
    <row r="305" spans="1:19">
      <c r="A305" s="160"/>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6">
        <f t="shared" si="61"/>
        <v>0</v>
      </c>
      <c r="S305" s="362">
        <f t="shared" si="62"/>
        <v>0</v>
      </c>
    </row>
    <row r="306" spans="1:19">
      <c r="A306" s="160"/>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6">
        <f t="shared" si="61"/>
        <v>0</v>
      </c>
      <c r="S306" s="362">
        <f t="shared" si="62"/>
        <v>0</v>
      </c>
    </row>
    <row r="307" spans="1:19">
      <c r="A307" s="160"/>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6">
        <f t="shared" si="61"/>
        <v>0</v>
      </c>
      <c r="S307" s="362">
        <f t="shared" si="62"/>
        <v>0</v>
      </c>
    </row>
    <row r="308" spans="1:19">
      <c r="A308" s="160"/>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6">
        <f t="shared" si="61"/>
        <v>0</v>
      </c>
      <c r="S308" s="362">
        <f t="shared" si="62"/>
        <v>0</v>
      </c>
    </row>
    <row r="309" spans="1:19">
      <c r="A309" s="160"/>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6">
        <f t="shared" si="61"/>
        <v>0</v>
      </c>
      <c r="S309" s="362">
        <f t="shared" si="62"/>
        <v>0</v>
      </c>
    </row>
    <row r="310" spans="1:19">
      <c r="A310" s="160"/>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6">
        <f t="shared" si="61"/>
        <v>0</v>
      </c>
      <c r="S310" s="362">
        <f t="shared" si="62"/>
        <v>0</v>
      </c>
    </row>
    <row r="311" spans="1:19">
      <c r="A311" s="160"/>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6">
        <f t="shared" si="61"/>
        <v>0</v>
      </c>
      <c r="S311" s="362">
        <f t="shared" si="62"/>
        <v>0</v>
      </c>
    </row>
    <row r="312" spans="1:19">
      <c r="A312" s="160"/>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6">
        <f t="shared" si="61"/>
        <v>0</v>
      </c>
      <c r="S312" s="362">
        <f t="shared" si="62"/>
        <v>0</v>
      </c>
    </row>
    <row r="313" spans="1:19">
      <c r="A313" s="160"/>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6">
        <f t="shared" si="61"/>
        <v>0</v>
      </c>
      <c r="S313" s="362">
        <f t="shared" si="62"/>
        <v>0</v>
      </c>
    </row>
    <row r="314" spans="1:19">
      <c r="A314" s="160"/>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6">
        <f t="shared" si="61"/>
        <v>0</v>
      </c>
      <c r="S314" s="362">
        <f t="shared" si="62"/>
        <v>0</v>
      </c>
    </row>
    <row r="315" spans="1:19">
      <c r="A315" s="160"/>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6">
        <f t="shared" si="61"/>
        <v>0</v>
      </c>
      <c r="S315" s="362">
        <f t="shared" si="62"/>
        <v>0</v>
      </c>
    </row>
    <row r="316" spans="1:19">
      <c r="A316" s="160"/>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6">
        <f t="shared" si="61"/>
        <v>0</v>
      </c>
      <c r="S316" s="362">
        <f t="shared" si="62"/>
        <v>0</v>
      </c>
    </row>
    <row r="317" spans="1:19">
      <c r="A317" s="160"/>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6">
        <f t="shared" si="61"/>
        <v>0</v>
      </c>
      <c r="S317" s="362">
        <f t="shared" si="62"/>
        <v>0</v>
      </c>
    </row>
    <row r="318" spans="1:19">
      <c r="A318" s="160"/>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6">
        <f t="shared" si="61"/>
        <v>0</v>
      </c>
      <c r="S318" s="362">
        <f t="shared" si="62"/>
        <v>0</v>
      </c>
    </row>
    <row r="319" spans="1:19">
      <c r="A319" s="160"/>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6">
        <f t="shared" si="61"/>
        <v>0</v>
      </c>
      <c r="S319" s="362">
        <f t="shared" si="62"/>
        <v>0</v>
      </c>
    </row>
    <row r="320" spans="1:19">
      <c r="A320" s="160"/>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6">
        <f t="shared" si="61"/>
        <v>0</v>
      </c>
      <c r="S320" s="362">
        <f t="shared" si="62"/>
        <v>0</v>
      </c>
    </row>
    <row r="321" spans="1:19">
      <c r="A321" s="160"/>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6">
        <f t="shared" si="61"/>
        <v>0</v>
      </c>
      <c r="S321" s="362">
        <f t="shared" ref="S321:S384" si="63">ROUND(R321*B321/10000,0)</f>
        <v>0</v>
      </c>
    </row>
    <row r="322" spans="1:19">
      <c r="A322" s="160"/>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6">
        <f t="shared" si="61"/>
        <v>0</v>
      </c>
      <c r="S322" s="362">
        <f t="shared" si="63"/>
        <v>0</v>
      </c>
    </row>
    <row r="323" spans="1:19">
      <c r="A323" s="160"/>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6">
        <f t="shared" si="61"/>
        <v>0</v>
      </c>
      <c r="S323" s="362">
        <f t="shared" si="63"/>
        <v>0</v>
      </c>
    </row>
    <row r="324" spans="1:19">
      <c r="A324" s="160"/>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6">
        <f t="shared" si="61"/>
        <v>0</v>
      </c>
      <c r="S324" s="362">
        <f t="shared" si="63"/>
        <v>0</v>
      </c>
    </row>
    <row r="325" spans="1:19">
      <c r="A325" s="160"/>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6">
        <f t="shared" si="61"/>
        <v>0</v>
      </c>
      <c r="S325" s="362">
        <f t="shared" si="63"/>
        <v>0</v>
      </c>
    </row>
    <row r="326" spans="1:19">
      <c r="A326" s="160"/>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6">
        <f t="shared" si="61"/>
        <v>0</v>
      </c>
      <c r="S326" s="362">
        <f t="shared" si="63"/>
        <v>0</v>
      </c>
    </row>
    <row r="327" spans="1:19">
      <c r="A327" s="160"/>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6">
        <f t="shared" si="61"/>
        <v>0</v>
      </c>
      <c r="S327" s="362">
        <f t="shared" si="63"/>
        <v>0</v>
      </c>
    </row>
    <row r="328" spans="1:19">
      <c r="A328" s="160"/>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6">
        <f t="shared" si="61"/>
        <v>0</v>
      </c>
      <c r="S328" s="362">
        <f t="shared" si="63"/>
        <v>0</v>
      </c>
    </row>
    <row r="329" spans="1:19">
      <c r="A329" s="160"/>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6">
        <f t="shared" si="61"/>
        <v>0</v>
      </c>
      <c r="S329" s="362">
        <f t="shared" si="63"/>
        <v>0</v>
      </c>
    </row>
    <row r="330" spans="1:19">
      <c r="A330" s="160"/>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6">
        <f t="shared" si="61"/>
        <v>0</v>
      </c>
      <c r="S330" s="362">
        <f t="shared" si="63"/>
        <v>0</v>
      </c>
    </row>
    <row r="331" spans="1:19">
      <c r="A331" s="160"/>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6">
        <f t="shared" si="61"/>
        <v>0</v>
      </c>
      <c r="S331" s="362">
        <f t="shared" si="63"/>
        <v>0</v>
      </c>
    </row>
    <row r="332" spans="1:19">
      <c r="A332" s="160"/>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6">
        <f t="shared" si="61"/>
        <v>0</v>
      </c>
      <c r="S332" s="362">
        <f t="shared" si="63"/>
        <v>0</v>
      </c>
    </row>
    <row r="333" spans="1:19">
      <c r="A333" s="160"/>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6">
        <f t="shared" si="61"/>
        <v>0</v>
      </c>
      <c r="S333" s="362">
        <f t="shared" si="63"/>
        <v>0</v>
      </c>
    </row>
    <row r="334" spans="1:19">
      <c r="A334" s="160"/>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6">
        <f t="shared" si="61"/>
        <v>0</v>
      </c>
      <c r="S334" s="362">
        <f t="shared" si="63"/>
        <v>0</v>
      </c>
    </row>
    <row r="335" spans="1:19">
      <c r="A335" s="160"/>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6">
        <f t="shared" si="61"/>
        <v>0</v>
      </c>
      <c r="S335" s="362">
        <f t="shared" si="63"/>
        <v>0</v>
      </c>
    </row>
    <row r="336" spans="1:19">
      <c r="A336" s="160"/>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6">
        <f t="shared" si="61"/>
        <v>0</v>
      </c>
      <c r="S336" s="362">
        <f t="shared" si="63"/>
        <v>0</v>
      </c>
    </row>
    <row r="337" spans="1:19">
      <c r="A337" s="160"/>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6">
        <f t="shared" si="61"/>
        <v>0</v>
      </c>
      <c r="S337" s="362">
        <f t="shared" si="63"/>
        <v>0</v>
      </c>
    </row>
    <row r="338" spans="1:19">
      <c r="A338" s="160"/>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6">
        <f t="shared" si="61"/>
        <v>0</v>
      </c>
      <c r="S338" s="362">
        <f t="shared" si="63"/>
        <v>0</v>
      </c>
    </row>
    <row r="339" spans="1:19">
      <c r="A339" s="160"/>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6">
        <f t="shared" si="61"/>
        <v>0</v>
      </c>
      <c r="S339" s="362">
        <f t="shared" si="63"/>
        <v>0</v>
      </c>
    </row>
    <row r="340" spans="1:19">
      <c r="A340" s="160"/>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6">
        <f t="shared" si="61"/>
        <v>0</v>
      </c>
      <c r="S340" s="362">
        <f t="shared" si="63"/>
        <v>0</v>
      </c>
    </row>
    <row r="341" spans="1:19">
      <c r="A341" s="160"/>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6">
        <f t="shared" si="61"/>
        <v>0</v>
      </c>
      <c r="S341" s="362">
        <f t="shared" si="63"/>
        <v>0</v>
      </c>
    </row>
    <row r="342" spans="1:19">
      <c r="A342" s="160"/>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6">
        <f t="shared" si="61"/>
        <v>0</v>
      </c>
      <c r="S342" s="362">
        <f t="shared" si="63"/>
        <v>0</v>
      </c>
    </row>
    <row r="343" spans="1:19">
      <c r="A343" s="160"/>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6">
        <f t="shared" si="61"/>
        <v>0</v>
      </c>
      <c r="S343" s="362">
        <f t="shared" si="63"/>
        <v>0</v>
      </c>
    </row>
    <row r="344" spans="1:19">
      <c r="A344" s="160"/>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6">
        <f t="shared" si="61"/>
        <v>0</v>
      </c>
      <c r="S344" s="362">
        <f t="shared" si="63"/>
        <v>0</v>
      </c>
    </row>
    <row r="345" spans="1:19">
      <c r="A345" s="160"/>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6">
        <f t="shared" si="61"/>
        <v>0</v>
      </c>
      <c r="S345" s="362">
        <f t="shared" si="63"/>
        <v>0</v>
      </c>
    </row>
    <row r="346" spans="1:19">
      <c r="A346" s="160"/>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6">
        <f t="shared" ref="R346:R409" si="72">IF(B346="",0,ROUND($R$24*C346*E346*G346*I346*K346*M346*O346*Q346,0))</f>
        <v>0</v>
      </c>
      <c r="S346" s="362">
        <f t="shared" si="63"/>
        <v>0</v>
      </c>
    </row>
    <row r="347" spans="1:19">
      <c r="A347" s="160"/>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6">
        <f t="shared" si="72"/>
        <v>0</v>
      </c>
      <c r="S347" s="362">
        <f t="shared" si="63"/>
        <v>0</v>
      </c>
    </row>
    <row r="348" spans="1:19">
      <c r="A348" s="160"/>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6">
        <f t="shared" si="72"/>
        <v>0</v>
      </c>
      <c r="S348" s="362">
        <f t="shared" si="63"/>
        <v>0</v>
      </c>
    </row>
    <row r="349" spans="1:19">
      <c r="A349" s="160"/>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6">
        <f t="shared" si="72"/>
        <v>0</v>
      </c>
      <c r="S349" s="362">
        <f t="shared" si="63"/>
        <v>0</v>
      </c>
    </row>
    <row r="350" spans="1:19">
      <c r="A350" s="160"/>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6">
        <f t="shared" si="72"/>
        <v>0</v>
      </c>
      <c r="S350" s="362">
        <f t="shared" si="63"/>
        <v>0</v>
      </c>
    </row>
    <row r="351" spans="1:19">
      <c r="A351" s="160"/>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6">
        <f t="shared" si="72"/>
        <v>0</v>
      </c>
      <c r="S351" s="362">
        <f t="shared" si="63"/>
        <v>0</v>
      </c>
    </row>
    <row r="352" spans="1:19">
      <c r="A352" s="160"/>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6">
        <f t="shared" si="72"/>
        <v>0</v>
      </c>
      <c r="S352" s="362">
        <f t="shared" si="63"/>
        <v>0</v>
      </c>
    </row>
    <row r="353" spans="1:19">
      <c r="A353" s="160"/>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6">
        <f t="shared" si="72"/>
        <v>0</v>
      </c>
      <c r="S353" s="362">
        <f t="shared" si="63"/>
        <v>0</v>
      </c>
    </row>
    <row r="354" spans="1:19">
      <c r="A354" s="160"/>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6">
        <f t="shared" si="72"/>
        <v>0</v>
      </c>
      <c r="S354" s="362">
        <f t="shared" si="63"/>
        <v>0</v>
      </c>
    </row>
    <row r="355" spans="1:19">
      <c r="A355" s="160"/>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6">
        <f t="shared" si="72"/>
        <v>0</v>
      </c>
      <c r="S355" s="362">
        <f t="shared" si="63"/>
        <v>0</v>
      </c>
    </row>
    <row r="356" spans="1:19">
      <c r="A356" s="160"/>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6">
        <f t="shared" si="72"/>
        <v>0</v>
      </c>
      <c r="S356" s="362">
        <f t="shared" si="63"/>
        <v>0</v>
      </c>
    </row>
    <row r="357" spans="1:19">
      <c r="A357" s="160"/>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6">
        <f t="shared" si="72"/>
        <v>0</v>
      </c>
      <c r="S357" s="362">
        <f t="shared" si="63"/>
        <v>0</v>
      </c>
    </row>
    <row r="358" spans="1:19">
      <c r="A358" s="160"/>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6">
        <f t="shared" si="72"/>
        <v>0</v>
      </c>
      <c r="S358" s="362">
        <f t="shared" si="63"/>
        <v>0</v>
      </c>
    </row>
    <row r="359" spans="1:19">
      <c r="A359" s="160"/>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6">
        <f t="shared" si="72"/>
        <v>0</v>
      </c>
      <c r="S359" s="362">
        <f t="shared" si="63"/>
        <v>0</v>
      </c>
    </row>
    <row r="360" spans="1:19">
      <c r="A360" s="160"/>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6">
        <f t="shared" si="72"/>
        <v>0</v>
      </c>
      <c r="S360" s="362">
        <f t="shared" si="63"/>
        <v>0</v>
      </c>
    </row>
    <row r="361" spans="1:19">
      <c r="A361" s="160"/>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6">
        <f t="shared" si="72"/>
        <v>0</v>
      </c>
      <c r="S361" s="362">
        <f t="shared" si="63"/>
        <v>0</v>
      </c>
    </row>
    <row r="362" spans="1:19">
      <c r="A362" s="160"/>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6">
        <f t="shared" si="72"/>
        <v>0</v>
      </c>
      <c r="S362" s="362">
        <f t="shared" si="63"/>
        <v>0</v>
      </c>
    </row>
    <row r="363" spans="1:19">
      <c r="A363" s="160"/>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6">
        <f t="shared" si="72"/>
        <v>0</v>
      </c>
      <c r="S363" s="362">
        <f t="shared" si="63"/>
        <v>0</v>
      </c>
    </row>
    <row r="364" spans="1:19">
      <c r="A364" s="160"/>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6">
        <f t="shared" si="72"/>
        <v>0</v>
      </c>
      <c r="S364" s="362">
        <f t="shared" si="63"/>
        <v>0</v>
      </c>
    </row>
    <row r="365" spans="1:19">
      <c r="A365" s="160"/>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6">
        <f t="shared" si="72"/>
        <v>0</v>
      </c>
      <c r="S365" s="362">
        <f t="shared" si="63"/>
        <v>0</v>
      </c>
    </row>
    <row r="366" spans="1:19">
      <c r="A366" s="160"/>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6">
        <f t="shared" si="72"/>
        <v>0</v>
      </c>
      <c r="S366" s="362">
        <f t="shared" si="63"/>
        <v>0</v>
      </c>
    </row>
    <row r="367" spans="1:19">
      <c r="A367" s="160"/>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6">
        <f t="shared" si="72"/>
        <v>0</v>
      </c>
      <c r="S367" s="362">
        <f t="shared" si="63"/>
        <v>0</v>
      </c>
    </row>
    <row r="368" spans="1:19">
      <c r="A368" s="160"/>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6">
        <f t="shared" si="72"/>
        <v>0</v>
      </c>
      <c r="S368" s="362">
        <f t="shared" si="63"/>
        <v>0</v>
      </c>
    </row>
    <row r="369" spans="1:19">
      <c r="A369" s="160"/>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6">
        <f t="shared" si="72"/>
        <v>0</v>
      </c>
      <c r="S369" s="362">
        <f t="shared" si="63"/>
        <v>0</v>
      </c>
    </row>
    <row r="370" spans="1:19">
      <c r="A370" s="160"/>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6">
        <f t="shared" si="72"/>
        <v>0</v>
      </c>
      <c r="S370" s="362">
        <f t="shared" si="63"/>
        <v>0</v>
      </c>
    </row>
    <row r="371" spans="1:19">
      <c r="A371" s="160"/>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6">
        <f t="shared" si="72"/>
        <v>0</v>
      </c>
      <c r="S371" s="362">
        <f t="shared" si="63"/>
        <v>0</v>
      </c>
    </row>
    <row r="372" spans="1:19">
      <c r="A372" s="160"/>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6">
        <f t="shared" si="72"/>
        <v>0</v>
      </c>
      <c r="S372" s="362">
        <f t="shared" si="63"/>
        <v>0</v>
      </c>
    </row>
    <row r="373" spans="1:19">
      <c r="A373" s="160"/>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6">
        <f t="shared" si="72"/>
        <v>0</v>
      </c>
      <c r="S373" s="362">
        <f t="shared" si="63"/>
        <v>0</v>
      </c>
    </row>
    <row r="374" spans="1:19">
      <c r="A374" s="160"/>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6">
        <f t="shared" si="72"/>
        <v>0</v>
      </c>
      <c r="S374" s="362">
        <f t="shared" si="63"/>
        <v>0</v>
      </c>
    </row>
    <row r="375" spans="1:19">
      <c r="A375" s="160"/>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6">
        <f t="shared" si="72"/>
        <v>0</v>
      </c>
      <c r="S375" s="362">
        <f t="shared" si="63"/>
        <v>0</v>
      </c>
    </row>
    <row r="376" spans="1:19">
      <c r="A376" s="160"/>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6">
        <f t="shared" si="72"/>
        <v>0</v>
      </c>
      <c r="S376" s="362">
        <f t="shared" si="63"/>
        <v>0</v>
      </c>
    </row>
    <row r="377" spans="1:19">
      <c r="A377" s="160"/>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6">
        <f t="shared" si="72"/>
        <v>0</v>
      </c>
      <c r="S377" s="362">
        <f t="shared" si="63"/>
        <v>0</v>
      </c>
    </row>
    <row r="378" spans="1:19">
      <c r="A378" s="160"/>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6">
        <f t="shared" si="72"/>
        <v>0</v>
      </c>
      <c r="S378" s="362">
        <f t="shared" si="63"/>
        <v>0</v>
      </c>
    </row>
    <row r="379" spans="1:19">
      <c r="A379" s="160"/>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6">
        <f t="shared" si="72"/>
        <v>0</v>
      </c>
      <c r="S379" s="362">
        <f t="shared" si="63"/>
        <v>0</v>
      </c>
    </row>
    <row r="380" spans="1:19">
      <c r="A380" s="160"/>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6">
        <f t="shared" si="72"/>
        <v>0</v>
      </c>
      <c r="S380" s="362">
        <f t="shared" si="63"/>
        <v>0</v>
      </c>
    </row>
    <row r="381" spans="1:19">
      <c r="A381" s="160"/>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6">
        <f t="shared" si="72"/>
        <v>0</v>
      </c>
      <c r="S381" s="362">
        <f t="shared" si="63"/>
        <v>0</v>
      </c>
    </row>
    <row r="382" spans="1:19">
      <c r="A382" s="160"/>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6">
        <f t="shared" si="72"/>
        <v>0</v>
      </c>
      <c r="S382" s="362">
        <f t="shared" si="63"/>
        <v>0</v>
      </c>
    </row>
    <row r="383" spans="1:19">
      <c r="A383" s="160"/>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6">
        <f t="shared" si="72"/>
        <v>0</v>
      </c>
      <c r="S383" s="362">
        <f t="shared" si="63"/>
        <v>0</v>
      </c>
    </row>
    <row r="384" spans="1:19">
      <c r="A384" s="160"/>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6">
        <f t="shared" si="72"/>
        <v>0</v>
      </c>
      <c r="S384" s="362">
        <f t="shared" si="63"/>
        <v>0</v>
      </c>
    </row>
    <row r="385" spans="1:19">
      <c r="A385" s="160"/>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6">
        <f t="shared" si="72"/>
        <v>0</v>
      </c>
      <c r="S385" s="362">
        <f t="shared" ref="S385:S422" si="73">ROUND(R385*B385/10000,0)</f>
        <v>0</v>
      </c>
    </row>
    <row r="386" spans="1:19">
      <c r="A386" s="160"/>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6">
        <f t="shared" si="72"/>
        <v>0</v>
      </c>
      <c r="S386" s="362">
        <f t="shared" si="73"/>
        <v>0</v>
      </c>
    </row>
    <row r="387" spans="1:19">
      <c r="A387" s="160"/>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6">
        <f t="shared" si="72"/>
        <v>0</v>
      </c>
      <c r="S387" s="362">
        <f t="shared" si="73"/>
        <v>0</v>
      </c>
    </row>
    <row r="388" spans="1:19">
      <c r="A388" s="160"/>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6">
        <f t="shared" si="72"/>
        <v>0</v>
      </c>
      <c r="S388" s="362">
        <f t="shared" si="73"/>
        <v>0</v>
      </c>
    </row>
    <row r="389" spans="1:19">
      <c r="A389" s="160"/>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6">
        <f t="shared" si="72"/>
        <v>0</v>
      </c>
      <c r="S389" s="362">
        <f t="shared" si="73"/>
        <v>0</v>
      </c>
    </row>
    <row r="390" spans="1:19">
      <c r="A390" s="160"/>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6">
        <f t="shared" si="72"/>
        <v>0</v>
      </c>
      <c r="S390" s="362">
        <f t="shared" si="73"/>
        <v>0</v>
      </c>
    </row>
    <row r="391" spans="1:19">
      <c r="A391" s="160"/>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6">
        <f t="shared" si="72"/>
        <v>0</v>
      </c>
      <c r="S391" s="362">
        <f t="shared" si="73"/>
        <v>0</v>
      </c>
    </row>
    <row r="392" spans="1:19">
      <c r="A392" s="160"/>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6">
        <f t="shared" si="72"/>
        <v>0</v>
      </c>
      <c r="S392" s="362">
        <f t="shared" si="73"/>
        <v>0</v>
      </c>
    </row>
    <row r="393" spans="1:19">
      <c r="A393" s="160"/>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6">
        <f t="shared" si="72"/>
        <v>0</v>
      </c>
      <c r="S393" s="362">
        <f t="shared" si="73"/>
        <v>0</v>
      </c>
    </row>
    <row r="394" spans="1:19">
      <c r="A394" s="160"/>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6">
        <f t="shared" si="72"/>
        <v>0</v>
      </c>
      <c r="S394" s="362">
        <f t="shared" si="73"/>
        <v>0</v>
      </c>
    </row>
    <row r="395" spans="1:19">
      <c r="A395" s="160"/>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6">
        <f t="shared" si="72"/>
        <v>0</v>
      </c>
      <c r="S395" s="362">
        <f t="shared" si="73"/>
        <v>0</v>
      </c>
    </row>
    <row r="396" spans="1:19">
      <c r="A396" s="160"/>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6">
        <f t="shared" si="72"/>
        <v>0</v>
      </c>
      <c r="S396" s="362">
        <f t="shared" si="73"/>
        <v>0</v>
      </c>
    </row>
    <row r="397" spans="1:19">
      <c r="A397" s="160"/>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6">
        <f t="shared" si="72"/>
        <v>0</v>
      </c>
      <c r="S397" s="362">
        <f t="shared" si="73"/>
        <v>0</v>
      </c>
    </row>
    <row r="398" spans="1:19">
      <c r="A398" s="160"/>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6">
        <f t="shared" si="72"/>
        <v>0</v>
      </c>
      <c r="S398" s="362">
        <f t="shared" si="73"/>
        <v>0</v>
      </c>
    </row>
    <row r="399" spans="1:19">
      <c r="A399" s="160"/>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6">
        <f t="shared" si="72"/>
        <v>0</v>
      </c>
      <c r="S399" s="362">
        <f t="shared" si="73"/>
        <v>0</v>
      </c>
    </row>
    <row r="400" spans="1:19">
      <c r="A400" s="160"/>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6">
        <f t="shared" si="72"/>
        <v>0</v>
      </c>
      <c r="S400" s="362">
        <f t="shared" si="73"/>
        <v>0</v>
      </c>
    </row>
    <row r="401" spans="1:19">
      <c r="A401" s="160"/>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6">
        <f t="shared" si="72"/>
        <v>0</v>
      </c>
      <c r="S401" s="362">
        <f t="shared" si="73"/>
        <v>0</v>
      </c>
    </row>
    <row r="402" spans="1:19">
      <c r="A402" s="160"/>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6">
        <f t="shared" si="72"/>
        <v>0</v>
      </c>
      <c r="S402" s="362">
        <f t="shared" si="73"/>
        <v>0</v>
      </c>
    </row>
    <row r="403" spans="1:19">
      <c r="A403" s="160"/>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6">
        <f t="shared" si="72"/>
        <v>0</v>
      </c>
      <c r="S403" s="362">
        <f t="shared" si="73"/>
        <v>0</v>
      </c>
    </row>
    <row r="404" spans="1:19">
      <c r="A404" s="160"/>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6">
        <f t="shared" si="72"/>
        <v>0</v>
      </c>
      <c r="S404" s="362">
        <f t="shared" si="73"/>
        <v>0</v>
      </c>
    </row>
    <row r="405" spans="1:19">
      <c r="A405" s="160"/>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6">
        <f t="shared" si="72"/>
        <v>0</v>
      </c>
      <c r="S405" s="362">
        <f t="shared" si="73"/>
        <v>0</v>
      </c>
    </row>
    <row r="406" spans="1:19">
      <c r="A406" s="160"/>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6">
        <f t="shared" si="72"/>
        <v>0</v>
      </c>
      <c r="S406" s="362">
        <f t="shared" si="73"/>
        <v>0</v>
      </c>
    </row>
    <row r="407" spans="1:19">
      <c r="A407" s="160"/>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6">
        <f t="shared" si="72"/>
        <v>0</v>
      </c>
      <c r="S407" s="362">
        <f t="shared" si="73"/>
        <v>0</v>
      </c>
    </row>
    <row r="408" spans="1:19">
      <c r="A408" s="160"/>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6">
        <f t="shared" si="72"/>
        <v>0</v>
      </c>
      <c r="S408" s="362">
        <f t="shared" si="73"/>
        <v>0</v>
      </c>
    </row>
    <row r="409" spans="1:19">
      <c r="A409" s="160"/>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6">
        <f t="shared" si="72"/>
        <v>0</v>
      </c>
      <c r="S409" s="362">
        <f t="shared" si="73"/>
        <v>0</v>
      </c>
    </row>
    <row r="410" spans="1:19">
      <c r="A410" s="160"/>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6">
        <f t="shared" ref="R410:R473" si="82">IF(B410="",0,ROUND($R$24*C410*E410*G410*I410*K410*M410*O410*Q410,0))</f>
        <v>0</v>
      </c>
      <c r="S410" s="362">
        <f t="shared" si="73"/>
        <v>0</v>
      </c>
    </row>
    <row r="411" spans="1:19">
      <c r="A411" s="160"/>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6">
        <f t="shared" si="82"/>
        <v>0</v>
      </c>
      <c r="S411" s="362">
        <f t="shared" si="73"/>
        <v>0</v>
      </c>
    </row>
    <row r="412" spans="1:19">
      <c r="A412" s="160"/>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6">
        <f t="shared" si="82"/>
        <v>0</v>
      </c>
      <c r="S412" s="362">
        <f t="shared" si="73"/>
        <v>0</v>
      </c>
    </row>
    <row r="413" spans="1:19">
      <c r="A413" s="160"/>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6">
        <f t="shared" si="82"/>
        <v>0</v>
      </c>
      <c r="S413" s="362">
        <f t="shared" si="73"/>
        <v>0</v>
      </c>
    </row>
    <row r="414" spans="1:19">
      <c r="A414" s="160"/>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6">
        <f t="shared" si="82"/>
        <v>0</v>
      </c>
      <c r="S414" s="362">
        <f t="shared" si="73"/>
        <v>0</v>
      </c>
    </row>
    <row r="415" spans="1:19">
      <c r="A415" s="160"/>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6">
        <f t="shared" si="82"/>
        <v>0</v>
      </c>
      <c r="S415" s="362">
        <f t="shared" si="73"/>
        <v>0</v>
      </c>
    </row>
    <row r="416" spans="1:19">
      <c r="A416" s="160"/>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6">
        <f t="shared" si="82"/>
        <v>0</v>
      </c>
      <c r="S416" s="362">
        <f t="shared" si="73"/>
        <v>0</v>
      </c>
    </row>
    <row r="417" spans="1:19">
      <c r="A417" s="160"/>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6">
        <f t="shared" si="82"/>
        <v>0</v>
      </c>
      <c r="S417" s="362">
        <f t="shared" si="73"/>
        <v>0</v>
      </c>
    </row>
    <row r="418" spans="1:19">
      <c r="A418" s="160"/>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6">
        <f t="shared" si="82"/>
        <v>0</v>
      </c>
      <c r="S418" s="362">
        <f t="shared" si="73"/>
        <v>0</v>
      </c>
    </row>
    <row r="419" spans="1:19">
      <c r="A419" s="160"/>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6">
        <f t="shared" si="82"/>
        <v>0</v>
      </c>
      <c r="S419" s="362">
        <f t="shared" si="73"/>
        <v>0</v>
      </c>
    </row>
    <row r="420" spans="1:19">
      <c r="A420" s="160"/>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6">
        <f t="shared" si="82"/>
        <v>0</v>
      </c>
      <c r="S420" s="362">
        <f t="shared" si="73"/>
        <v>0</v>
      </c>
    </row>
    <row r="421" spans="1:19">
      <c r="A421" s="160"/>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6">
        <f t="shared" si="82"/>
        <v>0</v>
      </c>
      <c r="S421" s="362">
        <f t="shared" si="73"/>
        <v>0</v>
      </c>
    </row>
    <row r="422" spans="1:19">
      <c r="A422" s="160"/>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6">
        <f t="shared" si="82"/>
        <v>0</v>
      </c>
      <c r="S422" s="362">
        <f t="shared" si="73"/>
        <v>0</v>
      </c>
    </row>
    <row r="423" spans="1:19">
      <c r="A423" s="160"/>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6">
        <f t="shared" si="82"/>
        <v>0</v>
      </c>
      <c r="S423" s="362">
        <f t="shared" ref="S423:S467" si="83">ROUND(R423*B423/10000,0)</f>
        <v>0</v>
      </c>
    </row>
    <row r="424" spans="1:19">
      <c r="A424" s="160"/>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6">
        <f t="shared" si="82"/>
        <v>0</v>
      </c>
      <c r="S424" s="362">
        <f t="shared" si="83"/>
        <v>0</v>
      </c>
    </row>
    <row r="425" spans="1:19">
      <c r="A425" s="160"/>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6">
        <f t="shared" si="82"/>
        <v>0</v>
      </c>
      <c r="S425" s="362">
        <f t="shared" si="83"/>
        <v>0</v>
      </c>
    </row>
    <row r="426" spans="1:19">
      <c r="A426" s="160"/>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6">
        <f t="shared" si="82"/>
        <v>0</v>
      </c>
      <c r="S426" s="362">
        <f t="shared" si="83"/>
        <v>0</v>
      </c>
    </row>
    <row r="427" spans="1:19">
      <c r="A427" s="160"/>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6">
        <f t="shared" si="82"/>
        <v>0</v>
      </c>
      <c r="S427" s="362">
        <f t="shared" si="83"/>
        <v>0</v>
      </c>
    </row>
    <row r="428" spans="1:19">
      <c r="A428" s="160"/>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6">
        <f t="shared" si="82"/>
        <v>0</v>
      </c>
      <c r="S428" s="362">
        <f t="shared" si="83"/>
        <v>0</v>
      </c>
    </row>
    <row r="429" spans="1:19">
      <c r="A429" s="160"/>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6">
        <f t="shared" si="82"/>
        <v>0</v>
      </c>
      <c r="S429" s="362">
        <f t="shared" si="83"/>
        <v>0</v>
      </c>
    </row>
    <row r="430" spans="1:19">
      <c r="A430" s="160"/>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6">
        <f t="shared" si="82"/>
        <v>0</v>
      </c>
      <c r="S430" s="362">
        <f t="shared" si="83"/>
        <v>0</v>
      </c>
    </row>
    <row r="431" spans="1:19">
      <c r="A431" s="160"/>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6">
        <f t="shared" si="82"/>
        <v>0</v>
      </c>
      <c r="S431" s="362">
        <f t="shared" si="83"/>
        <v>0</v>
      </c>
    </row>
    <row r="432" spans="1:19">
      <c r="A432" s="160"/>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6">
        <f t="shared" si="82"/>
        <v>0</v>
      </c>
      <c r="S432" s="362">
        <f t="shared" si="83"/>
        <v>0</v>
      </c>
    </row>
    <row r="433" spans="1:19">
      <c r="A433" s="160"/>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6">
        <f t="shared" si="82"/>
        <v>0</v>
      </c>
      <c r="S433" s="362">
        <f t="shared" si="83"/>
        <v>0</v>
      </c>
    </row>
    <row r="434" spans="1:19">
      <c r="A434" s="160"/>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6">
        <f t="shared" si="82"/>
        <v>0</v>
      </c>
      <c r="S434" s="362">
        <f t="shared" si="83"/>
        <v>0</v>
      </c>
    </row>
    <row r="435" spans="1:19">
      <c r="A435" s="160"/>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6">
        <f t="shared" si="82"/>
        <v>0</v>
      </c>
      <c r="S435" s="362">
        <f t="shared" si="83"/>
        <v>0</v>
      </c>
    </row>
    <row r="436" spans="1:19">
      <c r="A436" s="160"/>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6">
        <f t="shared" si="82"/>
        <v>0</v>
      </c>
      <c r="S436" s="362">
        <f t="shared" si="83"/>
        <v>0</v>
      </c>
    </row>
    <row r="437" spans="1:19">
      <c r="A437" s="160"/>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6">
        <f t="shared" si="82"/>
        <v>0</v>
      </c>
      <c r="S437" s="362">
        <f t="shared" si="83"/>
        <v>0</v>
      </c>
    </row>
    <row r="438" spans="1:19">
      <c r="A438" s="160"/>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6">
        <f t="shared" si="82"/>
        <v>0</v>
      </c>
      <c r="S438" s="362">
        <f t="shared" si="83"/>
        <v>0</v>
      </c>
    </row>
    <row r="439" spans="1:19">
      <c r="A439" s="160"/>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6">
        <f t="shared" si="82"/>
        <v>0</v>
      </c>
      <c r="S439" s="362">
        <f t="shared" si="83"/>
        <v>0</v>
      </c>
    </row>
    <row r="440" spans="1:19">
      <c r="A440" s="160"/>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6">
        <f t="shared" si="82"/>
        <v>0</v>
      </c>
      <c r="S440" s="362">
        <f t="shared" si="83"/>
        <v>0</v>
      </c>
    </row>
    <row r="441" spans="1:19">
      <c r="A441" s="160"/>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6">
        <f t="shared" si="82"/>
        <v>0</v>
      </c>
      <c r="S441" s="362">
        <f t="shared" si="83"/>
        <v>0</v>
      </c>
    </row>
    <row r="442" spans="1:19">
      <c r="A442" s="160"/>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6">
        <f t="shared" si="82"/>
        <v>0</v>
      </c>
      <c r="S442" s="362">
        <f t="shared" si="83"/>
        <v>0</v>
      </c>
    </row>
    <row r="443" spans="1:19">
      <c r="A443" s="160"/>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6">
        <f t="shared" si="82"/>
        <v>0</v>
      </c>
      <c r="S443" s="362">
        <f t="shared" si="83"/>
        <v>0</v>
      </c>
    </row>
    <row r="444" spans="1:19">
      <c r="A444" s="160"/>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6">
        <f t="shared" si="82"/>
        <v>0</v>
      </c>
      <c r="S444" s="362">
        <f t="shared" si="83"/>
        <v>0</v>
      </c>
    </row>
    <row r="445" spans="1:19">
      <c r="A445" s="160"/>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6">
        <f t="shared" si="82"/>
        <v>0</v>
      </c>
      <c r="S445" s="362">
        <f t="shared" si="83"/>
        <v>0</v>
      </c>
    </row>
    <row r="446" spans="1:19">
      <c r="A446" s="160"/>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6">
        <f t="shared" si="82"/>
        <v>0</v>
      </c>
      <c r="S446" s="362">
        <f t="shared" si="83"/>
        <v>0</v>
      </c>
    </row>
    <row r="447" spans="1:19">
      <c r="A447" s="160"/>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6">
        <f t="shared" si="82"/>
        <v>0</v>
      </c>
      <c r="S447" s="362">
        <f t="shared" si="83"/>
        <v>0</v>
      </c>
    </row>
    <row r="448" spans="1:19">
      <c r="A448" s="160"/>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6">
        <f t="shared" si="82"/>
        <v>0</v>
      </c>
      <c r="S448" s="362">
        <f t="shared" si="83"/>
        <v>0</v>
      </c>
    </row>
    <row r="449" spans="1:19">
      <c r="A449" s="160"/>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6">
        <f t="shared" si="82"/>
        <v>0</v>
      </c>
      <c r="S449" s="362">
        <f t="shared" si="83"/>
        <v>0</v>
      </c>
    </row>
    <row r="450" spans="1:19">
      <c r="A450" s="160"/>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6">
        <f t="shared" si="82"/>
        <v>0</v>
      </c>
      <c r="S450" s="362">
        <f t="shared" si="83"/>
        <v>0</v>
      </c>
    </row>
    <row r="451" spans="1:19">
      <c r="A451" s="160"/>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6">
        <f t="shared" si="82"/>
        <v>0</v>
      </c>
      <c r="S451" s="362">
        <f t="shared" si="83"/>
        <v>0</v>
      </c>
    </row>
    <row r="452" spans="1:19">
      <c r="A452" s="160"/>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6">
        <f t="shared" si="82"/>
        <v>0</v>
      </c>
      <c r="S452" s="362">
        <f t="shared" si="83"/>
        <v>0</v>
      </c>
    </row>
    <row r="453" spans="1:19">
      <c r="A453" s="160"/>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6">
        <f t="shared" si="82"/>
        <v>0</v>
      </c>
      <c r="S453" s="362">
        <f t="shared" si="83"/>
        <v>0</v>
      </c>
    </row>
    <row r="454" spans="1:19">
      <c r="A454" s="160"/>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6">
        <f t="shared" si="82"/>
        <v>0</v>
      </c>
      <c r="S454" s="362">
        <f t="shared" si="83"/>
        <v>0</v>
      </c>
    </row>
    <row r="455" spans="1:19">
      <c r="A455" s="160"/>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6">
        <f t="shared" si="82"/>
        <v>0</v>
      </c>
      <c r="S455" s="362">
        <f t="shared" si="83"/>
        <v>0</v>
      </c>
    </row>
    <row r="456" spans="1:19">
      <c r="A456" s="160"/>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6">
        <f t="shared" si="82"/>
        <v>0</v>
      </c>
      <c r="S456" s="362">
        <f t="shared" si="83"/>
        <v>0</v>
      </c>
    </row>
    <row r="457" spans="1:19">
      <c r="A457" s="160"/>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6">
        <f t="shared" si="82"/>
        <v>0</v>
      </c>
      <c r="S457" s="362">
        <f t="shared" si="83"/>
        <v>0</v>
      </c>
    </row>
    <row r="458" spans="1:19">
      <c r="A458" s="160"/>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6">
        <f t="shared" si="82"/>
        <v>0</v>
      </c>
      <c r="S458" s="362">
        <f t="shared" si="83"/>
        <v>0</v>
      </c>
    </row>
    <row r="459" spans="1:19">
      <c r="A459" s="160"/>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6">
        <f t="shared" si="82"/>
        <v>0</v>
      </c>
      <c r="S459" s="362">
        <f t="shared" si="83"/>
        <v>0</v>
      </c>
    </row>
    <row r="460" spans="1:19">
      <c r="A460" s="160"/>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6">
        <f t="shared" si="82"/>
        <v>0</v>
      </c>
      <c r="S460" s="362">
        <f t="shared" si="83"/>
        <v>0</v>
      </c>
    </row>
    <row r="461" spans="1:19">
      <c r="A461" s="160"/>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6">
        <f t="shared" si="82"/>
        <v>0</v>
      </c>
      <c r="S461" s="362">
        <f t="shared" si="83"/>
        <v>0</v>
      </c>
    </row>
    <row r="462" spans="1:19">
      <c r="A462" s="160"/>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6">
        <f t="shared" si="82"/>
        <v>0</v>
      </c>
      <c r="S462" s="362">
        <f t="shared" si="83"/>
        <v>0</v>
      </c>
    </row>
    <row r="463" spans="1:19">
      <c r="A463" s="160"/>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6">
        <f t="shared" si="82"/>
        <v>0</v>
      </c>
      <c r="S463" s="362">
        <f t="shared" si="83"/>
        <v>0</v>
      </c>
    </row>
    <row r="464" spans="1:19">
      <c r="A464" s="160"/>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6">
        <f t="shared" si="82"/>
        <v>0</v>
      </c>
      <c r="S464" s="362">
        <f t="shared" si="83"/>
        <v>0</v>
      </c>
    </row>
    <row r="465" spans="1:19">
      <c r="A465" s="160"/>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6">
        <f t="shared" si="82"/>
        <v>0</v>
      </c>
      <c r="S465" s="362">
        <f t="shared" si="83"/>
        <v>0</v>
      </c>
    </row>
    <row r="466" spans="1:19">
      <c r="A466" s="160"/>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6">
        <f t="shared" si="82"/>
        <v>0</v>
      </c>
      <c r="S466" s="362">
        <f t="shared" si="83"/>
        <v>0</v>
      </c>
    </row>
    <row r="467" spans="1:19">
      <c r="A467" s="160"/>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6">
        <f t="shared" si="82"/>
        <v>0</v>
      </c>
      <c r="S467" s="362">
        <f t="shared" si="83"/>
        <v>0</v>
      </c>
    </row>
    <row r="468" spans="1:19">
      <c r="A468" s="160"/>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6">
        <f t="shared" si="82"/>
        <v>0</v>
      </c>
      <c r="S468" s="362">
        <f t="shared" ref="S468:S497" si="84">ROUND(R468*B468/10000,0)</f>
        <v>0</v>
      </c>
    </row>
    <row r="469" spans="1:19">
      <c r="A469" s="160"/>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6">
        <f t="shared" si="82"/>
        <v>0</v>
      </c>
      <c r="S469" s="362">
        <f t="shared" si="84"/>
        <v>0</v>
      </c>
    </row>
    <row r="470" spans="1:19">
      <c r="A470" s="160"/>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6">
        <f t="shared" si="82"/>
        <v>0</v>
      </c>
      <c r="S470" s="362">
        <f t="shared" si="84"/>
        <v>0</v>
      </c>
    </row>
    <row r="471" spans="1:19">
      <c r="A471" s="160"/>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6">
        <f t="shared" si="82"/>
        <v>0</v>
      </c>
      <c r="S471" s="362">
        <f t="shared" si="84"/>
        <v>0</v>
      </c>
    </row>
    <row r="472" spans="1:19">
      <c r="A472" s="160"/>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6">
        <f t="shared" si="82"/>
        <v>0</v>
      </c>
      <c r="S472" s="362">
        <f t="shared" si="84"/>
        <v>0</v>
      </c>
    </row>
    <row r="473" spans="1:19">
      <c r="A473" s="160"/>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6">
        <f t="shared" si="82"/>
        <v>0</v>
      </c>
      <c r="S473" s="362">
        <f t="shared" si="84"/>
        <v>0</v>
      </c>
    </row>
    <row r="474" spans="1:19">
      <c r="A474" s="160"/>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6">
        <f t="shared" ref="R474:R524" si="93">IF(B474="",0,ROUND($R$24*C474*E474*G474*I474*K474*M474*O474*Q474,0))</f>
        <v>0</v>
      </c>
      <c r="S474" s="362">
        <f t="shared" si="84"/>
        <v>0</v>
      </c>
    </row>
    <row r="475" spans="1:19">
      <c r="A475" s="160"/>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6">
        <f t="shared" si="93"/>
        <v>0</v>
      </c>
      <c r="S475" s="362">
        <f t="shared" si="84"/>
        <v>0</v>
      </c>
    </row>
    <row r="476" spans="1:19">
      <c r="A476" s="160"/>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6">
        <f t="shared" si="93"/>
        <v>0</v>
      </c>
      <c r="S476" s="362">
        <f t="shared" si="84"/>
        <v>0</v>
      </c>
    </row>
    <row r="477" spans="1:19">
      <c r="A477" s="160"/>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6">
        <f t="shared" si="93"/>
        <v>0</v>
      </c>
      <c r="S477" s="362">
        <f t="shared" si="84"/>
        <v>0</v>
      </c>
    </row>
    <row r="478" spans="1:19">
      <c r="A478" s="160"/>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6">
        <f t="shared" si="93"/>
        <v>0</v>
      </c>
      <c r="S478" s="362">
        <f t="shared" si="84"/>
        <v>0</v>
      </c>
    </row>
    <row r="479" spans="1:19">
      <c r="A479" s="160"/>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6">
        <f t="shared" si="93"/>
        <v>0</v>
      </c>
      <c r="S479" s="362">
        <f t="shared" si="84"/>
        <v>0</v>
      </c>
    </row>
    <row r="480" spans="1:19">
      <c r="A480" s="160"/>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6">
        <f t="shared" si="93"/>
        <v>0</v>
      </c>
      <c r="S480" s="362">
        <f t="shared" si="84"/>
        <v>0</v>
      </c>
    </row>
    <row r="481" spans="1:19">
      <c r="A481" s="160"/>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6">
        <f t="shared" si="93"/>
        <v>0</v>
      </c>
      <c r="S481" s="362">
        <f t="shared" si="84"/>
        <v>0</v>
      </c>
    </row>
    <row r="482" spans="1:19">
      <c r="A482" s="160"/>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6">
        <f t="shared" si="93"/>
        <v>0</v>
      </c>
      <c r="S482" s="362">
        <f t="shared" si="84"/>
        <v>0</v>
      </c>
    </row>
    <row r="483" spans="1:19">
      <c r="A483" s="160"/>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6">
        <f t="shared" si="93"/>
        <v>0</v>
      </c>
      <c r="S483" s="362">
        <f t="shared" si="84"/>
        <v>0</v>
      </c>
    </row>
    <row r="484" spans="1:19">
      <c r="A484" s="160"/>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6">
        <f t="shared" si="93"/>
        <v>0</v>
      </c>
      <c r="S484" s="362">
        <f t="shared" si="84"/>
        <v>0</v>
      </c>
    </row>
    <row r="485" spans="1:19">
      <c r="A485" s="160"/>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6">
        <f t="shared" si="93"/>
        <v>0</v>
      </c>
      <c r="S485" s="362">
        <f t="shared" si="84"/>
        <v>0</v>
      </c>
    </row>
    <row r="486" spans="1:19">
      <c r="A486" s="160"/>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6">
        <f t="shared" si="93"/>
        <v>0</v>
      </c>
      <c r="S486" s="362">
        <f t="shared" si="84"/>
        <v>0</v>
      </c>
    </row>
    <row r="487" spans="1:19">
      <c r="A487" s="160"/>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6">
        <f t="shared" si="93"/>
        <v>0</v>
      </c>
      <c r="S487" s="362">
        <f t="shared" si="84"/>
        <v>0</v>
      </c>
    </row>
    <row r="488" spans="1:19">
      <c r="A488" s="160"/>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6">
        <f t="shared" si="93"/>
        <v>0</v>
      </c>
      <c r="S488" s="362">
        <f t="shared" si="84"/>
        <v>0</v>
      </c>
    </row>
    <row r="489" spans="1:19">
      <c r="A489" s="160"/>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6">
        <f t="shared" si="93"/>
        <v>0</v>
      </c>
      <c r="S489" s="362">
        <f t="shared" si="84"/>
        <v>0</v>
      </c>
    </row>
    <row r="490" spans="1:19">
      <c r="A490" s="160"/>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6">
        <f t="shared" si="93"/>
        <v>0</v>
      </c>
      <c r="S490" s="362">
        <f t="shared" si="84"/>
        <v>0</v>
      </c>
    </row>
    <row r="491" spans="1:19">
      <c r="A491" s="160"/>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6">
        <f t="shared" si="93"/>
        <v>0</v>
      </c>
      <c r="S491" s="362">
        <f t="shared" si="84"/>
        <v>0</v>
      </c>
    </row>
    <row r="492" spans="1:19">
      <c r="A492" s="160"/>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6">
        <f t="shared" si="93"/>
        <v>0</v>
      </c>
      <c r="S492" s="362">
        <f t="shared" si="84"/>
        <v>0</v>
      </c>
    </row>
    <row r="493" spans="1:19">
      <c r="A493" s="160"/>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6">
        <f t="shared" si="93"/>
        <v>0</v>
      </c>
      <c r="S493" s="362">
        <f t="shared" si="84"/>
        <v>0</v>
      </c>
    </row>
    <row r="494" spans="1:19">
      <c r="A494" s="160"/>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6">
        <f t="shared" si="93"/>
        <v>0</v>
      </c>
      <c r="S494" s="362">
        <f t="shared" si="84"/>
        <v>0</v>
      </c>
    </row>
    <row r="495" spans="1:19">
      <c r="A495" s="160"/>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6">
        <f t="shared" si="93"/>
        <v>0</v>
      </c>
      <c r="S495" s="362">
        <f t="shared" si="84"/>
        <v>0</v>
      </c>
    </row>
    <row r="496" spans="1:19">
      <c r="A496" s="160"/>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6">
        <f t="shared" si="93"/>
        <v>0</v>
      </c>
      <c r="S496" s="362">
        <f t="shared" si="84"/>
        <v>0</v>
      </c>
    </row>
    <row r="497" spans="1:19">
      <c r="A497" s="160"/>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6">
        <f t="shared" si="93"/>
        <v>0</v>
      </c>
      <c r="S497" s="362">
        <f t="shared" si="84"/>
        <v>0</v>
      </c>
    </row>
    <row r="498" spans="1:19">
      <c r="A498" s="160"/>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6">
        <f t="shared" si="93"/>
        <v>0</v>
      </c>
      <c r="S498" s="362">
        <f t="shared" ref="S498:S524" si="94">ROUND(R498*B498/10000,0)</f>
        <v>0</v>
      </c>
    </row>
    <row r="499" spans="1:19">
      <c r="A499" s="160"/>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6">
        <f t="shared" si="93"/>
        <v>0</v>
      </c>
      <c r="S499" s="362">
        <f t="shared" si="94"/>
        <v>0</v>
      </c>
    </row>
    <row r="500" spans="1:19">
      <c r="A500" s="160"/>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6">
        <f t="shared" si="93"/>
        <v>0</v>
      </c>
      <c r="S500" s="362">
        <f t="shared" si="94"/>
        <v>0</v>
      </c>
    </row>
    <row r="501" spans="1:19">
      <c r="A501" s="160"/>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6">
        <f t="shared" si="93"/>
        <v>0</v>
      </c>
      <c r="S501" s="362">
        <f t="shared" si="94"/>
        <v>0</v>
      </c>
    </row>
    <row r="502" spans="1:19">
      <c r="A502" s="160"/>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6">
        <f t="shared" si="93"/>
        <v>0</v>
      </c>
      <c r="S502" s="362">
        <f t="shared" si="94"/>
        <v>0</v>
      </c>
    </row>
    <row r="503" spans="1:19">
      <c r="A503" s="160"/>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6">
        <f t="shared" si="93"/>
        <v>0</v>
      </c>
      <c r="S503" s="362">
        <f t="shared" si="94"/>
        <v>0</v>
      </c>
    </row>
    <row r="504" spans="1:19">
      <c r="A504" s="160"/>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6">
        <f t="shared" si="93"/>
        <v>0</v>
      </c>
      <c r="S504" s="362">
        <f t="shared" si="94"/>
        <v>0</v>
      </c>
    </row>
    <row r="505" spans="1:19">
      <c r="A505" s="160"/>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6">
        <f t="shared" si="93"/>
        <v>0</v>
      </c>
      <c r="S505" s="362">
        <f t="shared" si="94"/>
        <v>0</v>
      </c>
    </row>
    <row r="506" spans="1:19">
      <c r="A506" s="160"/>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6">
        <f t="shared" si="93"/>
        <v>0</v>
      </c>
      <c r="S506" s="362">
        <f t="shared" si="94"/>
        <v>0</v>
      </c>
    </row>
    <row r="507" spans="1:19">
      <c r="A507" s="160"/>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6">
        <f t="shared" si="93"/>
        <v>0</v>
      </c>
      <c r="S507" s="362">
        <f t="shared" si="94"/>
        <v>0</v>
      </c>
    </row>
    <row r="508" spans="1:19">
      <c r="A508" s="160"/>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6">
        <f t="shared" si="93"/>
        <v>0</v>
      </c>
      <c r="S508" s="362">
        <f t="shared" si="94"/>
        <v>0</v>
      </c>
    </row>
    <row r="509" spans="1:19">
      <c r="A509" s="160"/>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6">
        <f t="shared" si="93"/>
        <v>0</v>
      </c>
      <c r="S509" s="362">
        <f t="shared" si="94"/>
        <v>0</v>
      </c>
    </row>
    <row r="510" spans="1:19">
      <c r="A510" s="160"/>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6">
        <f t="shared" si="93"/>
        <v>0</v>
      </c>
      <c r="S510" s="362">
        <f t="shared" si="94"/>
        <v>0</v>
      </c>
    </row>
    <row r="511" spans="1:19">
      <c r="A511" s="160"/>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6">
        <f t="shared" si="93"/>
        <v>0</v>
      </c>
      <c r="S511" s="362">
        <f t="shared" si="94"/>
        <v>0</v>
      </c>
    </row>
    <row r="512" spans="1:19">
      <c r="A512" s="160"/>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6">
        <f t="shared" si="93"/>
        <v>0</v>
      </c>
      <c r="S512" s="362">
        <f t="shared" si="94"/>
        <v>0</v>
      </c>
    </row>
    <row r="513" spans="1:19">
      <c r="A513" s="160"/>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6">
        <f t="shared" si="93"/>
        <v>0</v>
      </c>
      <c r="S513" s="362">
        <f t="shared" si="94"/>
        <v>0</v>
      </c>
    </row>
    <row r="514" spans="1:19">
      <c r="A514" s="160"/>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6">
        <f t="shared" si="93"/>
        <v>0</v>
      </c>
      <c r="S514" s="362">
        <f t="shared" si="94"/>
        <v>0</v>
      </c>
    </row>
    <row r="515" spans="1:19">
      <c r="A515" s="160"/>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6">
        <f t="shared" si="93"/>
        <v>0</v>
      </c>
      <c r="S515" s="362">
        <f t="shared" si="94"/>
        <v>0</v>
      </c>
    </row>
    <row r="516" spans="1:19">
      <c r="A516" s="160"/>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6">
        <f t="shared" si="93"/>
        <v>0</v>
      </c>
      <c r="S516" s="362">
        <f t="shared" si="94"/>
        <v>0</v>
      </c>
    </row>
    <row r="517" spans="1:19">
      <c r="A517" s="160"/>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6">
        <f t="shared" si="93"/>
        <v>0</v>
      </c>
      <c r="S517" s="362">
        <f t="shared" si="94"/>
        <v>0</v>
      </c>
    </row>
    <row r="518" spans="1:19">
      <c r="A518" s="160"/>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6">
        <f t="shared" si="93"/>
        <v>0</v>
      </c>
      <c r="S518" s="362">
        <f t="shared" si="94"/>
        <v>0</v>
      </c>
    </row>
    <row r="519" spans="1:19">
      <c r="A519" s="160"/>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6">
        <f t="shared" si="93"/>
        <v>0</v>
      </c>
      <c r="S519" s="362">
        <f t="shared" si="94"/>
        <v>0</v>
      </c>
    </row>
    <row r="520" spans="1:19">
      <c r="A520" s="160"/>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6">
        <f t="shared" si="93"/>
        <v>0</v>
      </c>
      <c r="S520" s="362">
        <f t="shared" si="94"/>
        <v>0</v>
      </c>
    </row>
    <row r="521" spans="1:19">
      <c r="A521" s="160"/>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6">
        <f t="shared" si="93"/>
        <v>0</v>
      </c>
      <c r="S521" s="362">
        <f t="shared" si="94"/>
        <v>0</v>
      </c>
    </row>
    <row r="522" spans="1:19">
      <c r="A522" s="160"/>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6">
        <f t="shared" si="93"/>
        <v>0</v>
      </c>
      <c r="S522" s="362">
        <f t="shared" si="94"/>
        <v>0</v>
      </c>
    </row>
    <row r="523" spans="1:19">
      <c r="A523" s="160"/>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6">
        <f t="shared" si="93"/>
        <v>0</v>
      </c>
      <c r="S523" s="362">
        <f t="shared" si="94"/>
        <v>0</v>
      </c>
    </row>
    <row r="524" spans="1:19">
      <c r="A524" s="160"/>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6">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27960</v>
      </c>
      <c r="C2" s="2" t="s">
        <v>133</v>
      </c>
      <c r="D2" s="244"/>
      <c r="E2" s="244"/>
      <c r="F2" s="244"/>
      <c r="G2" s="244"/>
    </row>
    <row r="3" spans="1:7" s="245" customFormat="1" ht="18" customHeight="1" thickBot="1">
      <c r="A3" s="248" t="s">
        <v>85</v>
      </c>
      <c r="B3" s="249">
        <f ca="1">ROUND(B2*10000/'数据-汇总表'!E3,0)</f>
        <v>36006</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1" t="s">
        <v>791</v>
      </c>
      <c r="B6" s="260" t="s">
        <v>91</v>
      </c>
      <c r="C6" s="261">
        <v>20000</v>
      </c>
      <c r="D6" s="262"/>
      <c r="E6" s="263"/>
      <c r="F6" s="263"/>
      <c r="G6" s="264"/>
    </row>
    <row r="7" spans="1:7" s="259" customFormat="1" ht="13.5" customHeight="1">
      <c r="A7" s="951" t="s">
        <v>792</v>
      </c>
      <c r="B7" s="260" t="s">
        <v>57</v>
      </c>
      <c r="C7" s="265">
        <f>ROUND(C6*F7,0)</f>
        <v>610</v>
      </c>
      <c r="D7" s="265"/>
      <c r="E7" s="263"/>
      <c r="F7" s="266">
        <f>'数据-取费表'!B48+'数据-取费表'!B49</f>
        <v>3.0499999999999999E-2</v>
      </c>
      <c r="G7" s="264"/>
    </row>
    <row r="8" spans="1:7" s="268" customFormat="1">
      <c r="A8" s="951" t="s">
        <v>793</v>
      </c>
      <c r="B8" s="260" t="s">
        <v>92</v>
      </c>
      <c r="C8" s="265" t="str">
        <f>IF(G8="已包含在土地购买价格中","0",'数据-取费表'!B29)</f>
        <v>0</v>
      </c>
      <c r="D8" s="267"/>
      <c r="E8" s="265"/>
      <c r="F8" s="266"/>
      <c r="G8" s="1" t="s">
        <v>1148</v>
      </c>
    </row>
    <row r="9" spans="1:7" s="259" customFormat="1" ht="13.5" customHeight="1">
      <c r="A9" s="952" t="s">
        <v>800</v>
      </c>
      <c r="B9" s="269" t="s">
        <v>93</v>
      </c>
      <c r="C9" s="270">
        <f>ROUND(D9*E9/10000,0)</f>
        <v>0</v>
      </c>
      <c r="D9" s="1034">
        <f>'数据-汇总表'!E5</f>
        <v>0</v>
      </c>
      <c r="E9" s="270">
        <f>'数据-取费表'!B27</f>
        <v>90</v>
      </c>
      <c r="F9" s="266"/>
      <c r="G9" s="271"/>
    </row>
    <row r="10" spans="1:7" s="259" customFormat="1" ht="13.5" customHeight="1">
      <c r="A10" s="952" t="s">
        <v>801</v>
      </c>
      <c r="B10" s="269" t="s">
        <v>94</v>
      </c>
      <c r="C10" s="270">
        <f>ROUND(D10*E10/10000,0)</f>
        <v>70</v>
      </c>
      <c r="D10" s="1034">
        <f>'数据-汇总表'!E6</f>
        <v>7765.3499999999995</v>
      </c>
      <c r="E10" s="270">
        <f>'数据-取费表'!B28</f>
        <v>90</v>
      </c>
      <c r="F10" s="266"/>
      <c r="G10" s="271"/>
    </row>
    <row r="11" spans="1:7" s="259" customFormat="1" ht="13.5" hidden="1" customHeight="1">
      <c r="A11" s="272" t="s">
        <v>7</v>
      </c>
      <c r="B11" s="260" t="s">
        <v>95</v>
      </c>
      <c r="C11" s="256"/>
      <c r="D11" s="1036"/>
      <c r="E11" s="263"/>
      <c r="F11" s="263"/>
      <c r="G11" s="264"/>
    </row>
    <row r="12" spans="1:7" s="259" customFormat="1" ht="13.5" hidden="1" customHeight="1">
      <c r="A12" s="272" t="s">
        <v>8</v>
      </c>
      <c r="B12" s="260" t="s">
        <v>96</v>
      </c>
      <c r="C12" s="256">
        <v>0</v>
      </c>
      <c r="D12" s="1036"/>
      <c r="E12" s="273"/>
      <c r="F12" s="266">
        <v>3.0499999999999999E-2</v>
      </c>
      <c r="G12" s="264"/>
    </row>
    <row r="13" spans="1:7" s="259" customFormat="1" ht="13.5" hidden="1" customHeight="1">
      <c r="A13" s="272" t="s">
        <v>9</v>
      </c>
      <c r="B13" s="260" t="s">
        <v>97</v>
      </c>
      <c r="C13" s="256"/>
      <c r="D13" s="1036"/>
      <c r="E13" s="263"/>
      <c r="F13" s="263"/>
      <c r="G13" s="264"/>
    </row>
    <row r="14" spans="1:7" s="259" customFormat="1" ht="13.5" hidden="1" customHeight="1">
      <c r="A14" s="272" t="s">
        <v>10</v>
      </c>
      <c r="B14" s="260" t="s">
        <v>92</v>
      </c>
      <c r="C14" s="256"/>
      <c r="D14" s="1036"/>
      <c r="E14" s="263"/>
      <c r="F14" s="263"/>
      <c r="G14" s="264" t="s">
        <v>98</v>
      </c>
    </row>
    <row r="15" spans="1:7" s="259" customFormat="1" ht="13.5" hidden="1" customHeight="1">
      <c r="A15" s="272" t="s">
        <v>11</v>
      </c>
      <c r="B15" s="260" t="s">
        <v>99</v>
      </c>
      <c r="C15" s="265"/>
      <c r="D15" s="1036"/>
      <c r="E15" s="263"/>
      <c r="F15" s="263"/>
      <c r="G15" s="264" t="s">
        <v>100</v>
      </c>
    </row>
    <row r="16" spans="1:7" s="259" customFormat="1" ht="13.5" hidden="1" customHeight="1">
      <c r="A16" s="272" t="s">
        <v>12</v>
      </c>
      <c r="B16" s="260" t="s">
        <v>92</v>
      </c>
      <c r="C16" s="265"/>
      <c r="D16" s="1036"/>
      <c r="E16" s="263"/>
      <c r="F16" s="263"/>
      <c r="G16" s="264"/>
    </row>
    <row r="17" spans="1:7" s="259" customFormat="1" ht="13.5" hidden="1" customHeight="1">
      <c r="A17" s="272" t="s">
        <v>13</v>
      </c>
      <c r="B17" s="260" t="s">
        <v>101</v>
      </c>
      <c r="C17" s="274"/>
      <c r="D17" s="1037"/>
      <c r="E17" s="274"/>
      <c r="F17" s="274"/>
      <c r="G17" s="264" t="s">
        <v>100</v>
      </c>
    </row>
    <row r="18" spans="1:7" s="259" customFormat="1" ht="13.5" hidden="1" customHeight="1">
      <c r="A18" s="272" t="s">
        <v>14</v>
      </c>
      <c r="B18" s="260" t="s">
        <v>102</v>
      </c>
      <c r="C18" s="265">
        <v>0</v>
      </c>
      <c r="D18" s="1036"/>
      <c r="E18" s="263"/>
      <c r="F18" s="266">
        <v>3.0499999999999999E-2</v>
      </c>
      <c r="G18" s="264" t="s">
        <v>103</v>
      </c>
    </row>
    <row r="19" spans="1:7" s="268" customFormat="1" ht="13.5" customHeight="1">
      <c r="A19" s="950" t="s">
        <v>1055</v>
      </c>
      <c r="B19" s="255" t="s">
        <v>111</v>
      </c>
      <c r="C19" s="256">
        <f>IF(G19="已包含在土地取得成本中","0",ROUND(D19*E19/10000,0))</f>
        <v>116</v>
      </c>
      <c r="D19" s="1038">
        <f>'数据-汇总表'!E3</f>
        <v>7765.3499999999995</v>
      </c>
      <c r="E19" s="256">
        <f>'数据-取费表'!B31</f>
        <v>150</v>
      </c>
      <c r="F19" s="276"/>
      <c r="G19" s="1" t="s">
        <v>1074</v>
      </c>
    </row>
    <row r="20" spans="1:7" s="259" customFormat="1" ht="13.5" customHeight="1">
      <c r="A20" s="950" t="s">
        <v>1057</v>
      </c>
      <c r="B20" s="255" t="s">
        <v>104</v>
      </c>
      <c r="C20" s="277">
        <f>ROUND((C5+C19)*F20,0)</f>
        <v>415</v>
      </c>
      <c r="D20" s="277"/>
      <c r="E20" s="277"/>
      <c r="F20" s="278">
        <f>'数据-取费表'!B37</f>
        <v>0.02</v>
      </c>
      <c r="G20" s="1291" t="s">
        <v>1068</v>
      </c>
    </row>
    <row r="21" spans="1:7" s="259" customFormat="1" ht="13.5" customHeight="1">
      <c r="A21" s="950" t="s">
        <v>1059</v>
      </c>
      <c r="B21" s="255" t="s">
        <v>105</v>
      </c>
      <c r="C21" s="280">
        <f>F21</f>
        <v>0.02</v>
      </c>
      <c r="D21" s="281" t="s">
        <v>126</v>
      </c>
      <c r="E21" s="277"/>
      <c r="F21" s="278">
        <f>'数据-取费表'!B38</f>
        <v>0.02</v>
      </c>
      <c r="G21" s="279" t="s">
        <v>106</v>
      </c>
    </row>
    <row r="22" spans="1:7" s="259" customFormat="1" ht="13.5" customHeight="1">
      <c r="A22" s="950" t="s">
        <v>786</v>
      </c>
      <c r="B22" s="255" t="s">
        <v>107</v>
      </c>
      <c r="C22" s="1356">
        <f ca="1">ROUND(SUM(C23:C25),0)</f>
        <v>911</v>
      </c>
      <c r="D22" s="280">
        <f ca="1">C26</f>
        <v>4.0000000000000002E-4</v>
      </c>
      <c r="E22" s="281" t="s">
        <v>126</v>
      </c>
      <c r="F22" s="282">
        <f ca="1">'数据-取费表'!B40</f>
        <v>4.3499999999999997E-2</v>
      </c>
      <c r="G22" s="1291" t="str">
        <f>IF('数据-取费表'!B22&lt;=1,"单利计息","复利计息")</f>
        <v>单利计息</v>
      </c>
    </row>
    <row r="23" spans="1:7" s="259" customFormat="1" ht="13.5" customHeight="1">
      <c r="A23" s="953" t="s">
        <v>794</v>
      </c>
      <c r="B23" s="260" t="s">
        <v>1061</v>
      </c>
      <c r="C23" s="1357">
        <f ca="1">ROUND(IF('数据-取费表'!B22&lt;=1,C5*F22*'数据-取费表'!B23,C5*(POWER((1+F22),'数据-取费表'!B23)-1)),0)</f>
        <v>897</v>
      </c>
      <c r="D23" s="283"/>
      <c r="E23" s="283"/>
      <c r="F23" s="284"/>
      <c r="G23" s="285" t="s">
        <v>108</v>
      </c>
    </row>
    <row r="24" spans="1:7" s="259" customFormat="1" ht="13.5" customHeight="1">
      <c r="A24" s="953" t="s">
        <v>792</v>
      </c>
      <c r="B24" s="260" t="s">
        <v>1056</v>
      </c>
      <c r="C24" s="1357">
        <f ca="1">ROUND(IF('数据-取费表'!B22&lt;=1,C19*F22*('数据-取费表'!B19/2+'数据-取费表'!B21),C19*(POWER((1+F22),('数据-取费表'!B19/2+'数据-取费表'!B21))-1)),0)</f>
        <v>5</v>
      </c>
      <c r="D24" s="283"/>
      <c r="E24" s="283"/>
      <c r="F24" s="284"/>
      <c r="G24" s="285" t="s">
        <v>109</v>
      </c>
    </row>
    <row r="25" spans="1:7" s="259" customFormat="1" ht="24">
      <c r="A25" s="953" t="s">
        <v>793</v>
      </c>
      <c r="B25" s="260" t="s">
        <v>1058</v>
      </c>
      <c r="C25" s="1357">
        <f ca="1">ROUND(IF('数据-取费表'!B22&lt;=1,C20*F22*'数据-取费表'!B23/2,C20*(POWER((1+F22),'数据-取费表'!B23/2)-1)),0)</f>
        <v>9</v>
      </c>
      <c r="D25" s="283"/>
      <c r="E25" s="286"/>
      <c r="F25" s="284"/>
      <c r="G25" s="287" t="s">
        <v>110</v>
      </c>
    </row>
    <row r="26" spans="1:7" s="259" customFormat="1">
      <c r="A26" s="953" t="s">
        <v>795</v>
      </c>
      <c r="B26" s="260" t="s">
        <v>1060</v>
      </c>
      <c r="C26" s="283">
        <f ca="1">ROUND(IF('数据-取费表'!B22&lt;=1,F21*F22*'数据-取费表'!B23/2,F21*(POWER((1+F22),'数据-取费表'!B23/2)-1)),4)</f>
        <v>4.0000000000000002E-4</v>
      </c>
      <c r="D26" s="283"/>
      <c r="E26" s="286"/>
      <c r="F26" s="284"/>
      <c r="G26" s="288"/>
    </row>
    <row r="27" spans="1:7" s="259" customFormat="1" ht="24.75">
      <c r="A27" s="950" t="s">
        <v>787</v>
      </c>
      <c r="B27" s="289" t="s">
        <v>112</v>
      </c>
      <c r="C27" s="290">
        <f>C28</f>
        <v>2114</v>
      </c>
      <c r="D27" s="280">
        <f>C29</f>
        <v>2E-3</v>
      </c>
      <c r="E27" s="281" t="s">
        <v>126</v>
      </c>
      <c r="F27" s="291">
        <f>'数据-取费表'!Q16</f>
        <v>0.1</v>
      </c>
      <c r="G27" s="292" t="s">
        <v>1069</v>
      </c>
    </row>
    <row r="28" spans="1:7" s="259" customFormat="1" ht="13.5" customHeight="1">
      <c r="A28" s="953" t="s">
        <v>794</v>
      </c>
      <c r="B28" s="293" t="s">
        <v>1062</v>
      </c>
      <c r="C28" s="294">
        <f>ROUND((C5+C19+C20)*F27*'数据-取费表'!B21/'数据-取费表'!B20,0)</f>
        <v>2114</v>
      </c>
      <c r="D28" s="280"/>
      <c r="E28" s="281"/>
      <c r="F28" s="291"/>
      <c r="G28" s="292"/>
    </row>
    <row r="29" spans="1:7" s="259" customFormat="1" ht="13.5" customHeight="1">
      <c r="A29" s="953" t="s">
        <v>792</v>
      </c>
      <c r="B29" s="293" t="s">
        <v>1063</v>
      </c>
      <c r="C29" s="283">
        <f>ROUND(C21*F27*'数据-取费表'!B21/'数据-取费表'!B20,4)</f>
        <v>2E-3</v>
      </c>
      <c r="D29" s="280"/>
      <c r="E29" s="281"/>
      <c r="F29" s="291"/>
      <c r="G29" s="292"/>
    </row>
    <row r="30" spans="1:7" s="259" customFormat="1" ht="13.5" customHeight="1">
      <c r="A30" s="950" t="s">
        <v>788</v>
      </c>
      <c r="B30" s="255" t="s">
        <v>58</v>
      </c>
      <c r="C30" s="280">
        <f>F30</f>
        <v>6.1600000000000002E-2</v>
      </c>
      <c r="D30" s="281" t="s">
        <v>127</v>
      </c>
      <c r="E30" s="286"/>
      <c r="F30" s="282">
        <f>'数据-取费表'!B41</f>
        <v>6.1600000000000002E-2</v>
      </c>
      <c r="G30" s="279" t="s">
        <v>113</v>
      </c>
    </row>
    <row r="31" spans="1:7" ht="16.5" customHeight="1">
      <c r="A31" s="254">
        <v>1</v>
      </c>
      <c r="B31" s="255" t="s">
        <v>128</v>
      </c>
      <c r="C31" s="256">
        <f ca="1">ROUND((C5+C19+C20+C22+C27)/(1-C21-D22-D27-C30/(1+'数据-取费表'!B42)),0)</f>
        <v>26288</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1414</v>
      </c>
      <c r="D33" s="277"/>
      <c r="E33" s="257"/>
      <c r="F33" s="286"/>
      <c r="G33" s="279"/>
    </row>
    <row r="34" spans="1:7" s="303" customFormat="1" ht="13.5" customHeight="1">
      <c r="A34" s="953" t="s">
        <v>794</v>
      </c>
      <c r="B34" s="260" t="s">
        <v>59</v>
      </c>
      <c r="C34" s="265">
        <f>IF(F34=100%,'数据-取费表'!M16-SUMIF('数据-取费表'!C:C,"公共配套",'数据-取费表'!M:M),'数据-取费表'!O16-SUMIF('数据-取费表'!C:C,"公共配套",'数据-取费表'!O:O))</f>
        <v>1242</v>
      </c>
      <c r="D34" s="262"/>
      <c r="E34" s="265"/>
      <c r="F34" s="302">
        <f>IF('数据-取费表'!B24=0,1,'数据-取费表'!N16)</f>
        <v>1</v>
      </c>
      <c r="G34" s="264" t="s">
        <v>116</v>
      </c>
    </row>
    <row r="35" spans="1:7" ht="13.5" customHeight="1">
      <c r="A35" s="953" t="s">
        <v>796</v>
      </c>
      <c r="B35" s="260" t="s">
        <v>60</v>
      </c>
      <c r="C35" s="265">
        <f>ROUND(C34*F35,0)</f>
        <v>37</v>
      </c>
      <c r="D35" s="265"/>
      <c r="E35" s="265"/>
      <c r="F35" s="304">
        <f>'数据-取费表'!B33</f>
        <v>0.03</v>
      </c>
      <c r="G35" s="264" t="s">
        <v>117</v>
      </c>
    </row>
    <row r="36" spans="1:7" ht="24">
      <c r="A36" s="953"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0.05</v>
      </c>
      <c r="G36" s="305" t="s">
        <v>62</v>
      </c>
    </row>
    <row r="37" spans="1:7" s="303" customFormat="1" ht="13.5" customHeight="1">
      <c r="A37" s="953" t="s">
        <v>798</v>
      </c>
      <c r="B37" s="260" t="s">
        <v>118</v>
      </c>
      <c r="C37" s="294">
        <f>ROUND(E37*D37*F34/10000,0)</f>
        <v>116</v>
      </c>
      <c r="D37" s="262">
        <f>'数据-汇总表'!E3</f>
        <v>7765.3499999999995</v>
      </c>
      <c r="E37" s="294">
        <f>'数据-取费表'!B35</f>
        <v>150</v>
      </c>
      <c r="F37" s="304"/>
      <c r="G37" s="306" t="s">
        <v>119</v>
      </c>
    </row>
    <row r="38" spans="1:7" ht="13.5" customHeight="1">
      <c r="A38" s="953" t="s">
        <v>799</v>
      </c>
      <c r="B38" s="260" t="s">
        <v>63</v>
      </c>
      <c r="C38" s="265">
        <f>ROUND(C34*F38,0)</f>
        <v>19</v>
      </c>
      <c r="D38" s="265"/>
      <c r="E38" s="265"/>
      <c r="F38" s="304">
        <f>'数据-取费表'!B36</f>
        <v>1.4999999999999999E-2</v>
      </c>
      <c r="G38" s="264" t="s">
        <v>117</v>
      </c>
    </row>
    <row r="39" spans="1:7" s="259" customFormat="1" ht="13.5" customHeight="1">
      <c r="A39" s="950" t="s">
        <v>783</v>
      </c>
      <c r="B39" s="255" t="s">
        <v>104</v>
      </c>
      <c r="C39" s="277">
        <f>ROUND(C33*F20,0)</f>
        <v>28</v>
      </c>
      <c r="D39" s="277"/>
      <c r="E39" s="277"/>
      <c r="F39" s="278"/>
      <c r="G39" s="1291" t="s">
        <v>1071</v>
      </c>
    </row>
    <row r="40" spans="1:7" s="259" customFormat="1" ht="13.5" customHeight="1">
      <c r="A40" s="950" t="s">
        <v>784</v>
      </c>
      <c r="B40" s="255" t="s">
        <v>105</v>
      </c>
      <c r="C40" s="307">
        <f>F21</f>
        <v>0.02</v>
      </c>
      <c r="D40" s="281" t="s">
        <v>129</v>
      </c>
      <c r="E40" s="277"/>
      <c r="F40" s="278"/>
      <c r="G40" s="279" t="s">
        <v>120</v>
      </c>
    </row>
    <row r="41" spans="1:7" s="259" customFormat="1" ht="13.5" customHeight="1">
      <c r="A41" s="950" t="s">
        <v>785</v>
      </c>
      <c r="B41" s="255" t="s">
        <v>107</v>
      </c>
      <c r="C41" s="277">
        <f ca="1">ROUND(SUM(C42:C43),0)</f>
        <v>32</v>
      </c>
      <c r="D41" s="280">
        <f ca="1">C44</f>
        <v>4.0000000000000002E-4</v>
      </c>
      <c r="E41" s="281" t="s">
        <v>129</v>
      </c>
      <c r="F41" s="282"/>
      <c r="G41" s="1291" t="str">
        <f>IF('数据-取费表'!B22&lt;=1,"单利计息","复利计息")</f>
        <v>单利计息</v>
      </c>
    </row>
    <row r="42" spans="1:7" ht="13.5" customHeight="1">
      <c r="A42" s="953" t="s">
        <v>794</v>
      </c>
      <c r="B42" s="260" t="s">
        <v>1061</v>
      </c>
      <c r="C42" s="283">
        <f ca="1">ROUND(IF('数据-取费表'!B22&lt;=1,C33*F22*'数据-取费表'!B21/2,C33*(POWER((1+F22),'数据-取费表'!B21/2)-1)),0)</f>
        <v>31</v>
      </c>
      <c r="D42" s="283"/>
      <c r="E42" s="283"/>
      <c r="F42" s="284"/>
      <c r="G42" s="3263" t="s">
        <v>121</v>
      </c>
    </row>
    <row r="43" spans="1:7" ht="13.5" customHeight="1">
      <c r="A43" s="953" t="s">
        <v>792</v>
      </c>
      <c r="B43" s="260" t="s">
        <v>1064</v>
      </c>
      <c r="C43" s="283">
        <f ca="1">ROUND(IF('数据-取费表'!B22&lt;=1,C39*F22*'数据-取费表'!B21/2,C39*(POWER((1+F22),'数据-取费表'!B21/2)-1)),0)</f>
        <v>1</v>
      </c>
      <c r="D43" s="283"/>
      <c r="E43" s="283"/>
      <c r="F43" s="284"/>
      <c r="G43" s="3264"/>
    </row>
    <row r="44" spans="1:7" ht="13.5" customHeight="1">
      <c r="A44" s="953" t="s">
        <v>793</v>
      </c>
      <c r="B44" s="260" t="s">
        <v>1066</v>
      </c>
      <c r="C44" s="283">
        <f ca="1">ROUND(IF('数据-取费表'!B22&lt;=1,C40*F22*'数据-取费表'!B21/2,C40*(POWER((1+F22),'数据-取费表'!B21/2)-1)),4)</f>
        <v>4.0000000000000002E-4</v>
      </c>
      <c r="D44" s="283"/>
      <c r="E44" s="283"/>
      <c r="F44" s="284"/>
      <c r="G44" s="3265"/>
    </row>
    <row r="45" spans="1:7" s="259" customFormat="1" ht="13.5" customHeight="1">
      <c r="A45" s="950" t="s">
        <v>786</v>
      </c>
      <c r="B45" s="289" t="s">
        <v>112</v>
      </c>
      <c r="C45" s="290">
        <f>C46</f>
        <v>144</v>
      </c>
      <c r="D45" s="280">
        <f>C47</f>
        <v>2E-3</v>
      </c>
      <c r="E45" s="281" t="s">
        <v>129</v>
      </c>
      <c r="F45" s="291"/>
      <c r="G45" s="292" t="s">
        <v>1072</v>
      </c>
    </row>
    <row r="46" spans="1:7" s="259" customFormat="1" ht="13.5" customHeight="1">
      <c r="A46" s="953" t="s">
        <v>794</v>
      </c>
      <c r="B46" s="293" t="s">
        <v>1065</v>
      </c>
      <c r="C46" s="294">
        <f>ROUND((C33+C39)*F27,0)</f>
        <v>144</v>
      </c>
      <c r="D46" s="308"/>
      <c r="E46" s="281"/>
      <c r="F46" s="291"/>
      <c r="G46" s="292"/>
    </row>
    <row r="47" spans="1:7" s="259" customFormat="1" ht="13.5" customHeight="1">
      <c r="A47" s="953" t="s">
        <v>792</v>
      </c>
      <c r="B47" s="293" t="s">
        <v>1067</v>
      </c>
      <c r="C47" s="283">
        <f>ROUND(C40*F27,4)</f>
        <v>2E-3</v>
      </c>
      <c r="D47" s="308"/>
      <c r="E47" s="281"/>
      <c r="F47" s="291"/>
      <c r="G47" s="292"/>
    </row>
    <row r="48" spans="1:7" s="259" customFormat="1" ht="13.5" customHeight="1">
      <c r="A48" s="950" t="s">
        <v>787</v>
      </c>
      <c r="B48" s="255" t="s">
        <v>122</v>
      </c>
      <c r="C48" s="307">
        <f>F30</f>
        <v>6.1600000000000002E-2</v>
      </c>
      <c r="D48" s="281" t="s">
        <v>130</v>
      </c>
      <c r="E48" s="277"/>
      <c r="F48" s="282"/>
      <c r="G48" s="279" t="s">
        <v>123</v>
      </c>
    </row>
    <row r="49" spans="1:7" ht="16.5" customHeight="1">
      <c r="A49" s="950" t="s">
        <v>788</v>
      </c>
      <c r="B49" s="255" t="s">
        <v>131</v>
      </c>
      <c r="C49" s="277">
        <f ca="1">ROUND((C33+C39+C41+C45)/(1-C40-D41-D45-C48/(1+'数据-取费表'!B42)),0)</f>
        <v>1760</v>
      </c>
      <c r="D49" s="277"/>
      <c r="E49" s="277"/>
      <c r="F49" s="309"/>
      <c r="G49" s="279" t="s">
        <v>1073</v>
      </c>
    </row>
    <row r="50" spans="1:7" s="303" customFormat="1" ht="24">
      <c r="A50" s="950" t="s">
        <v>789</v>
      </c>
      <c r="B50" s="255" t="s">
        <v>124</v>
      </c>
      <c r="C50" s="277"/>
      <c r="D50" s="277"/>
      <c r="E50" s="277"/>
      <c r="F50" s="309">
        <f>IF('数据-取费表'!B24=0,'数据-取费表'!N16,1)</f>
        <v>0.95</v>
      </c>
      <c r="G50" s="292" t="s">
        <v>125</v>
      </c>
    </row>
    <row r="51" spans="1:7" ht="16.5" customHeight="1">
      <c r="A51" s="950" t="s">
        <v>790</v>
      </c>
      <c r="B51" s="255" t="s">
        <v>132</v>
      </c>
      <c r="C51" s="277">
        <f ca="1">ROUND(C49*F50,0)</f>
        <v>1672</v>
      </c>
      <c r="D51" s="277"/>
      <c r="E51" s="277"/>
      <c r="F51" s="309"/>
      <c r="G51" s="279" t="s">
        <v>64</v>
      </c>
    </row>
    <row r="52" spans="1:7" s="253" customFormat="1" ht="16.5" thickBot="1">
      <c r="A52" s="310" t="s">
        <v>65</v>
      </c>
      <c r="B52" s="311"/>
      <c r="C52" s="312">
        <f ca="1">C31+C51</f>
        <v>27960</v>
      </c>
      <c r="D52" s="311"/>
      <c r="E52" s="311"/>
      <c r="F52" s="311"/>
      <c r="G52" s="313"/>
    </row>
    <row r="55" spans="1:7" ht="15">
      <c r="B55" s="315" t="s">
        <v>66</v>
      </c>
      <c r="C55" s="316"/>
    </row>
    <row r="56" spans="1:7">
      <c r="B56" s="318" t="s">
        <v>67</v>
      </c>
      <c r="C56" s="319">
        <f ca="1">ROUND(C51/C52,3)</f>
        <v>0.06</v>
      </c>
    </row>
    <row r="57" spans="1:7">
      <c r="B57" s="318" t="s">
        <v>68</v>
      </c>
      <c r="C57" s="320">
        <f ca="1">1-C56</f>
        <v>0.94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405" t="s">
        <v>156</v>
      </c>
      <c r="B1" s="3405"/>
      <c r="C1" s="3405"/>
      <c r="D1" s="3405"/>
      <c r="E1" s="3405"/>
      <c r="F1" s="3405"/>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406" t="s">
        <v>169</v>
      </c>
      <c r="B2" s="3406"/>
      <c r="C2" s="3406"/>
      <c r="D2" s="3406"/>
      <c r="E2" s="3406"/>
      <c r="F2" s="3406"/>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407"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408"/>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405" t="s">
        <v>871</v>
      </c>
      <c r="B1" s="3405"/>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1301</v>
      </c>
      <c r="C1" s="1697">
        <f>项目基本情况!D3</f>
        <v>43049</v>
      </c>
      <c r="D1" s="1703" t="s">
        <v>1302</v>
      </c>
      <c r="E1" s="1698">
        <f>'数据-取费表'!B22</f>
        <v>1</v>
      </c>
      <c r="F1" s="1703" t="s">
        <v>1303</v>
      </c>
      <c r="G1" s="1699">
        <f ca="1">INDIRECT("d"&amp;$K$1)/100</f>
        <v>4.3499999999999997E-2</v>
      </c>
      <c r="H1" s="1703" t="s">
        <v>1333</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1304</v>
      </c>
      <c r="E2" s="1639"/>
      <c r="F2" s="1639" t="s">
        <v>1305</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1306</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1307</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1308</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1309</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1310</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1311</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1312</v>
      </c>
      <c r="C10" s="1667"/>
      <c r="D10" s="1667"/>
      <c r="E10" s="1667"/>
      <c r="F10" s="1667"/>
      <c r="G10" s="1667"/>
      <c r="H10" s="1667"/>
      <c r="I10" s="1641"/>
      <c r="J10" s="1641"/>
      <c r="K10" s="1667"/>
      <c r="L10" s="1668" t="s">
        <v>1313</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1314</v>
      </c>
      <c r="C11" s="1672" t="s">
        <v>1315</v>
      </c>
      <c r="D11" s="1673" t="s">
        <v>1316</v>
      </c>
      <c r="E11" s="1674"/>
      <c r="F11" s="1673" t="s">
        <v>1317</v>
      </c>
      <c r="G11" s="1675"/>
      <c r="H11" s="1674"/>
      <c r="I11" s="1673" t="s">
        <v>1318</v>
      </c>
      <c r="J11" s="1674"/>
      <c r="K11" s="1670"/>
      <c r="L11" s="1671" t="s">
        <v>1314</v>
      </c>
      <c r="M11" s="1672" t="s">
        <v>1315</v>
      </c>
      <c r="N11" s="1671" t="s">
        <v>1319</v>
      </c>
      <c r="O11" s="1673" t="s">
        <v>1320</v>
      </c>
      <c r="P11" s="1675"/>
      <c r="Q11" s="1675"/>
      <c r="R11" s="1675"/>
      <c r="S11" s="1675"/>
      <c r="T11" s="1674"/>
      <c r="U11" s="1673" t="s">
        <v>1321</v>
      </c>
      <c r="V11" s="1675"/>
      <c r="W11" s="1674"/>
      <c r="X11" s="1671" t="s">
        <v>1322</v>
      </c>
      <c r="Y11" s="1671" t="s">
        <v>1323</v>
      </c>
      <c r="Z11" s="1671" t="s">
        <v>1324</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1325</v>
      </c>
      <c r="E12" s="1680" t="s">
        <v>1326</v>
      </c>
      <c r="F12" s="1680" t="s">
        <v>1327</v>
      </c>
      <c r="G12" s="1680" t="s">
        <v>1328</v>
      </c>
      <c r="H12" s="1680" t="s">
        <v>1310</v>
      </c>
      <c r="I12" s="1681" t="s">
        <v>1329</v>
      </c>
      <c r="J12" s="1681" t="s">
        <v>1329</v>
      </c>
      <c r="K12" s="1677"/>
      <c r="L12" s="1678"/>
      <c r="M12" s="1679"/>
      <c r="N12" s="1678"/>
      <c r="O12" s="1681" t="s">
        <v>1330</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1331</v>
      </c>
      <c r="C13" s="1685">
        <v>42301</v>
      </c>
      <c r="D13" s="1686">
        <v>4.3499999999999996</v>
      </c>
      <c r="E13" s="1686">
        <v>4.3499999999999996</v>
      </c>
      <c r="F13" s="1686">
        <v>4.75</v>
      </c>
      <c r="G13" s="1686">
        <v>4.75</v>
      </c>
      <c r="H13" s="1686">
        <v>4.9000000000000004</v>
      </c>
      <c r="I13" s="1686">
        <v>2.75</v>
      </c>
      <c r="J13" s="1686">
        <v>3.25</v>
      </c>
      <c r="K13" s="1683"/>
      <c r="L13" s="1684" t="s">
        <v>1331</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1332</v>
      </c>
      <c r="Y42" s="1690" t="s">
        <v>1332</v>
      </c>
      <c r="Z42" s="1690" t="s">
        <v>1332</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1332</v>
      </c>
      <c r="Y43" s="1690" t="s">
        <v>1332</v>
      </c>
      <c r="Z43" s="1690" t="s">
        <v>1332</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1332</v>
      </c>
      <c r="Y44" s="1690" t="s">
        <v>1332</v>
      </c>
      <c r="Z44" s="1690" t="s">
        <v>1332</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1332</v>
      </c>
      <c r="Y45" s="1690" t="s">
        <v>1332</v>
      </c>
      <c r="Z45" s="1690" t="s">
        <v>1332</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1332</v>
      </c>
      <c r="Y46" s="1690" t="s">
        <v>1332</v>
      </c>
      <c r="Z46" s="1690" t="s">
        <v>1332</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1332</v>
      </c>
      <c r="Y47" s="1690" t="s">
        <v>1332</v>
      </c>
      <c r="Z47" s="1690" t="s">
        <v>1332</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1332</v>
      </c>
      <c r="Y48" s="1690" t="s">
        <v>1332</v>
      </c>
      <c r="Z48" s="1690" t="s">
        <v>1332</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1332</v>
      </c>
      <c r="Y49" s="1690" t="s">
        <v>1332</v>
      </c>
      <c r="Z49" s="1690" t="s">
        <v>1332</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1332</v>
      </c>
      <c r="Y50" s="1690" t="s">
        <v>1332</v>
      </c>
      <c r="Z50" s="1690" t="s">
        <v>1332</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1332</v>
      </c>
      <c r="V51" s="1690" t="s">
        <v>1332</v>
      </c>
      <c r="W51" s="1690" t="s">
        <v>1332</v>
      </c>
      <c r="X51" s="1690" t="s">
        <v>1332</v>
      </c>
      <c r="Y51" s="1690" t="s">
        <v>1332</v>
      </c>
      <c r="Z51" s="1690" t="s">
        <v>1332</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1332</v>
      </c>
      <c r="J55" s="1690" t="s">
        <v>1332</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1373</v>
      </c>
      <c r="E1" s="1779" t="s">
        <v>1377</v>
      </c>
      <c r="F1" s="1780" t="s">
        <v>1381</v>
      </c>
    </row>
    <row r="2" spans="1:13" ht="20.25">
      <c r="A2" s="1786" t="s">
        <v>1374</v>
      </c>
    </row>
    <row r="3" spans="1:13" ht="16.5">
      <c r="A3" s="1787" t="s">
        <v>1375</v>
      </c>
    </row>
    <row r="4" spans="1:13" ht="14.25">
      <c r="A4" s="1777" t="s">
        <v>1376</v>
      </c>
      <c r="B4" s="1782" t="s">
        <v>1378</v>
      </c>
      <c r="C4" s="1783"/>
      <c r="D4" s="1784"/>
      <c r="E4" s="1782" t="s">
        <v>27</v>
      </c>
      <c r="F4" s="1783"/>
      <c r="G4" s="1784"/>
      <c r="H4" s="1782" t="s">
        <v>1379</v>
      </c>
      <c r="I4" s="1783"/>
      <c r="J4" s="1784"/>
      <c r="K4" s="1782" t="s">
        <v>6</v>
      </c>
      <c r="L4" s="1783"/>
      <c r="M4" s="1784"/>
    </row>
    <row r="5" spans="1:13" ht="14.25">
      <c r="A5" s="1778" t="s">
        <v>1380</v>
      </c>
      <c r="B5" s="1777" t="s">
        <v>1382</v>
      </c>
      <c r="C5" s="1777" t="s">
        <v>1383</v>
      </c>
      <c r="D5" s="1777" t="s">
        <v>1384</v>
      </c>
      <c r="E5" s="1777" t="s">
        <v>1382</v>
      </c>
      <c r="F5" s="1777" t="s">
        <v>1383</v>
      </c>
      <c r="G5" s="1777" t="s">
        <v>1384</v>
      </c>
      <c r="H5" s="1777" t="s">
        <v>1382</v>
      </c>
      <c r="I5" s="1777" t="s">
        <v>1383</v>
      </c>
      <c r="J5" s="1777" t="s">
        <v>1384</v>
      </c>
      <c r="K5" s="1777" t="s">
        <v>1382</v>
      </c>
      <c r="L5" s="1777" t="s">
        <v>1383</v>
      </c>
      <c r="M5" s="1777" t="s">
        <v>1384</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N36"/>
  <sheetViews>
    <sheetView workbookViewId="0">
      <selection activeCell="H27" sqref="H27"/>
    </sheetView>
  </sheetViews>
  <sheetFormatPr defaultRowHeight="13.5"/>
  <cols>
    <col min="3" max="3" width="12" customWidth="1"/>
    <col min="4" max="4" width="13" customWidth="1"/>
    <col min="6" max="6" width="13" bestFit="1" customWidth="1"/>
    <col min="10" max="10" width="22.625" bestFit="1" customWidth="1"/>
  </cols>
  <sheetData>
    <row r="2" spans="2:14">
      <c r="B2" s="2933" t="s">
        <v>3100</v>
      </c>
    </row>
    <row r="3" spans="2:14" ht="14.25" thickBot="1">
      <c r="B3" s="2934" t="s">
        <v>3101</v>
      </c>
      <c r="C3" s="2935" t="s">
        <v>3102</v>
      </c>
      <c r="D3" s="2935" t="s">
        <v>3103</v>
      </c>
      <c r="E3" s="2935" t="s">
        <v>3104</v>
      </c>
    </row>
    <row r="4" spans="2:14">
      <c r="B4" s="2936">
        <v>2016.1</v>
      </c>
      <c r="C4" s="2938">
        <v>5118</v>
      </c>
      <c r="D4" s="2938">
        <v>1.81</v>
      </c>
      <c r="E4" s="2937"/>
    </row>
    <row r="5" spans="2:14">
      <c r="B5" s="2939">
        <v>2016.2</v>
      </c>
      <c r="C5" s="2941">
        <v>5205</v>
      </c>
      <c r="D5" s="2941">
        <v>1.7</v>
      </c>
      <c r="E5" s="2940"/>
    </row>
    <row r="6" spans="2:14">
      <c r="B6" s="2936">
        <v>2016.3</v>
      </c>
      <c r="C6" s="2938">
        <v>5317</v>
      </c>
      <c r="D6" s="2938">
        <v>2.15</v>
      </c>
      <c r="E6" s="2937"/>
    </row>
    <row r="7" spans="2:14">
      <c r="B7" s="2939">
        <v>2016.4</v>
      </c>
      <c r="C7" s="2941">
        <v>5401</v>
      </c>
      <c r="D7" s="2941">
        <v>1.58</v>
      </c>
      <c r="E7" s="2940"/>
      <c r="I7">
        <v>1</v>
      </c>
      <c r="J7">
        <v>20000</v>
      </c>
      <c r="L7">
        <v>0.6</v>
      </c>
    </row>
    <row r="8" spans="2:14" ht="14.25">
      <c r="B8" s="2942">
        <v>2017.1</v>
      </c>
      <c r="C8" s="2943">
        <v>5441</v>
      </c>
      <c r="D8" s="2943">
        <v>0.74</v>
      </c>
      <c r="I8">
        <v>2</v>
      </c>
      <c r="J8">
        <f>J7*0.6</f>
        <v>12000</v>
      </c>
      <c r="L8">
        <f>$L$7*典型户型修正!Q25</f>
        <v>0.42</v>
      </c>
    </row>
    <row r="9" spans="2:14">
      <c r="D9">
        <f>SUM(D4:D8)</f>
        <v>7.98</v>
      </c>
      <c r="I9">
        <v>3</v>
      </c>
      <c r="J9">
        <f>J7*0.5</f>
        <v>10000</v>
      </c>
      <c r="L9">
        <f>$L$7*典型户型修正!Q26</f>
        <v>0.36</v>
      </c>
      <c r="N9">
        <v>0.4</v>
      </c>
    </row>
    <row r="10" spans="2:14">
      <c r="D10">
        <f>D9/4</f>
        <v>1.9950000000000001</v>
      </c>
      <c r="I10">
        <v>4</v>
      </c>
      <c r="J10">
        <f>J7*0.45</f>
        <v>9000</v>
      </c>
      <c r="L10">
        <f>$L$7*典型户型修正!Q27</f>
        <v>0.3</v>
      </c>
    </row>
    <row r="11" spans="2:14">
      <c r="I11">
        <v>5</v>
      </c>
      <c r="J11">
        <f>J7*0.4</f>
        <v>8000</v>
      </c>
      <c r="L11">
        <f>$L$7*典型户型修正!Q28</f>
        <v>0.3</v>
      </c>
    </row>
    <row r="12" spans="2:14">
      <c r="J12">
        <f>SUM(J7:J11)</f>
        <v>59000</v>
      </c>
      <c r="K12">
        <f>J12/5</f>
        <v>11800</v>
      </c>
      <c r="L12">
        <f>SUM(L7:L11)</f>
        <v>1.98</v>
      </c>
      <c r="M12">
        <f>ROUND(L12/5,2)</f>
        <v>0.4</v>
      </c>
    </row>
    <row r="15" spans="2:14">
      <c r="B15" s="2952" t="s">
        <v>3191</v>
      </c>
      <c r="C15" s="2953">
        <v>42736</v>
      </c>
    </row>
    <row r="16" spans="2:14">
      <c r="B16">
        <v>6169.5</v>
      </c>
      <c r="C16">
        <v>2.2000000000000002</v>
      </c>
    </row>
    <row r="19" spans="1:13">
      <c r="A19" s="2955" t="s">
        <v>3204</v>
      </c>
      <c r="B19" s="2955" t="s">
        <v>3199</v>
      </c>
      <c r="C19" s="2955" t="s">
        <v>3200</v>
      </c>
      <c r="D19" s="2955" t="s">
        <v>3201</v>
      </c>
      <c r="E19" s="2957" t="s">
        <v>3221</v>
      </c>
      <c r="F19" s="2957" t="s">
        <v>3224</v>
      </c>
      <c r="J19" s="2952" t="s">
        <v>3208</v>
      </c>
      <c r="K19" s="2952" t="s">
        <v>3205</v>
      </c>
      <c r="L19" s="2952" t="s">
        <v>3206</v>
      </c>
      <c r="M19" s="2952" t="s">
        <v>3207</v>
      </c>
    </row>
    <row r="20" spans="1:13">
      <c r="A20" s="2955" t="s">
        <v>3194</v>
      </c>
      <c r="B20" s="2956">
        <v>600.77</v>
      </c>
      <c r="C20" s="2956">
        <v>852.3</v>
      </c>
      <c r="D20" s="2956">
        <v>100</v>
      </c>
      <c r="E20" s="2956">
        <f>SUM(B20:D20)</f>
        <v>1553.07</v>
      </c>
      <c r="F20" s="2956">
        <f>ROUND(E20/$B$26*'数据-基础表'!$A$3,2)</f>
        <v>443.73</v>
      </c>
    </row>
    <row r="21" spans="1:13">
      <c r="A21" s="2955" t="s">
        <v>3195</v>
      </c>
      <c r="B21" s="2956">
        <v>909.53</v>
      </c>
      <c r="C21" s="2956"/>
      <c r="D21" s="2956">
        <v>643.54</v>
      </c>
      <c r="E21" s="2956">
        <f t="shared" ref="E21:E25" si="0">SUM(B21:D21)</f>
        <v>1553.07</v>
      </c>
      <c r="F21" s="2956">
        <f>ROUND(E21/$B$26*'数据-基础表'!$A$3,2)</f>
        <v>443.73</v>
      </c>
      <c r="J21">
        <v>2017</v>
      </c>
      <c r="K21">
        <v>0</v>
      </c>
      <c r="L21">
        <f>19+31</f>
        <v>50</v>
      </c>
      <c r="M21">
        <v>0</v>
      </c>
    </row>
    <row r="22" spans="1:13">
      <c r="A22" s="2955" t="s">
        <v>3196</v>
      </c>
      <c r="B22" s="2956">
        <v>1553.07</v>
      </c>
      <c r="C22" s="2956"/>
      <c r="D22" s="2956"/>
      <c r="E22" s="2956">
        <f t="shared" si="0"/>
        <v>1553.07</v>
      </c>
      <c r="F22" s="2956">
        <f>ROUND(E22/$B$26*'数据-基础表'!$A$3,2)</f>
        <v>443.73</v>
      </c>
      <c r="J22">
        <v>2018</v>
      </c>
      <c r="K22">
        <v>0</v>
      </c>
      <c r="L22">
        <v>365</v>
      </c>
      <c r="M22">
        <v>0</v>
      </c>
    </row>
    <row r="23" spans="1:13">
      <c r="A23" s="2955" t="s">
        <v>3197</v>
      </c>
      <c r="B23" s="2956">
        <v>1553.07</v>
      </c>
      <c r="C23" s="2956"/>
      <c r="D23" s="2956"/>
      <c r="E23" s="2956">
        <f t="shared" si="0"/>
        <v>1553.07</v>
      </c>
      <c r="F23" s="2956">
        <f>ROUND(E23/$B$26*'数据-基础表'!$A$3,2)</f>
        <v>443.73</v>
      </c>
      <c r="J23">
        <v>2019</v>
      </c>
      <c r="K23">
        <v>0</v>
      </c>
      <c r="L23">
        <v>365</v>
      </c>
      <c r="M23">
        <v>0</v>
      </c>
    </row>
    <row r="24" spans="1:13">
      <c r="A24" s="2955" t="s">
        <v>3198</v>
      </c>
      <c r="B24" s="2956">
        <v>1553.07</v>
      </c>
      <c r="C24" s="2956"/>
      <c r="D24" s="2956"/>
      <c r="E24" s="2956">
        <f t="shared" si="0"/>
        <v>1553.07</v>
      </c>
      <c r="F24" s="2956">
        <f>ROUND(E24/$B$26*'数据-基础表'!$A$3,2)</f>
        <v>443.73</v>
      </c>
      <c r="J24" s="2952" t="s">
        <v>3209</v>
      </c>
      <c r="K24">
        <v>500000</v>
      </c>
      <c r="L24">
        <v>365</v>
      </c>
      <c r="M24">
        <f t="shared" ref="M24:M30" si="1">K24/$L$24/$B$25</f>
        <v>0.22203757084414</v>
      </c>
    </row>
    <row r="25" spans="1:13">
      <c r="A25" s="2955" t="s">
        <v>3202</v>
      </c>
      <c r="B25" s="2956">
        <f>SUM(B20:B24)</f>
        <v>6169.5099999999993</v>
      </c>
      <c r="C25" s="2956">
        <f>SUM(C20:C24)</f>
        <v>852.3</v>
      </c>
      <c r="D25" s="2956">
        <f>SUM(D20:D24)</f>
        <v>743.54</v>
      </c>
      <c r="E25" s="2956">
        <f t="shared" si="0"/>
        <v>7765.3499999999995</v>
      </c>
      <c r="F25" s="2956">
        <f>ROUND(E25/$B$26*'数据-基础表'!$A$3,2)</f>
        <v>2218.67</v>
      </c>
      <c r="J25" s="2952" t="s">
        <v>3210</v>
      </c>
      <c r="K25">
        <v>500000</v>
      </c>
      <c r="L25">
        <v>365</v>
      </c>
      <c r="M25">
        <f t="shared" si="1"/>
        <v>0.22203757084414</v>
      </c>
    </row>
    <row r="26" spans="1:13">
      <c r="A26" s="2955" t="s">
        <v>3203</v>
      </c>
      <c r="B26" s="3409">
        <f>SUM(B25:D25)</f>
        <v>7765.3499999999995</v>
      </c>
      <c r="C26" s="3409"/>
      <c r="D26" s="3409"/>
      <c r="E26" s="2956"/>
      <c r="J26" s="2952" t="s">
        <v>3211</v>
      </c>
      <c r="K26">
        <v>500000</v>
      </c>
      <c r="L26">
        <v>365</v>
      </c>
      <c r="M26">
        <f t="shared" si="1"/>
        <v>0.22203757084414</v>
      </c>
    </row>
    <row r="27" spans="1:13">
      <c r="J27" s="2952" t="s">
        <v>3212</v>
      </c>
      <c r="K27">
        <f>K26*(1+5%)</f>
        <v>525000</v>
      </c>
      <c r="L27">
        <v>365</v>
      </c>
      <c r="M27">
        <f t="shared" si="1"/>
        <v>0.23313944938634704</v>
      </c>
    </row>
    <row r="28" spans="1:13">
      <c r="J28" s="2952" t="s">
        <v>3213</v>
      </c>
      <c r="K28">
        <f>K26*(1+5%)</f>
        <v>525000</v>
      </c>
      <c r="L28">
        <v>365</v>
      </c>
      <c r="M28">
        <f t="shared" si="1"/>
        <v>0.23313944938634704</v>
      </c>
    </row>
    <row r="29" spans="1:13">
      <c r="J29" s="2952" t="s">
        <v>3214</v>
      </c>
      <c r="K29">
        <f>K26*(1+5%)</f>
        <v>525000</v>
      </c>
      <c r="L29">
        <v>365</v>
      </c>
      <c r="M29">
        <f t="shared" si="1"/>
        <v>0.23313944938634704</v>
      </c>
    </row>
    <row r="30" spans="1:13">
      <c r="J30" s="2952" t="s">
        <v>3215</v>
      </c>
      <c r="K30">
        <f>K29*(1+5%)</f>
        <v>551250</v>
      </c>
      <c r="L30">
        <v>365</v>
      </c>
      <c r="M30">
        <f t="shared" si="1"/>
        <v>0.24479642185566439</v>
      </c>
    </row>
    <row r="31" spans="1:13">
      <c r="J31" s="2952" t="s">
        <v>3216</v>
      </c>
      <c r="K31">
        <f>K29*(1+5%)</f>
        <v>551250</v>
      </c>
      <c r="L31">
        <v>365</v>
      </c>
      <c r="M31">
        <f t="shared" ref="M31:M35" si="2">K31/$L$24/$B$25</f>
        <v>0.24479642185566439</v>
      </c>
    </row>
    <row r="32" spans="1:13">
      <c r="J32" s="2952" t="s">
        <v>3217</v>
      </c>
      <c r="K32">
        <f>K29*(1+5%)</f>
        <v>551250</v>
      </c>
      <c r="L32">
        <v>365</v>
      </c>
      <c r="M32">
        <f t="shared" si="2"/>
        <v>0.24479642185566439</v>
      </c>
    </row>
    <row r="33" spans="10:13">
      <c r="J33" s="2952" t="s">
        <v>3218</v>
      </c>
      <c r="K33">
        <f>K32*(1+5%)</f>
        <v>578812.5</v>
      </c>
      <c r="L33">
        <v>365</v>
      </c>
      <c r="M33">
        <f t="shared" si="2"/>
        <v>0.25703624294844757</v>
      </c>
    </row>
    <row r="34" spans="10:13">
      <c r="J34" s="2952" t="s">
        <v>3219</v>
      </c>
      <c r="K34">
        <f>K32*(1+5%)</f>
        <v>578812.5</v>
      </c>
      <c r="L34">
        <v>365</v>
      </c>
      <c r="M34">
        <f t="shared" si="2"/>
        <v>0.25703624294844757</v>
      </c>
    </row>
    <row r="35" spans="10:13">
      <c r="J35" s="2952" t="s">
        <v>3220</v>
      </c>
      <c r="K35">
        <f>K32*(1+5%)</f>
        <v>578812.5</v>
      </c>
      <c r="L35">
        <v>365</v>
      </c>
      <c r="M35">
        <f t="shared" si="2"/>
        <v>0.25703624294844757</v>
      </c>
    </row>
    <row r="36" spans="10:13">
      <c r="K36">
        <f>SUM(K21:K35)</f>
        <v>6465187.5</v>
      </c>
      <c r="L36">
        <f>SUM(L21:L35)</f>
        <v>5160</v>
      </c>
      <c r="M36">
        <f>K36/$L$36/$B$25</f>
        <v>0.20308635758001664</v>
      </c>
    </row>
  </sheetData>
  <mergeCells count="1">
    <mergeCell ref="B26:D26"/>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97" t="str">
        <f>IF(项目基本情况!B9="房地产市场价值","估价结果一览表","结果表-2")</f>
        <v>结果表-2</v>
      </c>
      <c r="B1" s="3097"/>
      <c r="C1" s="3097"/>
      <c r="D1" s="3097"/>
      <c r="E1" s="3097"/>
      <c r="F1" s="3097"/>
      <c r="G1" s="3097"/>
      <c r="H1" s="3097"/>
      <c r="I1" s="3097"/>
    </row>
    <row r="2" spans="1:9" ht="30" customHeight="1" thickTop="1">
      <c r="A2" s="3098" t="s">
        <v>1642</v>
      </c>
      <c r="B2" s="3098" t="s">
        <v>1643</v>
      </c>
      <c r="C2" s="3098" t="s">
        <v>1644</v>
      </c>
      <c r="D2" s="3098" t="str">
        <f>结果表!D116</f>
        <v>出让国有建设用地使用权价值</v>
      </c>
      <c r="E2" s="3098"/>
      <c r="F2" s="3098" t="str">
        <f>结果表!F116</f>
        <v>在建建筑物价值</v>
      </c>
      <c r="G2" s="3098"/>
      <c r="H2" s="3098" t="str">
        <f>IF(项目基本情况!B9="房地产市场价值","房地产市场价值","房地产价值")</f>
        <v>房地产价值</v>
      </c>
      <c r="I2" s="3098"/>
    </row>
    <row r="3" spans="1:9" ht="15">
      <c r="A3" s="3092"/>
      <c r="B3" s="3092"/>
      <c r="C3" s="3092"/>
      <c r="D3" s="1046" t="s">
        <v>1639</v>
      </c>
      <c r="E3" s="1046" t="s">
        <v>1645</v>
      </c>
      <c r="F3" s="1046" t="s">
        <v>1639</v>
      </c>
      <c r="G3" s="1046" t="s">
        <v>1640</v>
      </c>
      <c r="H3" s="1046" t="s">
        <v>1639</v>
      </c>
      <c r="I3" s="1046" t="s">
        <v>1640</v>
      </c>
    </row>
    <row r="4" spans="1:9" ht="30">
      <c r="A4" s="1975" t="str">
        <f>项目基本情况!S2</f>
        <v>河北省保定市涞水县涞水镇府前街2号桥北侧6A#房地产</v>
      </c>
      <c r="B4" s="1046">
        <f>项目基本情况!C17</f>
        <v>7765.3499999999995</v>
      </c>
      <c r="C4" s="1046">
        <f>项目基本情况!C18</f>
        <v>2218.67</v>
      </c>
      <c r="D4" s="1046">
        <f ca="1">结果表!D118</f>
        <v>873</v>
      </c>
      <c r="E4" s="1046">
        <f ca="1">结果表!E118</f>
        <v>1124</v>
      </c>
      <c r="F4" s="1046">
        <f ca="1">结果表!F118</f>
        <v>1288</v>
      </c>
      <c r="G4" s="1046">
        <f ca="1">结果表!G118</f>
        <v>1659</v>
      </c>
      <c r="H4" s="1046">
        <f ca="1">结果表!H118</f>
        <v>2161</v>
      </c>
      <c r="I4" s="1046">
        <f ca="1">结果表!I118</f>
        <v>2783</v>
      </c>
    </row>
    <row r="5" spans="1:9" ht="30" customHeight="1">
      <c r="A5" s="3092" t="s">
        <v>1641</v>
      </c>
      <c r="B5" s="3092"/>
      <c r="C5" s="3092"/>
      <c r="D5" s="3093" t="str">
        <f ca="1">结果表!D119</f>
        <v>捌佰柒拾叁万元整</v>
      </c>
      <c r="E5" s="3093"/>
      <c r="F5" s="3093" t="str">
        <f ca="1">结果表!F119</f>
        <v>壹仟贰佰捌拾捌万元整</v>
      </c>
      <c r="G5" s="3093"/>
      <c r="H5" s="3093" t="str">
        <f ca="1">结果表!H119</f>
        <v>贰仟壹佰陆拾壹万元整</v>
      </c>
      <c r="I5" s="3093"/>
    </row>
    <row r="6" spans="1:9" ht="15.75">
      <c r="A6" s="3091" t="str">
        <f>结果表!A120</f>
        <v>估价师知悉的法定优先受偿款</v>
      </c>
      <c r="B6" s="3091"/>
      <c r="C6" s="3091"/>
      <c r="D6" s="3091">
        <f>结果表!D120</f>
        <v>0</v>
      </c>
      <c r="E6" s="3091"/>
      <c r="F6" s="3091"/>
      <c r="G6" s="3091"/>
      <c r="H6" s="3091"/>
      <c r="I6" s="3091"/>
    </row>
    <row r="7" spans="1:9" ht="15">
      <c r="A7" s="3092" t="s">
        <v>1641</v>
      </c>
      <c r="B7" s="3092"/>
      <c r="C7" s="3092"/>
      <c r="D7" s="3094" t="str">
        <f>结果表!D121</f>
        <v>零元整</v>
      </c>
      <c r="E7" s="3095"/>
      <c r="F7" s="3095"/>
      <c r="G7" s="3095"/>
      <c r="H7" s="3095"/>
      <c r="I7" s="3096"/>
    </row>
    <row r="8" spans="1:9" ht="15.75">
      <c r="A8" s="3091" t="str">
        <f>结果表!A122</f>
        <v>房地产抵押价值</v>
      </c>
      <c r="B8" s="3091"/>
      <c r="C8" s="3091"/>
      <c r="D8" s="3091">
        <f ca="1">结果表!D122</f>
        <v>2161</v>
      </c>
      <c r="E8" s="3091"/>
      <c r="F8" s="3091"/>
      <c r="G8" s="3091"/>
      <c r="H8" s="3091"/>
      <c r="I8" s="3091"/>
    </row>
    <row r="9" spans="1:9" ht="15">
      <c r="A9" s="3092" t="s">
        <v>1641</v>
      </c>
      <c r="B9" s="3092"/>
      <c r="C9" s="3092"/>
      <c r="D9" s="3093" t="str">
        <f ca="1">结果表!D123</f>
        <v>贰仟壹佰陆拾壹万元整</v>
      </c>
      <c r="E9" s="3093"/>
      <c r="F9" s="3093"/>
      <c r="G9" s="3093"/>
      <c r="H9" s="3093"/>
      <c r="I9" s="3093"/>
    </row>
    <row r="10" spans="1:9" ht="15.75">
      <c r="A10" s="3091" t="str">
        <f>结果表!A124</f>
        <v/>
      </c>
      <c r="B10" s="3091"/>
      <c r="C10" s="3091"/>
      <c r="D10" s="3091" t="str">
        <f>结果表!D124</f>
        <v>——</v>
      </c>
      <c r="E10" s="3091"/>
      <c r="F10" s="3091"/>
      <c r="G10" s="3091"/>
      <c r="H10" s="3091"/>
      <c r="I10" s="3091"/>
    </row>
    <row r="11" spans="1:9" ht="15">
      <c r="A11" s="3092" t="s">
        <v>1641</v>
      </c>
      <c r="B11" s="3092"/>
      <c r="C11" s="3092"/>
      <c r="D11" s="3093" t="e">
        <f>结果表!D125</f>
        <v>#VALUE!</v>
      </c>
      <c r="E11" s="3093"/>
      <c r="F11" s="3093"/>
      <c r="G11" s="3093"/>
      <c r="H11" s="3093"/>
      <c r="I11" s="3093"/>
    </row>
    <row r="12" spans="1:9" ht="15.75">
      <c r="A12" s="3091" t="str">
        <f>结果表!A126</f>
        <v/>
      </c>
      <c r="B12" s="3091"/>
      <c r="C12" s="3091"/>
      <c r="D12" s="3091" t="str">
        <f>结果表!D126</f>
        <v>——</v>
      </c>
      <c r="E12" s="3091"/>
      <c r="F12" s="3091"/>
      <c r="G12" s="3091"/>
      <c r="H12" s="3091"/>
      <c r="I12" s="3091"/>
    </row>
    <row r="13" spans="1:9" ht="15.75" thickBot="1">
      <c r="A13" s="3088" t="s">
        <v>1641</v>
      </c>
      <c r="B13" s="3088"/>
      <c r="C13" s="3088"/>
      <c r="D13" s="3089" t="e">
        <f>结果表!D127</f>
        <v>#VALUE!</v>
      </c>
      <c r="E13" s="3089"/>
      <c r="F13" s="3089"/>
      <c r="G13" s="3089"/>
      <c r="H13" s="3089"/>
      <c r="I13" s="3089"/>
    </row>
    <row r="14" spans="1:9" ht="15" thickTop="1">
      <c r="A14" s="3090" t="s">
        <v>1646</v>
      </c>
      <c r="B14" s="3090"/>
      <c r="C14" s="3090"/>
      <c r="D14" s="3090"/>
      <c r="E14" s="3090"/>
      <c r="F14" s="3090"/>
      <c r="G14" s="3090"/>
      <c r="H14" s="3090"/>
      <c r="I14" s="3090"/>
    </row>
    <row r="16" spans="1:9" ht="18.75">
      <c r="A16" s="1976" t="s">
        <v>1629</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105" t="s">
        <v>1663</v>
      </c>
      <c r="B1" s="3105"/>
      <c r="C1" s="3105"/>
      <c r="D1" s="3105"/>
    </row>
    <row r="2" spans="1:4" ht="18">
      <c r="A2" s="3106" t="s">
        <v>1647</v>
      </c>
      <c r="B2" s="3106"/>
      <c r="C2" s="3106"/>
      <c r="D2" s="3106"/>
    </row>
    <row r="3" spans="1:4" ht="18.75">
      <c r="A3" s="1979" t="s">
        <v>1648</v>
      </c>
      <c r="B3" s="1979" t="s">
        <v>1649</v>
      </c>
      <c r="C3" s="1979" t="s">
        <v>1650</v>
      </c>
      <c r="D3" s="1979" t="s">
        <v>1651</v>
      </c>
    </row>
    <row r="4" spans="1:4" ht="56.25" customHeight="1">
      <c r="A4" s="1980" t="str">
        <f>项目基本情况!B4</f>
        <v>郑燚</v>
      </c>
      <c r="B4" s="1981">
        <f ca="1">项目基本情况!C4</f>
        <v>1120070131</v>
      </c>
      <c r="C4" s="1982"/>
      <c r="D4" s="1983" t="s">
        <v>1652</v>
      </c>
    </row>
    <row r="5" spans="1:4" ht="56.25" customHeight="1">
      <c r="A5" s="1980" t="str">
        <f>项目基本情况!D4</f>
        <v>王萌</v>
      </c>
      <c r="B5" s="1981">
        <f ca="1">项目基本情况!E4</f>
        <v>1120130048</v>
      </c>
      <c r="C5" s="1984"/>
      <c r="D5" s="1983" t="s">
        <v>1652</v>
      </c>
    </row>
    <row r="6" spans="1:4" ht="18">
      <c r="A6" s="3106" t="s">
        <v>1653</v>
      </c>
      <c r="B6" s="3106"/>
      <c r="C6" s="3106"/>
      <c r="D6" s="3106"/>
    </row>
    <row r="7" spans="1:4" ht="18.75">
      <c r="A7" s="1979" t="s">
        <v>1648</v>
      </c>
      <c r="B7" s="1981" t="s">
        <v>1654</v>
      </c>
      <c r="C7" s="1979" t="s">
        <v>1650</v>
      </c>
      <c r="D7" s="1979" t="s">
        <v>1651</v>
      </c>
    </row>
    <row r="8" spans="1:4" ht="56.25" customHeight="1">
      <c r="A8" s="1985" t="s">
        <v>869</v>
      </c>
      <c r="B8" s="1985" t="s">
        <v>1</v>
      </c>
      <c r="C8" s="1982"/>
      <c r="D8" s="1983" t="s">
        <v>1652</v>
      </c>
    </row>
    <row r="9" spans="1:4">
      <c r="A9" s="727"/>
      <c r="B9" s="727"/>
      <c r="C9" s="727"/>
      <c r="D9" s="727"/>
    </row>
    <row r="10" spans="1:4" ht="18.75">
      <c r="A10" s="1986" t="s">
        <v>1655</v>
      </c>
      <c r="B10" s="727"/>
      <c r="C10" s="727"/>
      <c r="D10" s="727"/>
    </row>
    <row r="11" spans="1:4" ht="30" customHeight="1">
      <c r="A11" s="3107" t="s">
        <v>1656</v>
      </c>
      <c r="B11" s="3099"/>
      <c r="C11" s="3099"/>
      <c r="D11" s="3099"/>
    </row>
    <row r="12" spans="1:4" ht="15.75">
      <c r="A12" s="30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4"/>
      <c r="C12" s="3104"/>
      <c r="D12" s="3104"/>
    </row>
    <row r="13" spans="1:4" ht="30" customHeight="1">
      <c r="A13" s="30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4"/>
      <c r="C13" s="3104"/>
      <c r="D13" s="3104"/>
    </row>
    <row r="14" spans="1:4" ht="15.75" customHeight="1">
      <c r="A14" s="3099" t="str">
        <f>IF(项目基本情况!B8="抵押","4.本次评估估价师所知悉的法定优先受偿款情况说明如下：","——")</f>
        <v>4.本次评估估价师所知悉的法定优先受偿款情况说明如下：</v>
      </c>
      <c r="B14" s="3104"/>
      <c r="C14" s="3104"/>
      <c r="D14" s="3104"/>
    </row>
    <row r="15" spans="1:4" ht="42" customHeight="1">
      <c r="A15" s="3099" t="str">
        <f>IF(项目基本情况!B8="抵押","（1）"&amp;CONCATENATE(项目基本情况!L20,项目基本情况!L21,项目基本情况!L22),"——")</f>
        <v>（1）根据估价对象《国有土地使用权》原件，截至价值时点，估价对象抵押权未见登记。</v>
      </c>
      <c r="B15" s="3099"/>
      <c r="C15" s="3099"/>
      <c r="D15" s="3099"/>
    </row>
    <row r="16" spans="1:4" ht="30" customHeight="1">
      <c r="A16" s="3101" t="s">
        <v>1657</v>
      </c>
      <c r="B16" s="3101"/>
      <c r="C16" s="3101"/>
      <c r="D16" s="3101"/>
    </row>
    <row r="17" spans="1:4" ht="144" customHeight="1">
      <c r="A17" s="3101" t="s">
        <v>1658</v>
      </c>
      <c r="B17" s="3101"/>
      <c r="C17" s="3101"/>
      <c r="D17" s="3101"/>
    </row>
    <row r="18" spans="1:4" ht="15.75" customHeight="1">
      <c r="A18" s="3099" t="str">
        <f>IF(项目基本情况!B8="抵押",结果表!K120,"——")</f>
        <v>故，本次评估不存在估价师知悉的法定优先受偿款</v>
      </c>
      <c r="B18" s="3099"/>
      <c r="C18" s="3099"/>
      <c r="D18" s="3099"/>
    </row>
    <row r="19" spans="1:4" ht="46.5" customHeight="1">
      <c r="A19" s="30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9"/>
      <c r="C19" s="3099"/>
      <c r="D19" s="3099"/>
    </row>
    <row r="20" spans="1:4" ht="57.75" customHeight="1">
      <c r="A20" s="30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99"/>
      <c r="C20" s="3099"/>
      <c r="D20" s="3099"/>
    </row>
    <row r="21" spans="1:4" ht="57.75" customHeight="1">
      <c r="A21" s="31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2"/>
      <c r="C21" s="3102"/>
      <c r="D21" s="3102"/>
    </row>
    <row r="22" spans="1:4" ht="18.75" customHeight="1">
      <c r="A22" s="3103" t="s">
        <v>1659</v>
      </c>
      <c r="B22" s="3103"/>
      <c r="C22" s="3103"/>
      <c r="D22" s="3103"/>
    </row>
    <row r="23" spans="1:4">
      <c r="A23" s="1987"/>
      <c r="B23" s="1959"/>
      <c r="C23" s="1959"/>
      <c r="D23" s="1959"/>
    </row>
    <row r="24" spans="1:4">
      <c r="A24" s="1987"/>
      <c r="B24" s="1959"/>
      <c r="C24" s="1959"/>
      <c r="D24" s="1959"/>
    </row>
    <row r="25" spans="1:4" ht="18.75">
      <c r="A25" s="1988" t="s">
        <v>1660</v>
      </c>
    </row>
    <row r="26" spans="1:4" ht="18">
      <c r="A26" s="1957"/>
    </row>
    <row r="27" spans="1:4" ht="18.75">
      <c r="A27" s="1957" t="s">
        <v>1661</v>
      </c>
    </row>
    <row r="30" spans="1:4" ht="18.75">
      <c r="D30" s="1988" t="s">
        <v>1662</v>
      </c>
    </row>
    <row r="31" spans="1:4" ht="13.5" customHeight="1">
      <c r="C31" s="3100">
        <v>42551</v>
      </c>
      <c r="D31" s="31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1664</v>
      </c>
    </row>
    <row r="3" spans="1:7">
      <c r="A3" s="1993" t="s">
        <v>82</v>
      </c>
      <c r="B3" s="1977" t="s">
        <v>1665</v>
      </c>
      <c r="G3" s="1994"/>
    </row>
    <row r="4" spans="1:7">
      <c r="G4" s="1994"/>
    </row>
    <row r="5" spans="1:7">
      <c r="A5" s="1996" t="s">
        <v>73</v>
      </c>
      <c r="B5" s="1977" t="s">
        <v>1666</v>
      </c>
      <c r="G5" s="1994"/>
    </row>
    <row r="6" spans="1:7">
      <c r="G6" s="1994"/>
    </row>
    <row r="7" spans="1:7">
      <c r="A7" s="1997" t="s">
        <v>135</v>
      </c>
      <c r="B7" s="1977" t="s">
        <v>1667</v>
      </c>
      <c r="G7" s="1994"/>
    </row>
    <row r="8" spans="1:7">
      <c r="G8" s="1994"/>
    </row>
    <row r="9" spans="1:7">
      <c r="A9" s="1998" t="s">
        <v>74</v>
      </c>
      <c r="B9" s="1977" t="s">
        <v>1668</v>
      </c>
    </row>
    <row r="11" spans="1:7">
      <c r="A11" s="1999" t="s">
        <v>75</v>
      </c>
      <c r="B11" s="2000" t="s">
        <v>72</v>
      </c>
    </row>
    <row r="13" spans="1:7">
      <c r="A13" s="2001" t="s">
        <v>1669</v>
      </c>
    </row>
    <row r="15" spans="1:7" ht="13.5">
      <c r="A15" s="3113" t="s">
        <v>1670</v>
      </c>
      <c r="B15" s="3108" t="s">
        <v>136</v>
      </c>
      <c r="C15" s="3109"/>
    </row>
    <row r="16" spans="1:7" ht="13.5">
      <c r="A16" s="3114"/>
      <c r="B16" s="3108" t="s">
        <v>69</v>
      </c>
      <c r="C16" s="3109"/>
    </row>
    <row r="17" spans="1:3" ht="13.5">
      <c r="A17" s="3114"/>
      <c r="B17" s="3111" t="s">
        <v>1671</v>
      </c>
      <c r="C17" s="2002" t="s">
        <v>1670</v>
      </c>
    </row>
    <row r="18" spans="1:3" ht="13.5">
      <c r="A18" s="3114"/>
      <c r="B18" s="3111"/>
      <c r="C18" s="2002" t="s">
        <v>1672</v>
      </c>
    </row>
    <row r="19" spans="1:3" ht="13.5">
      <c r="A19" s="3114"/>
      <c r="B19" s="3111"/>
      <c r="C19" s="2002" t="s">
        <v>1673</v>
      </c>
    </row>
    <row r="20" spans="1:3" ht="13.5">
      <c r="A20" s="3115"/>
      <c r="B20" s="3110" t="s">
        <v>1674</v>
      </c>
      <c r="C20" s="3109"/>
    </row>
    <row r="21" spans="1:3" ht="13.5">
      <c r="A21" s="2003" t="s">
        <v>1675</v>
      </c>
      <c r="B21" s="2004"/>
      <c r="C21" s="2005"/>
    </row>
    <row r="22" spans="1:3" ht="13.5">
      <c r="A22" s="3112" t="s">
        <v>1676</v>
      </c>
      <c r="B22" s="3110" t="s">
        <v>1677</v>
      </c>
      <c r="C22" s="3109"/>
    </row>
    <row r="23" spans="1:3" ht="13.5">
      <c r="A23" s="3112"/>
      <c r="B23" s="3110" t="s">
        <v>1678</v>
      </c>
      <c r="C23" s="3109"/>
    </row>
    <row r="24" spans="1:3" ht="13.5">
      <c r="A24" s="3112"/>
      <c r="B24" s="3110" t="s">
        <v>1679</v>
      </c>
      <c r="C24" s="3109"/>
    </row>
    <row r="25" spans="1:3" ht="13.5">
      <c r="A25" s="3112"/>
      <c r="B25" s="3111" t="s">
        <v>1680</v>
      </c>
      <c r="C25" s="2002" t="s">
        <v>1681</v>
      </c>
    </row>
    <row r="26" spans="1:3" ht="13.5">
      <c r="A26" s="3112"/>
      <c r="B26" s="3111"/>
      <c r="C26" s="2002" t="s">
        <v>1682</v>
      </c>
    </row>
    <row r="27" spans="1:3" ht="13.5">
      <c r="A27" s="3112"/>
      <c r="B27" s="3111"/>
      <c r="C27" s="2002" t="s">
        <v>1683</v>
      </c>
    </row>
    <row r="28" spans="1:3" ht="13.5">
      <c r="A28" s="3112"/>
      <c r="B28" s="3111"/>
      <c r="C28" s="2002" t="s">
        <v>1684</v>
      </c>
    </row>
    <row r="29" spans="1:3" ht="13.5">
      <c r="A29" s="3112"/>
      <c r="B29" s="3111"/>
      <c r="C29" s="2002" t="s">
        <v>1685</v>
      </c>
    </row>
    <row r="30" spans="1:3" ht="13.5">
      <c r="A30" s="3112"/>
      <c r="B30" s="3111"/>
      <c r="C30" s="2002" t="s">
        <v>1686</v>
      </c>
    </row>
    <row r="31" spans="1:3" ht="13.5">
      <c r="A31" s="3112"/>
      <c r="B31" s="3111"/>
      <c r="C31" s="2002" t="s">
        <v>1687</v>
      </c>
    </row>
    <row r="32" spans="1:3" ht="13.5">
      <c r="A32" s="3112"/>
      <c r="B32" s="3111"/>
      <c r="C32" s="2002" t="s">
        <v>1688</v>
      </c>
    </row>
    <row r="33" spans="1:3" ht="13.5">
      <c r="A33" s="3112"/>
      <c r="B33" s="3111"/>
      <c r="C33" s="2002" t="s">
        <v>1689</v>
      </c>
    </row>
    <row r="34" spans="1:3">
      <c r="A34" s="2006" t="s">
        <v>76</v>
      </c>
    </row>
    <row r="37" spans="1:3">
      <c r="A37" s="2006" t="s">
        <v>1690</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43070</v>
      </c>
      <c r="C2" s="1021" t="s">
        <v>826</v>
      </c>
      <c r="D2" s="1021"/>
    </row>
    <row r="3" spans="1:6" ht="24" customHeight="1">
      <c r="A3" s="1022" t="s">
        <v>827</v>
      </c>
      <c r="B3" s="1023" t="s">
        <v>828</v>
      </c>
      <c r="C3" s="2342" t="s">
        <v>829</v>
      </c>
      <c r="D3" s="2345" t="s">
        <v>830</v>
      </c>
      <c r="E3" s="1024" t="s">
        <v>831</v>
      </c>
      <c r="F3" s="1023" t="s">
        <v>829</v>
      </c>
    </row>
    <row r="4" spans="1:6" ht="24" customHeight="1">
      <c r="A4" s="1705" t="s">
        <v>832</v>
      </c>
      <c r="B4" s="1024">
        <f ca="1">IF(C4&lt;B2,"已过期",1119970066)</f>
        <v>1119970066</v>
      </c>
      <c r="C4" s="2343">
        <v>43849</v>
      </c>
      <c r="D4" s="2346" t="s">
        <v>832</v>
      </c>
      <c r="E4" s="1024">
        <f ca="1">IF(F4&lt;B2,"已过期",96010014)</f>
        <v>96010014</v>
      </c>
      <c r="F4" s="1032">
        <v>47118</v>
      </c>
    </row>
    <row r="5" spans="1:6" ht="24" customHeight="1">
      <c r="A5" s="1705" t="s">
        <v>833</v>
      </c>
      <c r="B5" s="1024">
        <f ca="1">IF(C5&lt;B2,"已过期",1119970074)</f>
        <v>1119970074</v>
      </c>
      <c r="C5" s="2343">
        <v>43849</v>
      </c>
      <c r="D5" s="2346" t="s">
        <v>833</v>
      </c>
      <c r="E5" s="1024">
        <f ca="1">IF(F5&lt;B2,"已过期",2002110027)</f>
        <v>2002110027</v>
      </c>
      <c r="F5" s="1032">
        <v>46752</v>
      </c>
    </row>
    <row r="6" spans="1:6" ht="24" customHeight="1">
      <c r="A6" s="1705" t="s">
        <v>834</v>
      </c>
      <c r="B6" s="1024">
        <f ca="1">IF(C6&lt;B2,"已过期",1119970111)</f>
        <v>1119970111</v>
      </c>
      <c r="C6" s="2343">
        <v>43849</v>
      </c>
      <c r="D6" s="2346" t="s">
        <v>834</v>
      </c>
      <c r="E6" s="1024">
        <f ca="1">IF(F6&lt;B2,"已过期",94010078)</f>
        <v>94010078</v>
      </c>
      <c r="F6" s="1032">
        <v>46387</v>
      </c>
    </row>
    <row r="7" spans="1:6" ht="24" customHeight="1">
      <c r="A7" s="1705" t="s">
        <v>835</v>
      </c>
      <c r="B7" s="1024">
        <f ca="1">IF(C7&lt;B2,"已过期",1120050019)</f>
        <v>1120050019</v>
      </c>
      <c r="C7" s="2343">
        <v>43359</v>
      </c>
      <c r="D7" s="2346" t="s">
        <v>835</v>
      </c>
      <c r="E7" s="1024">
        <f ca="1">IF(F7&lt;B2,"已过期",2002110030)</f>
        <v>2002110030</v>
      </c>
      <c r="F7" s="1032">
        <v>46387</v>
      </c>
    </row>
    <row r="8" spans="1:6" ht="24" customHeight="1">
      <c r="A8" s="1705" t="s">
        <v>836</v>
      </c>
      <c r="B8" s="1024">
        <f ca="1">IF(C8&lt;B2,"已过期",1120000080)</f>
        <v>1120000080</v>
      </c>
      <c r="C8" s="2343">
        <v>43849</v>
      </c>
      <c r="D8" s="2346" t="s">
        <v>836</v>
      </c>
      <c r="E8" s="1024">
        <f ca="1">IF(F8&lt;B2,"已过期",2000110082)</f>
        <v>2000110082</v>
      </c>
      <c r="F8" s="1032">
        <v>46387</v>
      </c>
    </row>
    <row r="9" spans="1:6" ht="24" customHeight="1">
      <c r="A9" s="1705" t="s">
        <v>837</v>
      </c>
      <c r="B9" s="1024">
        <f ca="1">IF(C9&lt;B2,"已过期",1419970001)</f>
        <v>1419970001</v>
      </c>
      <c r="C9" s="2343">
        <v>43867</v>
      </c>
      <c r="D9" s="2346" t="s">
        <v>837</v>
      </c>
      <c r="E9" s="1024">
        <f ca="1">IF(F9&lt;B2,"已过期",2002110125)</f>
        <v>2002110125</v>
      </c>
      <c r="F9" s="1032">
        <v>47118</v>
      </c>
    </row>
    <row r="10" spans="1:6" ht="24" customHeight="1">
      <c r="A10" s="1705" t="s">
        <v>838</v>
      </c>
      <c r="B10" s="1024">
        <f ca="1">IF(C10&lt;B2,"已过期",1120060040)</f>
        <v>1120060040</v>
      </c>
      <c r="C10" s="2343">
        <v>43483</v>
      </c>
      <c r="D10" s="2346" t="s">
        <v>838</v>
      </c>
      <c r="E10" s="1024">
        <f ca="1">IF(F10&lt;B2,"已过期",2004110096)</f>
        <v>2004110096</v>
      </c>
      <c r="F10" s="1032">
        <v>47118</v>
      </c>
    </row>
    <row r="11" spans="1:6" ht="24" customHeight="1">
      <c r="A11" s="1705" t="s">
        <v>839</v>
      </c>
      <c r="B11" s="1024">
        <f ca="1">IF(C11&lt;B2,"已过期",1120100036)</f>
        <v>1120100036</v>
      </c>
      <c r="C11" s="2343">
        <v>43622</v>
      </c>
      <c r="D11" s="2346" t="s">
        <v>839</v>
      </c>
      <c r="E11" s="1024">
        <f ca="1">IF(F11&lt;B2,"已过期",2010110070)</f>
        <v>2010110070</v>
      </c>
      <c r="F11" s="1032">
        <v>47907</v>
      </c>
    </row>
    <row r="12" spans="1:6" ht="24" customHeight="1">
      <c r="A12" s="1705"/>
      <c r="B12" s="1024"/>
      <c r="C12" s="2343"/>
      <c r="D12" s="2346"/>
      <c r="E12" s="1024"/>
      <c r="F12" s="1024"/>
    </row>
    <row r="13" spans="1:6" ht="24" customHeight="1">
      <c r="A13" s="1705" t="s">
        <v>840</v>
      </c>
      <c r="B13" s="1024">
        <f ca="1">IF(C13&lt;B2,"已过期",1120070131)</f>
        <v>1120070131</v>
      </c>
      <c r="C13" s="2343">
        <v>43814</v>
      </c>
      <c r="D13" s="2346" t="s">
        <v>840</v>
      </c>
      <c r="E13" s="1024">
        <v>2014110011</v>
      </c>
      <c r="F13" s="1032">
        <v>49302</v>
      </c>
    </row>
    <row r="14" spans="1:6" ht="24" customHeight="1">
      <c r="A14" s="1705" t="s">
        <v>841</v>
      </c>
      <c r="B14" s="1024">
        <f ca="1">IF(C14&lt;B2,"已过期",1120130020)</f>
        <v>1120130020</v>
      </c>
      <c r="C14" s="2343">
        <v>43622</v>
      </c>
      <c r="D14" s="2346"/>
      <c r="E14" s="1024"/>
      <c r="F14" s="1024"/>
    </row>
    <row r="15" spans="1:6" ht="24" customHeight="1">
      <c r="A15" s="1706" t="s">
        <v>1149</v>
      </c>
      <c r="B15" s="1024">
        <v>1120070085</v>
      </c>
      <c r="C15" s="2343">
        <v>43814</v>
      </c>
      <c r="D15" s="2347" t="s">
        <v>1149</v>
      </c>
      <c r="E15" s="1024">
        <v>2004110128</v>
      </c>
      <c r="F15" s="1025">
        <v>47118</v>
      </c>
    </row>
    <row r="16" spans="1:6" ht="24" customHeight="1">
      <c r="A16" s="1705" t="s">
        <v>842</v>
      </c>
      <c r="B16" s="1024">
        <f ca="1">IF(C16&lt;B2,"已过期",1120140022)</f>
        <v>1120140022</v>
      </c>
      <c r="C16" s="2343">
        <v>44029</v>
      </c>
      <c r="D16" s="2346" t="s">
        <v>842</v>
      </c>
      <c r="E16" s="1024">
        <f ca="1">IF(F16&lt;B2,"已过期",2008110059)</f>
        <v>2008110059</v>
      </c>
      <c r="F16" s="1032">
        <v>47177</v>
      </c>
    </row>
    <row r="17" spans="1:7" ht="24" customHeight="1">
      <c r="A17" s="1705"/>
      <c r="B17" s="1024"/>
      <c r="C17" s="2343"/>
      <c r="D17" s="2346"/>
      <c r="E17" s="1024"/>
      <c r="F17" s="1032"/>
    </row>
    <row r="18" spans="1:7" ht="24" customHeight="1">
      <c r="A18" s="1705"/>
      <c r="B18" s="1024"/>
      <c r="C18" s="2343"/>
      <c r="D18" s="2346"/>
      <c r="E18" s="1024"/>
      <c r="F18" s="1032"/>
    </row>
    <row r="19" spans="1:7" ht="24" customHeight="1">
      <c r="A19" s="1705"/>
      <c r="B19" s="1024"/>
      <c r="C19" s="2343"/>
      <c r="D19" s="2346"/>
      <c r="E19" s="1024"/>
      <c r="F19" s="1024"/>
    </row>
    <row r="20" spans="1:7" ht="24" customHeight="1">
      <c r="A20" s="1705"/>
      <c r="B20" s="1024"/>
      <c r="C20" s="2343"/>
      <c r="D20" s="2346"/>
      <c r="E20" s="1024"/>
      <c r="F20" s="1024"/>
    </row>
    <row r="21" spans="1:7" ht="24" customHeight="1">
      <c r="A21" s="1705"/>
      <c r="B21" s="1024"/>
      <c r="C21" s="2343"/>
      <c r="D21" s="2346" t="s">
        <v>843</v>
      </c>
      <c r="E21" s="1024">
        <f ca="1">IF(F21&lt;B2,"已过期",2011110090)</f>
        <v>2011110090</v>
      </c>
      <c r="F21" s="1032">
        <v>48302</v>
      </c>
    </row>
    <row r="22" spans="1:7" ht="24" customHeight="1">
      <c r="A22" s="1705" t="s">
        <v>844</v>
      </c>
      <c r="B22" s="1024">
        <f ca="1">IF(C22&lt;B2,"已过期",1120020033)</f>
        <v>1120020033</v>
      </c>
      <c r="C22" s="2343">
        <v>43304</v>
      </c>
      <c r="D22" s="2346" t="s">
        <v>844</v>
      </c>
      <c r="E22" s="1024">
        <f ca="1">IF(F22&lt;B2,"已过期",2000110137)</f>
        <v>2000110137</v>
      </c>
      <c r="F22" s="1032">
        <v>46387</v>
      </c>
    </row>
    <row r="23" spans="1:7" ht="24" customHeight="1">
      <c r="A23" s="1705" t="s">
        <v>845</v>
      </c>
      <c r="B23" s="1024">
        <f ca="1">IF(C23&lt;B2,"已过期",1120130048)</f>
        <v>1120130048</v>
      </c>
      <c r="C23" s="2343">
        <v>43686</v>
      </c>
      <c r="D23" s="2346"/>
      <c r="E23" s="1024"/>
      <c r="F23" s="1024"/>
    </row>
    <row r="24" spans="1:7" s="1026" customFormat="1" ht="24" customHeight="1">
      <c r="A24" s="1706" t="s">
        <v>1334</v>
      </c>
      <c r="B24" s="1706" t="s">
        <v>1334</v>
      </c>
      <c r="C24" s="2344" t="s">
        <v>1334</v>
      </c>
      <c r="D24" s="2347" t="s">
        <v>1334</v>
      </c>
      <c r="E24" s="1706" t="s">
        <v>1334</v>
      </c>
      <c r="F24" s="1706" t="s">
        <v>1334</v>
      </c>
    </row>
    <row r="25" spans="1:7" ht="24" customHeight="1">
      <c r="A25" s="3116" t="s">
        <v>846</v>
      </c>
      <c r="B25" s="3116"/>
      <c r="C25" s="3116"/>
      <c r="D25" s="3116"/>
      <c r="E25" s="3116"/>
      <c r="F25" s="3116"/>
      <c r="G25" s="3116"/>
    </row>
    <row r="26" spans="1:7" s="1027" customFormat="1" ht="24" customHeight="1">
      <c r="A26" s="3117" t="s">
        <v>847</v>
      </c>
      <c r="B26" s="3117"/>
      <c r="C26" s="3118"/>
      <c r="D26" s="3119" t="s">
        <v>848</v>
      </c>
      <c r="E26" s="3117"/>
      <c r="F26" s="3117"/>
    </row>
    <row r="27" spans="1:7" s="1029" customFormat="1" ht="24" customHeight="1">
      <c r="A27" s="1028" t="s">
        <v>849</v>
      </c>
      <c r="B27" s="1023" t="s">
        <v>850</v>
      </c>
      <c r="C27" s="2342" t="s">
        <v>851</v>
      </c>
      <c r="D27" s="2350" t="s">
        <v>849</v>
      </c>
      <c r="E27" s="1023" t="s">
        <v>850</v>
      </c>
      <c r="F27" s="1023" t="s">
        <v>851</v>
      </c>
    </row>
    <row r="28" spans="1:7" s="1029" customFormat="1" ht="24" customHeight="1">
      <c r="A28" s="1030" t="s">
        <v>852</v>
      </c>
      <c r="B28" s="1031" t="s">
        <v>853</v>
      </c>
      <c r="C28" s="2348">
        <v>43725</v>
      </c>
      <c r="D28" s="2351" t="s">
        <v>854</v>
      </c>
      <c r="E28" s="1030" t="s">
        <v>855</v>
      </c>
      <c r="F28" s="1060">
        <v>44377</v>
      </c>
    </row>
    <row r="29" spans="1:7" s="1029" customFormat="1" ht="24" customHeight="1">
      <c r="A29" s="1030"/>
      <c r="B29" s="1030"/>
      <c r="C29" s="2349"/>
      <c r="D29" s="2351" t="s">
        <v>856</v>
      </c>
      <c r="E29" s="1204" t="s">
        <v>1385</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01" priority="55">
      <formula>AND($C28-TODAY()&lt;30,TODAY()&lt;$C28)</formula>
    </cfRule>
  </conditionalFormatting>
  <conditionalFormatting sqref="C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F28">
    <cfRule type="expression" dxfId="165" priority="12">
      <formula>AND($E28-TODAY()&lt;30,TODAY()&lt;$E28)</formula>
    </cfRule>
  </conditionalFormatting>
  <conditionalFormatting sqref="F28">
    <cfRule type="cellIs" dxfId="164" priority="13" stopIfTrue="1" operator="lessThan">
      <formula>$B$2</formula>
    </cfRule>
  </conditionalFormatting>
  <conditionalFormatting sqref="F29">
    <cfRule type="expression" dxfId="163" priority="8" stopIfTrue="1">
      <formula>AND($E29-TODAY()&lt;30,TODAY()&lt;$E29)</formula>
    </cfRule>
  </conditionalFormatting>
  <conditionalFormatting sqref="F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收益法 (元)</vt:lpstr>
      <vt:lpstr>收益法 (2)</vt:lpstr>
      <vt:lpstr>收益法 (承租人权益)</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(2)'!Print_Area</vt:lpstr>
      <vt:lpstr>'收益法 (承租人权益)'!Print_Area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2017-12-01T05:09:47Z</dcterms:modified>
</cp:coreProperties>
</file>