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北京市东城区甘水桥14号楼3层1单元302\"/>
    </mc:Choice>
  </mc:AlternateContent>
  <bookViews>
    <workbookView xWindow="0" yWindow="0" windowWidth="22776" windowHeight="13560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02基准地价" sheetId="63" r:id="rId7"/>
    <sheet name="2014基准地价" sheetId="43" state="hidden" r:id="rId8"/>
    <sheet name="2014因素修正幅度" sheetId="56" state="hidden" r:id="rId9"/>
    <sheet name="2014区片价" sheetId="44" state="hidden" r:id="rId10"/>
    <sheet name="2014修正" sheetId="45" state="hidden" r:id="rId11"/>
    <sheet name="2014容积率修正" sheetId="46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6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8" i="63" l="1"/>
  <c r="D29" i="43" l="1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8" i="68" s="1"/>
  <c r="B3" i="68"/>
  <c r="B8" i="68"/>
  <c r="B7" i="68"/>
  <c r="B6" i="68"/>
  <c r="B5" i="68"/>
  <c r="N25" i="67"/>
  <c r="O25" i="67"/>
  <c r="P25" i="67"/>
  <c r="Q25" i="67"/>
  <c r="N26" i="67"/>
  <c r="O26" i="67"/>
  <c r="C26" i="67" s="1"/>
  <c r="P26" i="67"/>
  <c r="Q26" i="67"/>
  <c r="F26" i="67" s="1"/>
  <c r="F25" i="67" s="1"/>
  <c r="F24" i="67" s="1"/>
  <c r="B26" i="67"/>
  <c r="S26" i="67" s="1"/>
  <c r="E26" i="67"/>
  <c r="U26" i="67" s="1"/>
  <c r="B25" i="67"/>
  <c r="B24" i="67" s="1"/>
  <c r="C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B85" i="67"/>
  <c r="B84" i="67" s="1"/>
  <c r="F82" i="67"/>
  <c r="F81" i="67" s="1"/>
  <c r="F80" i="67" s="1"/>
  <c r="E82" i="67"/>
  <c r="C82" i="67"/>
  <c r="B82" i="67"/>
  <c r="B81" i="67" s="1"/>
  <c r="E81" i="67"/>
  <c r="E80" i="67" s="1"/>
  <c r="B80" i="67"/>
  <c r="Q78" i="67"/>
  <c r="P78" i="67"/>
  <c r="O78" i="67"/>
  <c r="N78" i="67"/>
  <c r="F78" i="67"/>
  <c r="V78" i="67" s="1"/>
  <c r="E78" i="67"/>
  <c r="U78" i="67"/>
  <c r="C78" i="67"/>
  <c r="T78" i="67" s="1"/>
  <c r="B78" i="67"/>
  <c r="S78" i="67"/>
  <c r="Q77" i="67"/>
  <c r="P77" i="67"/>
  <c r="O77" i="67"/>
  <c r="N77" i="67"/>
  <c r="F77" i="67"/>
  <c r="F76" i="67" s="1"/>
  <c r="E77" i="67"/>
  <c r="B77" i="67"/>
  <c r="B76" i="67" s="1"/>
  <c r="Q76" i="67"/>
  <c r="P76" i="67"/>
  <c r="O76" i="67"/>
  <c r="N76" i="67"/>
  <c r="E76" i="67"/>
  <c r="Q75" i="67"/>
  <c r="P75" i="67"/>
  <c r="O75" i="67"/>
  <c r="N75" i="67"/>
  <c r="Q74" i="67"/>
  <c r="P74" i="67"/>
  <c r="O74" i="67"/>
  <c r="N74" i="67"/>
  <c r="F74" i="67"/>
  <c r="V74" i="67"/>
  <c r="E74" i="67"/>
  <c r="U74" i="67" s="1"/>
  <c r="C74" i="67"/>
  <c r="T74" i="67"/>
  <c r="B74" i="67"/>
  <c r="S74" i="67" s="1"/>
  <c r="Q73" i="67"/>
  <c r="P73" i="67"/>
  <c r="O73" i="67"/>
  <c r="N73" i="67"/>
  <c r="F73" i="67"/>
  <c r="E73" i="67"/>
  <c r="E72" i="67" s="1"/>
  <c r="C73" i="67"/>
  <c r="D73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V70" i="67" s="1"/>
  <c r="E70" i="67"/>
  <c r="E69" i="67" s="1"/>
  <c r="E68" i="67" s="1"/>
  <c r="U70" i="67"/>
  <c r="C70" i="67"/>
  <c r="T70" i="67" s="1"/>
  <c r="B70" i="67"/>
  <c r="S70" i="67"/>
  <c r="Q69" i="67"/>
  <c r="P69" i="67"/>
  <c r="O69" i="67"/>
  <c r="N69" i="67"/>
  <c r="F69" i="67"/>
  <c r="F68" i="67" s="1"/>
  <c r="B69" i="67"/>
  <c r="B68" i="67" s="1"/>
  <c r="Q68" i="67"/>
  <c r="P68" i="67"/>
  <c r="O68" i="67"/>
  <c r="N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/>
  <c r="B61" i="67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/>
  <c r="B57" i="67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 s="1"/>
  <c r="N51" i="67"/>
  <c r="B52" i="67"/>
  <c r="B53" i="67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/>
  <c r="B49" i="67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/>
  <c r="C45" i="67"/>
  <c r="D45" i="67" s="1"/>
  <c r="N43" i="67"/>
  <c r="B44" i="67"/>
  <c r="B45" i="67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D41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 s="1"/>
  <c r="F38" i="67" s="1"/>
  <c r="V38" i="67" s="1"/>
  <c r="P35" i="67"/>
  <c r="E36" i="67" s="1"/>
  <c r="E37" i="67" s="1"/>
  <c r="E38" i="67" s="1"/>
  <c r="U38" i="67" s="1"/>
  <c r="O35" i="67"/>
  <c r="C36" i="67"/>
  <c r="C37" i="67" s="1"/>
  <c r="D37" i="67" s="1"/>
  <c r="C38" i="67"/>
  <c r="N35" i="67"/>
  <c r="B36" i="67" s="1"/>
  <c r="B37" i="67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/>
  <c r="C33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 s="1"/>
  <c r="F30" i="67" s="1"/>
  <c r="V30" i="67" s="1"/>
  <c r="P27" i="67"/>
  <c r="E28" i="67" s="1"/>
  <c r="E29" i="67" s="1"/>
  <c r="E30" i="67" s="1"/>
  <c r="U30" i="67" s="1"/>
  <c r="O27" i="67"/>
  <c r="C28" i="67"/>
  <c r="C29" i="67" s="1"/>
  <c r="C30" i="67"/>
  <c r="N27" i="67"/>
  <c r="B28" i="67" s="1"/>
  <c r="B29" i="67"/>
  <c r="B30" i="67" s="1"/>
  <c r="S30" i="67" s="1"/>
  <c r="C21" i="67"/>
  <c r="D28" i="67"/>
  <c r="D32" i="67"/>
  <c r="D36" i="67"/>
  <c r="D44" i="67"/>
  <c r="D64" i="67"/>
  <c r="D66" i="67"/>
  <c r="D70" i="67"/>
  <c r="D74" i="67"/>
  <c r="D78" i="67"/>
  <c r="D29" i="67"/>
  <c r="D65" i="67"/>
  <c r="N66" i="67"/>
  <c r="P66" i="67"/>
  <c r="O66" i="67"/>
  <c r="Q66" i="67"/>
  <c r="Y63" i="66"/>
  <c r="Y62" i="66" s="1"/>
  <c r="Y61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K10" i="66" s="1"/>
  <c r="B12" i="66"/>
  <c r="C12" i="66"/>
  <c r="E12" i="66"/>
  <c r="F12" i="66"/>
  <c r="K12" i="66" s="1"/>
  <c r="B13" i="66"/>
  <c r="C13" i="66"/>
  <c r="E13" i="66"/>
  <c r="F13" i="66"/>
  <c r="B14" i="66"/>
  <c r="C14" i="66"/>
  <c r="E14" i="66"/>
  <c r="F14" i="66"/>
  <c r="K8" i="66" s="1"/>
  <c r="B15" i="66"/>
  <c r="C15" i="66"/>
  <c r="E15" i="66"/>
  <c r="F15" i="66"/>
  <c r="B16" i="66"/>
  <c r="C16" i="66"/>
  <c r="E16" i="66"/>
  <c r="F16" i="66"/>
  <c r="B17" i="66"/>
  <c r="C17" i="66"/>
  <c r="E17" i="66"/>
  <c r="F17" i="66"/>
  <c r="K17" i="66" s="1"/>
  <c r="B18" i="66"/>
  <c r="C18" i="66"/>
  <c r="H18" i="66"/>
  <c r="E18" i="66"/>
  <c r="J18" i="66" s="1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 s="1"/>
  <c r="D67" i="66"/>
  <c r="AA67" i="66"/>
  <c r="AA66" i="66" s="1"/>
  <c r="AA65" i="66" s="1"/>
  <c r="V65" i="66" s="1"/>
  <c r="E65" i="66" s="1"/>
  <c r="O44" i="66" s="1"/>
  <c r="V64" i="66"/>
  <c r="E64" i="66" s="1"/>
  <c r="AB67" i="66"/>
  <c r="W67" i="66"/>
  <c r="F67" i="66"/>
  <c r="Y67" i="66"/>
  <c r="Y66" i="66" s="1"/>
  <c r="Y65" i="66" s="1"/>
  <c r="T64" i="66"/>
  <c r="B64" i="66"/>
  <c r="AB63" i="66"/>
  <c r="W63" i="66"/>
  <c r="F63" i="66"/>
  <c r="AA63" i="66"/>
  <c r="AA62" i="66" s="1"/>
  <c r="V62" i="66" s="1"/>
  <c r="E62" i="66" s="1"/>
  <c r="Z63" i="66"/>
  <c r="U63" i="66"/>
  <c r="C63" i="66"/>
  <c r="D63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H17" i="66"/>
  <c r="K16" i="66"/>
  <c r="H16" i="66"/>
  <c r="H15" i="66"/>
  <c r="K14" i="66"/>
  <c r="H14" i="66"/>
  <c r="H13" i="66"/>
  <c r="H12" i="66"/>
  <c r="K11" i="66"/>
  <c r="H11" i="66"/>
  <c r="H10" i="66"/>
  <c r="K9" i="66"/>
  <c r="H9" i="66"/>
  <c r="H8" i="66"/>
  <c r="K7" i="66"/>
  <c r="H7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J16" i="66"/>
  <c r="G16" i="66"/>
  <c r="J15" i="66"/>
  <c r="J14" i="66"/>
  <c r="G14" i="66"/>
  <c r="J13" i="66"/>
  <c r="J12" i="66"/>
  <c r="J2" i="66"/>
  <c r="N23" i="43" s="1"/>
  <c r="J11" i="66"/>
  <c r="J10" i="66"/>
  <c r="J9" i="66"/>
  <c r="J8" i="66"/>
  <c r="J7" i="66"/>
  <c r="J6" i="66"/>
  <c r="J5" i="66"/>
  <c r="I4" i="66"/>
  <c r="V67" i="66"/>
  <c r="E67" i="66" s="1"/>
  <c r="Z62" i="66"/>
  <c r="U62" i="66"/>
  <c r="C62" i="66" s="1"/>
  <c r="T63" i="66"/>
  <c r="B63" i="66"/>
  <c r="AB62" i="66"/>
  <c r="T67" i="66"/>
  <c r="B67" i="66"/>
  <c r="T60" i="66"/>
  <c r="B60" i="66" s="1"/>
  <c r="T61" i="66"/>
  <c r="B61" i="66"/>
  <c r="AA61" i="66"/>
  <c r="V66" i="66"/>
  <c r="E66" i="66" s="1"/>
  <c r="O66" i="66" s="1"/>
  <c r="T66" i="66"/>
  <c r="B66" i="66"/>
  <c r="L66" i="66" s="1"/>
  <c r="O65" i="66"/>
  <c r="T65" i="66"/>
  <c r="B65" i="66" s="1"/>
  <c r="V63" i="66"/>
  <c r="E63" i="66" s="1"/>
  <c r="T62" i="66"/>
  <c r="B62" i="66"/>
  <c r="L62" i="66"/>
  <c r="AB66" i="66"/>
  <c r="Z66" i="66"/>
  <c r="G32" i="59"/>
  <c r="G31" i="59"/>
  <c r="G30" i="59"/>
  <c r="O2" i="59"/>
  <c r="O3" i="59" s="1"/>
  <c r="F28" i="59" s="1"/>
  <c r="P33" i="59"/>
  <c r="Q33" i="59"/>
  <c r="R33" i="59"/>
  <c r="O33" i="59"/>
  <c r="H21" i="59"/>
  <c r="O63" i="66"/>
  <c r="L26" i="66"/>
  <c r="I10" i="66"/>
  <c r="I12" i="66"/>
  <c r="I14" i="66"/>
  <c r="I16" i="66"/>
  <c r="I18" i="66"/>
  <c r="L36" i="66"/>
  <c r="L40" i="66"/>
  <c r="L52" i="66"/>
  <c r="L57" i="66"/>
  <c r="I11" i="66"/>
  <c r="I13" i="66"/>
  <c r="I15" i="66"/>
  <c r="I17" i="66"/>
  <c r="Z61" i="66"/>
  <c r="U66" i="66"/>
  <c r="C66" i="66"/>
  <c r="D66" i="66" s="1"/>
  <c r="N66" i="66" s="1"/>
  <c r="Z65" i="66"/>
  <c r="U65" i="66" s="1"/>
  <c r="C65" i="66" s="1"/>
  <c r="V60" i="66"/>
  <c r="E60" i="66"/>
  <c r="O57" i="66" s="1"/>
  <c r="V61" i="66"/>
  <c r="E61" i="66" s="1"/>
  <c r="W66" i="66"/>
  <c r="F66" i="66"/>
  <c r="P66" i="66" s="1"/>
  <c r="AB65" i="66"/>
  <c r="O52" i="66"/>
  <c r="O48" i="66"/>
  <c r="O36" i="66"/>
  <c r="O32" i="66"/>
  <c r="O23" i="66"/>
  <c r="M66" i="66"/>
  <c r="W64" i="66"/>
  <c r="F64" i="66"/>
  <c r="W65" i="66"/>
  <c r="F65" i="66" s="1"/>
  <c r="P65" i="66" s="1"/>
  <c r="U64" i="66"/>
  <c r="C64" i="66" s="1"/>
  <c r="C18" i="64"/>
  <c r="D64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C10" i="63" s="1"/>
  <c r="H7" i="39"/>
  <c r="AB7" i="39" s="1"/>
  <c r="T47" i="39" s="1"/>
  <c r="G47" i="39" s="1"/>
  <c r="G51" i="39" s="1"/>
  <c r="H51" i="39" s="1"/>
  <c r="B7" i="64"/>
  <c r="E14" i="64" s="1"/>
  <c r="B5" i="64"/>
  <c r="C25" i="64" s="1"/>
  <c r="B10" i="64"/>
  <c r="D28" i="64" s="1"/>
  <c r="B9" i="64"/>
  <c r="D29" i="64" s="1"/>
  <c r="D14" i="64"/>
  <c r="D30" i="64"/>
  <c r="G11" i="9"/>
  <c r="F7" i="9"/>
  <c r="F6" i="9"/>
  <c r="C63" i="39"/>
  <c r="F9" i="39" s="1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51" i="63" s="1"/>
  <c r="G51" i="63" s="1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F67" i="63" s="1"/>
  <c r="G67" i="63" s="1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F70" i="63" s="1"/>
  <c r="G70" i="63" s="1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F46" i="63" s="1"/>
  <c r="G46" i="63" s="1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J74" i="63" s="1"/>
  <c r="I74" i="63" s="1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J51" i="63" s="1"/>
  <c r="I51" i="63" s="1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J45" i="63" s="1"/>
  <c r="I45" i="63" s="1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 s="1"/>
  <c r="H10" i="63"/>
  <c r="J20" i="43"/>
  <c r="D43" i="63"/>
  <c r="D42" i="63"/>
  <c r="D60" i="63"/>
  <c r="F66" i="63"/>
  <c r="G66" i="63" s="1"/>
  <c r="D66" i="63"/>
  <c r="D64" i="63"/>
  <c r="D62" i="63"/>
  <c r="J61" i="63"/>
  <c r="I61" i="63" s="1"/>
  <c r="D70" i="63"/>
  <c r="D72" i="63"/>
  <c r="D74" i="63"/>
  <c r="J72" i="63"/>
  <c r="I72" i="63" s="1"/>
  <c r="F53" i="63"/>
  <c r="G53" i="63" s="1"/>
  <c r="J60" i="63"/>
  <c r="I60" i="63" s="1"/>
  <c r="D65" i="63"/>
  <c r="D61" i="63"/>
  <c r="J64" i="63"/>
  <c r="I64" i="63" s="1"/>
  <c r="D75" i="63"/>
  <c r="D73" i="63"/>
  <c r="D71" i="63"/>
  <c r="D53" i="63"/>
  <c r="D51" i="63"/>
  <c r="I2" i="43"/>
  <c r="N6" i="43" s="1"/>
  <c r="D1" i="43"/>
  <c r="G2" i="43"/>
  <c r="K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8" i="59"/>
  <c r="F9" i="9" s="1"/>
  <c r="B8" i="59"/>
  <c r="F16" i="59"/>
  <c r="F8" i="9" s="1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1" i="43" s="1"/>
  <c r="J100" i="43"/>
  <c r="J109" i="43" s="1"/>
  <c r="I100" i="43"/>
  <c r="I101" i="43" s="1"/>
  <c r="I109" i="43"/>
  <c r="H100" i="43"/>
  <c r="G100" i="43"/>
  <c r="G109" i="43"/>
  <c r="F100" i="43"/>
  <c r="F109" i="43" s="1"/>
  <c r="E100" i="43"/>
  <c r="E109" i="43" s="1"/>
  <c r="D100" i="43"/>
  <c r="D109" i="43" s="1"/>
  <c r="C100" i="43"/>
  <c r="C109" i="43" s="1"/>
  <c r="L101" i="43"/>
  <c r="N101" i="43"/>
  <c r="D78" i="43"/>
  <c r="B84" i="43"/>
  <c r="B83" i="43"/>
  <c r="B72" i="43"/>
  <c r="B61" i="43"/>
  <c r="B50" i="43"/>
  <c r="M88" i="43"/>
  <c r="N88" i="43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/>
  <c r="K66" i="43"/>
  <c r="J66" i="43" s="1"/>
  <c r="M65" i="43"/>
  <c r="N65" i="43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E48" i="43" s="1"/>
  <c r="B46" i="43" s="1"/>
  <c r="M48" i="43"/>
  <c r="N48" i="43"/>
  <c r="K48" i="43"/>
  <c r="J48" i="43"/>
  <c r="D48" i="43"/>
  <c r="D66" i="43"/>
  <c r="D65" i="43"/>
  <c r="D67" i="43"/>
  <c r="D77" i="43"/>
  <c r="D71" i="43"/>
  <c r="D76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F35" i="39" s="1"/>
  <c r="S35" i="39" s="1"/>
  <c r="B10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AC37" i="39" s="1"/>
  <c r="D97" i="39"/>
  <c r="F34" i="39"/>
  <c r="AA34" i="39" s="1"/>
  <c r="D95" i="39"/>
  <c r="E95" i="39" s="1"/>
  <c r="F95" i="39" s="1"/>
  <c r="G95" i="39" s="1"/>
  <c r="H95" i="39" s="1"/>
  <c r="I95" i="39" s="1"/>
  <c r="J95" i="39" s="1"/>
  <c r="K95" i="39" s="1"/>
  <c r="L95" i="39" s="1"/>
  <c r="M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F85" i="39" s="1"/>
  <c r="D83" i="39"/>
  <c r="E83" i="39" s="1"/>
  <c r="H21" i="39" s="1"/>
  <c r="U21" i="39" s="1"/>
  <c r="D81" i="39"/>
  <c r="E81" i="39" s="1"/>
  <c r="D79" i="39"/>
  <c r="E79" i="39" s="1"/>
  <c r="F17" i="39" s="1"/>
  <c r="AA17" i="39" s="1"/>
  <c r="D77" i="39"/>
  <c r="E77" i="39" s="1"/>
  <c r="J15" i="39" s="1"/>
  <c r="W15" i="39" s="1"/>
  <c r="B74" i="39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42" i="39"/>
  <c r="AB42" i="39"/>
  <c r="J34" i="39"/>
  <c r="AC34" i="39"/>
  <c r="C25" i="39"/>
  <c r="F43" i="39"/>
  <c r="AA43" i="39" s="1"/>
  <c r="H43" i="39"/>
  <c r="U43" i="39" s="1"/>
  <c r="F13" i="39"/>
  <c r="AA13" i="39" s="1"/>
  <c r="J13" i="39"/>
  <c r="W13" i="39" s="1"/>
  <c r="H13" i="39"/>
  <c r="U13" i="39" s="1"/>
  <c r="J41" i="39"/>
  <c r="W41" i="39" s="1"/>
  <c r="J42" i="39"/>
  <c r="H37" i="39"/>
  <c r="AB37" i="39"/>
  <c r="F34" i="43"/>
  <c r="F37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AB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J35" i="39"/>
  <c r="AC35" i="39" s="1"/>
  <c r="M10" i="43"/>
  <c r="E81" i="43"/>
  <c r="D50" i="43"/>
  <c r="F101" i="43"/>
  <c r="D54" i="43"/>
  <c r="B79" i="43"/>
  <c r="J101" i="43"/>
  <c r="G101" i="43"/>
  <c r="J23" i="39"/>
  <c r="AC23" i="39" s="1"/>
  <c r="F23" i="39"/>
  <c r="AA23" i="39" s="1"/>
  <c r="U34" i="39"/>
  <c r="M101" i="43"/>
  <c r="E101" i="43"/>
  <c r="C101" i="43"/>
  <c r="AB13" i="39"/>
  <c r="AC38" i="39"/>
  <c r="AC13" i="39"/>
  <c r="S41" i="39"/>
  <c r="W39" i="39"/>
  <c r="S39" i="39"/>
  <c r="U38" i="39"/>
  <c r="AB39" i="39"/>
  <c r="J40" i="39"/>
  <c r="W40" i="39" s="1"/>
  <c r="H15" i="39"/>
  <c r="U15" i="39" s="1"/>
  <c r="F77" i="39"/>
  <c r="G77" i="39" s="1"/>
  <c r="F15" i="39"/>
  <c r="AA15" i="39" s="1"/>
  <c r="F37" i="39"/>
  <c r="S37" i="39" s="1"/>
  <c r="H41" i="39"/>
  <c r="U41" i="39" s="1"/>
  <c r="AC41" i="39"/>
  <c r="AB45" i="39"/>
  <c r="U45" i="39"/>
  <c r="J45" i="39"/>
  <c r="H23" i="39"/>
  <c r="U23" i="39" s="1"/>
  <c r="G85" i="39"/>
  <c r="U37" i="39"/>
  <c r="AA35" i="39"/>
  <c r="S34" i="39"/>
  <c r="J17" i="39"/>
  <c r="W17" i="39" s="1"/>
  <c r="F83" i="39"/>
  <c r="G83" i="39" s="1"/>
  <c r="F21" i="39"/>
  <c r="AA21" i="39" s="1"/>
  <c r="F32" i="39"/>
  <c r="AA32" i="39" s="1"/>
  <c r="J32" i="39"/>
  <c r="AC32" i="39" s="1"/>
  <c r="H32" i="39"/>
  <c r="U32" i="39" s="1"/>
  <c r="F81" i="39"/>
  <c r="G81" i="39" s="1"/>
  <c r="F19" i="39"/>
  <c r="AA19" i="39" s="1"/>
  <c r="H19" i="39"/>
  <c r="J19" i="39"/>
  <c r="AC19" i="39" s="1"/>
  <c r="W37" i="39"/>
  <c r="W34" i="39"/>
  <c r="AC15" i="39"/>
  <c r="U10" i="39"/>
  <c r="S10" i="39"/>
  <c r="H16" i="44"/>
  <c r="W10" i="39"/>
  <c r="AC10" i="39"/>
  <c r="AB35" i="39"/>
  <c r="S43" i="39"/>
  <c r="U42" i="39"/>
  <c r="W32" i="39"/>
  <c r="AB21" i="39"/>
  <c r="AC40" i="39"/>
  <c r="AB41" i="39"/>
  <c r="S15" i="39"/>
  <c r="AA37" i="39"/>
  <c r="AB32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M9" i="43"/>
  <c r="N3" i="43"/>
  <c r="F48" i="43" s="1"/>
  <c r="M2" i="43"/>
  <c r="N2" i="43"/>
  <c r="F114" i="43"/>
  <c r="A12" i="43"/>
  <c r="F59" i="43"/>
  <c r="H62" i="43" s="1"/>
  <c r="F19" i="43"/>
  <c r="F17" i="59"/>
  <c r="F12" i="59" s="1"/>
  <c r="H16" i="63"/>
  <c r="I3" i="63"/>
  <c r="H8" i="65"/>
  <c r="G5" i="65"/>
  <c r="H7" i="65"/>
  <c r="G4" i="65"/>
  <c r="H6" i="65"/>
  <c r="G6" i="65"/>
  <c r="G7" i="65"/>
  <c r="H5" i="65"/>
  <c r="G8" i="65"/>
  <c r="H4" i="65"/>
  <c r="M7" i="43" l="1"/>
  <c r="H13" i="44"/>
  <c r="H10" i="44"/>
  <c r="H7" i="44"/>
  <c r="H12" i="39"/>
  <c r="E20" i="64"/>
  <c r="H12" i="44"/>
  <c r="H15" i="44"/>
  <c r="H11" i="44"/>
  <c r="H14" i="44"/>
  <c r="H9" i="44"/>
  <c r="M12" i="43"/>
  <c r="M8" i="43"/>
  <c r="J7" i="39"/>
  <c r="AC7" i="39" s="1"/>
  <c r="F7" i="39"/>
  <c r="C5" i="68"/>
  <c r="M5" i="43"/>
  <c r="M3" i="43"/>
  <c r="M1" i="43"/>
  <c r="H8" i="44"/>
  <c r="N1" i="43"/>
  <c r="N9" i="43"/>
  <c r="N8" i="43"/>
  <c r="H5" i="44"/>
  <c r="N10" i="43"/>
  <c r="N7" i="43"/>
  <c r="F70" i="43" s="1"/>
  <c r="H74" i="43" s="1"/>
  <c r="N5" i="43"/>
  <c r="N12" i="43"/>
  <c r="N11" i="43"/>
  <c r="D20" i="63"/>
  <c r="E60" i="63"/>
  <c r="B58" i="63" s="1"/>
  <c r="C15" i="63" s="1"/>
  <c r="E17" i="64"/>
  <c r="D17" i="64"/>
  <c r="D20" i="64"/>
  <c r="D72" i="43"/>
  <c r="D70" i="43"/>
  <c r="E70" i="43" s="1"/>
  <c r="B68" i="43" s="1"/>
  <c r="C24" i="43" s="1"/>
  <c r="J2" i="65"/>
  <c r="E14" i="68"/>
  <c r="D27" i="64"/>
  <c r="C7" i="68"/>
  <c r="C12" i="43"/>
  <c r="I20" i="43"/>
  <c r="AA9" i="39"/>
  <c r="S9" i="39"/>
  <c r="H9" i="39"/>
  <c r="U9" i="39" s="1"/>
  <c r="J9" i="39"/>
  <c r="H65" i="43"/>
  <c r="E70" i="63"/>
  <c r="B68" i="63" s="1"/>
  <c r="C17" i="43"/>
  <c r="F63" i="63"/>
  <c r="G63" i="63" s="1"/>
  <c r="J47" i="63"/>
  <c r="I47" i="63" s="1"/>
  <c r="F72" i="63"/>
  <c r="G72" i="63" s="1"/>
  <c r="F62" i="63"/>
  <c r="G62" i="63" s="1"/>
  <c r="J56" i="63"/>
  <c r="I56" i="63" s="1"/>
  <c r="E17" i="67"/>
  <c r="E16" i="67" s="1"/>
  <c r="E15" i="67" s="1"/>
  <c r="E14" i="67" s="1"/>
  <c r="U18" i="67"/>
  <c r="E10" i="43"/>
  <c r="E8" i="43"/>
  <c r="C7" i="43" s="1"/>
  <c r="E11" i="43"/>
  <c r="E9" i="43"/>
  <c r="F89" i="39"/>
  <c r="G89" i="39" s="1"/>
  <c r="F27" i="39"/>
  <c r="AA27" i="39" s="1"/>
  <c r="J27" i="39"/>
  <c r="C11" i="39"/>
  <c r="B11" i="64"/>
  <c r="C21" i="64" s="1"/>
  <c r="G3" i="63"/>
  <c r="G3" i="43"/>
  <c r="O17" i="43"/>
  <c r="H17" i="43"/>
  <c r="F39" i="43"/>
  <c r="F35" i="43"/>
  <c r="U12" i="39"/>
  <c r="AB12" i="39"/>
  <c r="H44" i="39"/>
  <c r="F44" i="39"/>
  <c r="H36" i="39"/>
  <c r="F36" i="39"/>
  <c r="H59" i="43"/>
  <c r="AB23" i="39"/>
  <c r="S23" i="39"/>
  <c r="J21" i="39"/>
  <c r="AC21" i="39" s="1"/>
  <c r="F79" i="39"/>
  <c r="G79" i="39" s="1"/>
  <c r="AC45" i="39"/>
  <c r="W45" i="39"/>
  <c r="AB43" i="39"/>
  <c r="S8" i="39"/>
  <c r="F12" i="39"/>
  <c r="U40" i="39"/>
  <c r="J31" i="39"/>
  <c r="J36" i="39"/>
  <c r="F5" i="9"/>
  <c r="J75" i="63"/>
  <c r="I75" i="63" s="1"/>
  <c r="F73" i="63"/>
  <c r="G73" i="63" s="1"/>
  <c r="J70" i="63"/>
  <c r="I70" i="63" s="1"/>
  <c r="J55" i="63"/>
  <c r="I55" i="63" s="1"/>
  <c r="F55" i="63"/>
  <c r="G55" i="63" s="1"/>
  <c r="J43" i="63"/>
  <c r="I43" i="63" s="1"/>
  <c r="J42" i="63"/>
  <c r="I42" i="63" s="1"/>
  <c r="F74" i="63"/>
  <c r="G74" i="63" s="1"/>
  <c r="J65" i="63"/>
  <c r="I65" i="63" s="1"/>
  <c r="F52" i="63"/>
  <c r="G52" i="63" s="1"/>
  <c r="D8" i="63"/>
  <c r="A16" i="43"/>
  <c r="A7" i="43"/>
  <c r="D21" i="63"/>
  <c r="D19" i="63"/>
  <c r="S42" i="39"/>
  <c r="U19" i="39"/>
  <c r="AB19" i="39"/>
  <c r="J12" i="39"/>
  <c r="AC12" i="39" s="1"/>
  <c r="AC42" i="39"/>
  <c r="W42" i="39"/>
  <c r="J44" i="39"/>
  <c r="AC8" i="39"/>
  <c r="V47" i="39" s="1"/>
  <c r="I47" i="39" s="1"/>
  <c r="W8" i="39"/>
  <c r="F14" i="39"/>
  <c r="J14" i="39"/>
  <c r="F33" i="43"/>
  <c r="D101" i="43"/>
  <c r="U29" i="39"/>
  <c r="H6" i="44"/>
  <c r="M11" i="43"/>
  <c r="M4" i="43"/>
  <c r="M6" i="43"/>
  <c r="C6" i="43" s="1"/>
  <c r="N4" i="43"/>
  <c r="F65" i="63"/>
  <c r="G65" i="63" s="1"/>
  <c r="F57" i="63"/>
  <c r="G57" i="63" s="1"/>
  <c r="F44" i="63"/>
  <c r="G44" i="63" s="1"/>
  <c r="J67" i="63"/>
  <c r="I67" i="63" s="1"/>
  <c r="F64" i="63"/>
  <c r="G64" i="63" s="1"/>
  <c r="F60" i="63"/>
  <c r="G60" i="63" s="1"/>
  <c r="F56" i="63"/>
  <c r="G56" i="63" s="1"/>
  <c r="F45" i="63"/>
  <c r="G45" i="63" s="1"/>
  <c r="F9" i="63"/>
  <c r="S31" i="39"/>
  <c r="S21" i="39"/>
  <c r="AB15" i="39"/>
  <c r="H17" i="39"/>
  <c r="AB17" i="39" s="1"/>
  <c r="W35" i="39"/>
  <c r="S38" i="39"/>
  <c r="S13" i="39"/>
  <c r="H14" i="39"/>
  <c r="H31" i="39"/>
  <c r="AA45" i="39"/>
  <c r="F38" i="43"/>
  <c r="H114" i="43"/>
  <c r="E59" i="43"/>
  <c r="B57" i="43" s="1"/>
  <c r="H109" i="43"/>
  <c r="H101" i="43"/>
  <c r="K109" i="43"/>
  <c r="E51" i="63"/>
  <c r="B49" i="63" s="1"/>
  <c r="F71" i="63"/>
  <c r="G71" i="63" s="1"/>
  <c r="F61" i="63"/>
  <c r="G61" i="63" s="1"/>
  <c r="J57" i="63"/>
  <c r="I57" i="63" s="1"/>
  <c r="J54" i="63"/>
  <c r="I54" i="63" s="1"/>
  <c r="L1" i="60"/>
  <c r="M1" i="60" s="1"/>
  <c r="C7" i="63" s="1"/>
  <c r="F42" i="63"/>
  <c r="G42" i="63" s="1"/>
  <c r="F54" i="63"/>
  <c r="G54" i="63" s="1"/>
  <c r="J52" i="63"/>
  <c r="I52" i="63" s="1"/>
  <c r="J63" i="63"/>
  <c r="I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P64" i="66"/>
  <c r="M64" i="66"/>
  <c r="M63" i="66"/>
  <c r="L65" i="66"/>
  <c r="L64" i="66"/>
  <c r="L60" i="66"/>
  <c r="L23" i="66"/>
  <c r="L29" i="66"/>
  <c r="L33" i="66"/>
  <c r="L37" i="66"/>
  <c r="L41" i="66"/>
  <c r="L45" i="66"/>
  <c r="L49" i="66"/>
  <c r="L53" i="66"/>
  <c r="L59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47" i="66"/>
  <c r="L51" i="66"/>
  <c r="L55" i="66"/>
  <c r="L58" i="66"/>
  <c r="D82" i="67"/>
  <c r="C81" i="67"/>
  <c r="O62" i="66"/>
  <c r="T38" i="67"/>
  <c r="D38" i="67"/>
  <c r="B2" i="68"/>
  <c r="D5" i="68" s="1"/>
  <c r="F14" i="68"/>
  <c r="S22" i="67"/>
  <c r="B21" i="67"/>
  <c r="B20" i="67" s="1"/>
  <c r="B19" i="67" s="1"/>
  <c r="B18" i="67" s="1"/>
  <c r="F21" i="67"/>
  <c r="F20" i="67" s="1"/>
  <c r="F19" i="67" s="1"/>
  <c r="F18" i="67" s="1"/>
  <c r="V22" i="67"/>
  <c r="U7" i="39"/>
  <c r="P63" i="66"/>
  <c r="O24" i="66"/>
  <c r="O40" i="66"/>
  <c r="O58" i="66"/>
  <c r="U61" i="66"/>
  <c r="C61" i="66" s="1"/>
  <c r="U60" i="66"/>
  <c r="C60" i="66" s="1"/>
  <c r="L48" i="66"/>
  <c r="L32" i="66"/>
  <c r="L22" i="66"/>
  <c r="D62" i="66"/>
  <c r="M62" i="66"/>
  <c r="I9" i="66"/>
  <c r="I8" i="66"/>
  <c r="I6" i="66"/>
  <c r="I7" i="66"/>
  <c r="I5" i="66"/>
  <c r="D33" i="67"/>
  <c r="C34" i="67"/>
  <c r="D26" i="67"/>
  <c r="C25" i="67"/>
  <c r="T26" i="67"/>
  <c r="O28" i="66"/>
  <c r="O60" i="66"/>
  <c r="O59" i="66"/>
  <c r="O56" i="66"/>
  <c r="O51" i="66"/>
  <c r="O47" i="66"/>
  <c r="O43" i="66"/>
  <c r="O39" i="66"/>
  <c r="O35" i="66"/>
  <c r="O31" i="66"/>
  <c r="O27" i="66"/>
  <c r="O22" i="66"/>
  <c r="O21" i="66"/>
  <c r="O61" i="66"/>
  <c r="O55" i="66"/>
  <c r="O53" i="66"/>
  <c r="O49" i="66"/>
  <c r="O45" i="66"/>
  <c r="O41" i="66"/>
  <c r="O37" i="66"/>
  <c r="O33" i="66"/>
  <c r="O29" i="66"/>
  <c r="O25" i="66"/>
  <c r="D65" i="66"/>
  <c r="N65" i="66" s="1"/>
  <c r="M65" i="66"/>
  <c r="L63" i="66"/>
  <c r="L44" i="66"/>
  <c r="L28" i="66"/>
  <c r="L61" i="66"/>
  <c r="F29" i="59"/>
  <c r="F33" i="59" s="1"/>
  <c r="B17" i="9" s="1"/>
  <c r="W62" i="66"/>
  <c r="F62" i="66" s="1"/>
  <c r="P62" i="66" s="1"/>
  <c r="AB61" i="66"/>
  <c r="O64" i="66"/>
  <c r="G8" i="66"/>
  <c r="G6" i="66"/>
  <c r="G7" i="66"/>
  <c r="G5" i="66"/>
  <c r="O19" i="66"/>
  <c r="L18" i="66"/>
  <c r="G18" i="66"/>
  <c r="G17" i="66"/>
  <c r="L17" i="66"/>
  <c r="L2" i="66" s="1"/>
  <c r="C26" i="63" s="1"/>
  <c r="G15" i="66"/>
  <c r="G13" i="66"/>
  <c r="G12" i="66"/>
  <c r="G11" i="66"/>
  <c r="G10" i="66"/>
  <c r="G9" i="66"/>
  <c r="C57" i="67"/>
  <c r="D56" i="67"/>
  <c r="M19" i="66"/>
  <c r="K15" i="66"/>
  <c r="K13" i="66"/>
  <c r="C42" i="67"/>
  <c r="E53" i="67"/>
  <c r="E54" i="67" s="1"/>
  <c r="U54" i="67" s="1"/>
  <c r="D60" i="67"/>
  <c r="C61" i="67"/>
  <c r="O20" i="66"/>
  <c r="O26" i="66"/>
  <c r="O30" i="66"/>
  <c r="O34" i="66"/>
  <c r="O38" i="66"/>
  <c r="O42" i="66"/>
  <c r="O46" i="66"/>
  <c r="O50" i="66"/>
  <c r="O54" i="66"/>
  <c r="K6" i="66"/>
  <c r="L19" i="66"/>
  <c r="O17" i="66"/>
  <c r="O2" i="66" s="1"/>
  <c r="C29" i="63" s="1"/>
  <c r="T30" i="67"/>
  <c r="D30" i="67"/>
  <c r="C49" i="67"/>
  <c r="D48" i="67"/>
  <c r="D6" i="68"/>
  <c r="M18" i="66"/>
  <c r="M17" i="66"/>
  <c r="M2" i="66" s="1"/>
  <c r="C27" i="63" s="1"/>
  <c r="O18" i="66"/>
  <c r="D40" i="67"/>
  <c r="C20" i="67"/>
  <c r="D21" i="67"/>
  <c r="E33" i="67"/>
  <c r="E34" i="67" s="1"/>
  <c r="U34" i="67" s="1"/>
  <c r="D52" i="67"/>
  <c r="C53" i="67"/>
  <c r="E61" i="67"/>
  <c r="E62" i="67" s="1"/>
  <c r="U62" i="67" s="1"/>
  <c r="T22" i="67"/>
  <c r="D22" i="67"/>
  <c r="V26" i="67"/>
  <c r="C6" i="68"/>
  <c r="C69" i="67"/>
  <c r="B73" i="67"/>
  <c r="B72" i="67" s="1"/>
  <c r="C77" i="67"/>
  <c r="E25" i="67"/>
  <c r="E24" i="67" s="1"/>
  <c r="N63" i="67"/>
  <c r="C72" i="67"/>
  <c r="D72" i="67" s="1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C15" i="64"/>
  <c r="E13" i="67"/>
  <c r="E12" i="67" s="1"/>
  <c r="E11" i="67" s="1"/>
  <c r="E10" i="67" s="1"/>
  <c r="E9" i="67" s="1"/>
  <c r="U14" i="67"/>
  <c r="H56" i="43"/>
  <c r="H50" i="43"/>
  <c r="H49" i="43"/>
  <c r="H53" i="43"/>
  <c r="H48" i="43"/>
  <c r="F20" i="59"/>
  <c r="F11" i="9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E8" i="65"/>
  <c r="E5" i="65"/>
  <c r="E7" i="65"/>
  <c r="D4" i="65"/>
  <c r="E6" i="65"/>
  <c r="D5" i="65"/>
  <c r="D7" i="65"/>
  <c r="D6" i="65"/>
  <c r="E4" i="65"/>
  <c r="D8" i="65"/>
  <c r="W7" i="39" l="1"/>
  <c r="S7" i="39"/>
  <c r="AA7" i="39"/>
  <c r="R47" i="39" s="1"/>
  <c r="AC9" i="39"/>
  <c r="W9" i="39"/>
  <c r="H70" i="43"/>
  <c r="I51" i="39"/>
  <c r="J51" i="39" s="1"/>
  <c r="G52" i="39"/>
  <c r="H52" i="39" s="1"/>
  <c r="D85" i="67"/>
  <c r="C84" i="67"/>
  <c r="D84" i="67" s="1"/>
  <c r="T42" i="67"/>
  <c r="D42" i="67"/>
  <c r="T34" i="67"/>
  <c r="D34" i="67"/>
  <c r="N64" i="66"/>
  <c r="B17" i="67"/>
  <c r="B16" i="67" s="1"/>
  <c r="B15" i="67" s="1"/>
  <c r="B14" i="67" s="1"/>
  <c r="S18" i="67"/>
  <c r="S12" i="39"/>
  <c r="AA12" i="39"/>
  <c r="AA44" i="39"/>
  <c r="S44" i="39"/>
  <c r="G22" i="43"/>
  <c r="B114" i="43"/>
  <c r="K102" i="43"/>
  <c r="N102" i="43"/>
  <c r="J102" i="43"/>
  <c r="D102" i="43"/>
  <c r="E22" i="43"/>
  <c r="E102" i="43"/>
  <c r="L102" i="43"/>
  <c r="F102" i="43"/>
  <c r="C23" i="43"/>
  <c r="M102" i="43"/>
  <c r="G102" i="43"/>
  <c r="H102" i="43"/>
  <c r="I102" i="43"/>
  <c r="C102" i="43"/>
  <c r="H22" i="43"/>
  <c r="N104" i="46"/>
  <c r="J22" i="43"/>
  <c r="F22" i="43"/>
  <c r="D77" i="67"/>
  <c r="C76" i="67"/>
  <c r="D76" i="67" s="1"/>
  <c r="D53" i="67"/>
  <c r="C54" i="67"/>
  <c r="C19" i="67"/>
  <c r="D20" i="67"/>
  <c r="C50" i="67"/>
  <c r="D49" i="67"/>
  <c r="D61" i="67"/>
  <c r="C62" i="67"/>
  <c r="W61" i="66"/>
  <c r="F61" i="66" s="1"/>
  <c r="P61" i="66" s="1"/>
  <c r="W60" i="66"/>
  <c r="F60" i="66" s="1"/>
  <c r="D81" i="67"/>
  <c r="C80" i="67"/>
  <c r="D80" i="67" s="1"/>
  <c r="AC36" i="39"/>
  <c r="W36" i="39"/>
  <c r="E12" i="63"/>
  <c r="F12" i="63" s="1"/>
  <c r="G13" i="63"/>
  <c r="H13" i="63" s="1"/>
  <c r="B80" i="63"/>
  <c r="G12" i="63"/>
  <c r="H12" i="63" s="1"/>
  <c r="E13" i="63"/>
  <c r="F13" i="63" s="1"/>
  <c r="D14" i="63"/>
  <c r="AB31" i="39"/>
  <c r="U31" i="39"/>
  <c r="H73" i="43"/>
  <c r="D57" i="67"/>
  <c r="C58" i="67"/>
  <c r="D25" i="67"/>
  <c r="C24" i="67"/>
  <c r="D24" i="67" s="1"/>
  <c r="N62" i="66"/>
  <c r="M60" i="66"/>
  <c r="M22" i="66"/>
  <c r="M56" i="66"/>
  <c r="M48" i="66"/>
  <c r="M40" i="66"/>
  <c r="M32" i="66"/>
  <c r="M27" i="66"/>
  <c r="M55" i="66"/>
  <c r="M47" i="66"/>
  <c r="M39" i="66"/>
  <c r="M31" i="66"/>
  <c r="M26" i="66"/>
  <c r="M20" i="66"/>
  <c r="M54" i="66"/>
  <c r="M46" i="66"/>
  <c r="M38" i="66"/>
  <c r="M30" i="66"/>
  <c r="M25" i="66"/>
  <c r="M53" i="66"/>
  <c r="M45" i="66"/>
  <c r="M37" i="66"/>
  <c r="M29" i="66"/>
  <c r="M59" i="66"/>
  <c r="M52" i="66"/>
  <c r="M44" i="66"/>
  <c r="M36" i="66"/>
  <c r="M28" i="66"/>
  <c r="M23" i="66"/>
  <c r="M51" i="66"/>
  <c r="M43" i="66"/>
  <c r="M35" i="66"/>
  <c r="M50" i="66"/>
  <c r="M21" i="66"/>
  <c r="D60" i="66"/>
  <c r="M42" i="66"/>
  <c r="M49" i="66"/>
  <c r="M24" i="66"/>
  <c r="M34" i="66"/>
  <c r="M41" i="66"/>
  <c r="M58" i="66"/>
  <c r="M57" i="66"/>
  <c r="M33" i="66"/>
  <c r="AB14" i="39"/>
  <c r="U14" i="39"/>
  <c r="AC14" i="39"/>
  <c r="W14" i="39"/>
  <c r="W44" i="39"/>
  <c r="AC44" i="39"/>
  <c r="AC31" i="39"/>
  <c r="W31" i="39"/>
  <c r="S36" i="39"/>
  <c r="AA36" i="39"/>
  <c r="AC27" i="39"/>
  <c r="W27" i="39"/>
  <c r="C68" i="67"/>
  <c r="D68" i="67" s="1"/>
  <c r="D69" i="67"/>
  <c r="D61" i="66"/>
  <c r="N61" i="66" s="1"/>
  <c r="M61" i="66"/>
  <c r="F17" i="67"/>
  <c r="F16" i="67" s="1"/>
  <c r="F15" i="67" s="1"/>
  <c r="F14" i="67" s="1"/>
  <c r="V18" i="67"/>
  <c r="D8" i="68"/>
  <c r="D7" i="68"/>
  <c r="N63" i="66"/>
  <c r="AA14" i="39"/>
  <c r="S14" i="39"/>
  <c r="U36" i="39"/>
  <c r="AB36" i="39"/>
  <c r="J11" i="39"/>
  <c r="H11" i="39"/>
  <c r="F11" i="39"/>
  <c r="K1" i="65"/>
  <c r="K2" i="65"/>
  <c r="K3" i="65"/>
  <c r="K4" i="65"/>
  <c r="G17" i="43"/>
  <c r="C16" i="43" s="1"/>
  <c r="C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E8" i="67"/>
  <c r="D58" i="39"/>
  <c r="E56" i="39"/>
  <c r="S25" i="39"/>
  <c r="AA25" i="39"/>
  <c r="AC25" i="39"/>
  <c r="U25" i="39"/>
  <c r="AB25" i="39"/>
  <c r="AB27" i="39"/>
  <c r="U27" i="39"/>
  <c r="G2" i="65"/>
  <c r="G3" i="65"/>
  <c r="E20" i="43"/>
  <c r="G1" i="65"/>
  <c r="D5" i="43" l="1"/>
  <c r="E47" i="39"/>
  <c r="R48" i="39"/>
  <c r="D22" i="43"/>
  <c r="C21" i="43" s="1"/>
  <c r="N57" i="66"/>
  <c r="N59" i="66"/>
  <c r="N38" i="66"/>
  <c r="N58" i="66"/>
  <c r="N29" i="66"/>
  <c r="N48" i="66"/>
  <c r="N49" i="66"/>
  <c r="N43" i="66"/>
  <c r="N55" i="66"/>
  <c r="N42" i="66"/>
  <c r="N24" i="66"/>
  <c r="N32" i="66"/>
  <c r="N52" i="66"/>
  <c r="N33" i="66"/>
  <c r="N23" i="66"/>
  <c r="N51" i="66"/>
  <c r="N27" i="66"/>
  <c r="N46" i="66"/>
  <c r="N47" i="66"/>
  <c r="N36" i="66"/>
  <c r="N56" i="66"/>
  <c r="N41" i="66"/>
  <c r="N20" i="66"/>
  <c r="N21" i="66"/>
  <c r="N60" i="66"/>
  <c r="N30" i="66"/>
  <c r="N54" i="66"/>
  <c r="N25" i="66"/>
  <c r="N40" i="66"/>
  <c r="N26" i="66"/>
  <c r="N45" i="66"/>
  <c r="N31" i="66"/>
  <c r="N19" i="66"/>
  <c r="N22" i="66"/>
  <c r="N39" i="66"/>
  <c r="N34" i="66"/>
  <c r="N44" i="66"/>
  <c r="N17" i="66"/>
  <c r="N2" i="66" s="1"/>
  <c r="C28" i="63" s="1"/>
  <c r="N35" i="66"/>
  <c r="N50" i="66"/>
  <c r="N28" i="66"/>
  <c r="N37" i="66"/>
  <c r="N53" i="66"/>
  <c r="N18" i="66"/>
  <c r="K105" i="43"/>
  <c r="K108" i="43"/>
  <c r="K103" i="43"/>
  <c r="K107" i="43"/>
  <c r="K106" i="43"/>
  <c r="K104" i="43"/>
  <c r="H108" i="43"/>
  <c r="H107" i="43"/>
  <c r="H106" i="43"/>
  <c r="H103" i="43"/>
  <c r="H105" i="43"/>
  <c r="H104" i="43"/>
  <c r="F105" i="43"/>
  <c r="F107" i="43"/>
  <c r="F103" i="43"/>
  <c r="F110" i="43"/>
  <c r="F108" i="43"/>
  <c r="F106" i="43"/>
  <c r="F104" i="43"/>
  <c r="D107" i="43"/>
  <c r="D106" i="43"/>
  <c r="D105" i="43"/>
  <c r="D108" i="43"/>
  <c r="D103" i="43"/>
  <c r="D104" i="43"/>
  <c r="D110" i="43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B118" i="43"/>
  <c r="C118" i="43" s="1"/>
  <c r="G119" i="43"/>
  <c r="H119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I117" i="43"/>
  <c r="J117" i="43" s="1"/>
  <c r="K117" i="43" s="1"/>
  <c r="L117" i="43" s="1"/>
  <c r="M117" i="43" s="1"/>
  <c r="B13" i="67"/>
  <c r="B12" i="67" s="1"/>
  <c r="B11" i="67" s="1"/>
  <c r="B10" i="67" s="1"/>
  <c r="S14" i="67"/>
  <c r="I104" i="43"/>
  <c r="I105" i="43"/>
  <c r="I103" i="43"/>
  <c r="I110" i="43"/>
  <c r="I108" i="43"/>
  <c r="I106" i="43"/>
  <c r="I107" i="43"/>
  <c r="F13" i="67"/>
  <c r="F12" i="67" s="1"/>
  <c r="F11" i="67" s="1"/>
  <c r="F10" i="67" s="1"/>
  <c r="V14" i="67"/>
  <c r="P60" i="66"/>
  <c r="P39" i="66"/>
  <c r="P33" i="66"/>
  <c r="P20" i="66"/>
  <c r="P32" i="66"/>
  <c r="P44" i="66"/>
  <c r="P49" i="66"/>
  <c r="P26" i="66"/>
  <c r="P17" i="66"/>
  <c r="P2" i="66" s="1"/>
  <c r="C30" i="63" s="1"/>
  <c r="P25" i="66"/>
  <c r="P51" i="66"/>
  <c r="P38" i="66"/>
  <c r="P54" i="66"/>
  <c r="P47" i="66"/>
  <c r="P58" i="66"/>
  <c r="P55" i="66"/>
  <c r="P57" i="66"/>
  <c r="P35" i="66"/>
  <c r="P36" i="66"/>
  <c r="P34" i="66"/>
  <c r="P48" i="66"/>
  <c r="P37" i="66"/>
  <c r="P22" i="66"/>
  <c r="P40" i="66"/>
  <c r="P43" i="66"/>
  <c r="P52" i="66"/>
  <c r="P42" i="66"/>
  <c r="P28" i="66"/>
  <c r="P30" i="66"/>
  <c r="P59" i="66"/>
  <c r="P29" i="66"/>
  <c r="P50" i="66"/>
  <c r="P19" i="66"/>
  <c r="P24" i="66"/>
  <c r="P46" i="66"/>
  <c r="P45" i="66"/>
  <c r="P18" i="66"/>
  <c r="P53" i="66"/>
  <c r="P27" i="66"/>
  <c r="P41" i="66"/>
  <c r="P56" i="66"/>
  <c r="P31" i="66"/>
  <c r="P21" i="66"/>
  <c r="P23" i="66"/>
  <c r="T54" i="67"/>
  <c r="D54" i="67"/>
  <c r="G108" i="43"/>
  <c r="G107" i="43"/>
  <c r="G105" i="43"/>
  <c r="G103" i="43"/>
  <c r="G110" i="43"/>
  <c r="G104" i="43"/>
  <c r="G106" i="43"/>
  <c r="L106" i="43"/>
  <c r="L104" i="43"/>
  <c r="L103" i="43"/>
  <c r="L107" i="43"/>
  <c r="L108" i="43"/>
  <c r="L110" i="43"/>
  <c r="L105" i="43"/>
  <c r="J106" i="43"/>
  <c r="J103" i="43"/>
  <c r="J107" i="43"/>
  <c r="J105" i="43"/>
  <c r="J108" i="43"/>
  <c r="J104" i="43"/>
  <c r="J110" i="43"/>
  <c r="AB11" i="39"/>
  <c r="U11" i="39"/>
  <c r="T62" i="67"/>
  <c r="D62" i="67"/>
  <c r="W11" i="39"/>
  <c r="AC11" i="39"/>
  <c r="T58" i="67"/>
  <c r="D58" i="67"/>
  <c r="B83" i="63"/>
  <c r="B84" i="63"/>
  <c r="B81" i="63" s="1"/>
  <c r="B85" i="63"/>
  <c r="B82" i="63"/>
  <c r="D19" i="67"/>
  <c r="C18" i="67"/>
  <c r="AA11" i="39"/>
  <c r="S11" i="39"/>
  <c r="K110" i="43"/>
  <c r="D12" i="63"/>
  <c r="C11" i="63" s="1"/>
  <c r="D13" i="63"/>
  <c r="T50" i="67"/>
  <c r="D50" i="67"/>
  <c r="I9" i="63" s="1"/>
  <c r="C9" i="63" s="1"/>
  <c r="C107" i="43"/>
  <c r="C104" i="43"/>
  <c r="C105" i="43"/>
  <c r="C108" i="43"/>
  <c r="C106" i="43"/>
  <c r="C103" i="43"/>
  <c r="C110" i="43"/>
  <c r="M103" i="43"/>
  <c r="M107" i="43"/>
  <c r="M106" i="43"/>
  <c r="M108" i="43"/>
  <c r="M105" i="43"/>
  <c r="M104" i="43"/>
  <c r="M110" i="43"/>
  <c r="E105" i="43"/>
  <c r="E107" i="43"/>
  <c r="E103" i="43"/>
  <c r="E106" i="43"/>
  <c r="E108" i="43"/>
  <c r="E104" i="43"/>
  <c r="E110" i="43"/>
  <c r="N108" i="43"/>
  <c r="N106" i="43"/>
  <c r="N103" i="43"/>
  <c r="N110" i="43"/>
  <c r="N104" i="43"/>
  <c r="N105" i="43"/>
  <c r="N107" i="43"/>
  <c r="H110" i="43"/>
  <c r="S20" i="43"/>
  <c r="Q20" i="43"/>
  <c r="R20" i="43"/>
  <c r="P20" i="43"/>
  <c r="G9" i="59"/>
  <c r="C12" i="9" s="1"/>
  <c r="C23" i="64"/>
  <c r="G21" i="59"/>
  <c r="F21" i="59" s="1"/>
  <c r="E7" i="67"/>
  <c r="E58" i="39"/>
  <c r="F56" i="39"/>
  <c r="C21" i="63" l="1"/>
  <c r="E21" i="63" s="1"/>
  <c r="C20" i="63"/>
  <c r="C18" i="63"/>
  <c r="C19" i="63"/>
  <c r="E19" i="63" s="1"/>
  <c r="C48" i="39"/>
  <c r="B3" i="39" s="1"/>
  <c r="C47" i="39"/>
  <c r="E51" i="39"/>
  <c r="F51" i="39" s="1"/>
  <c r="E52" i="39"/>
  <c r="F52" i="39" s="1"/>
  <c r="I52" i="39"/>
  <c r="J52" i="39" s="1"/>
  <c r="G12" i="9"/>
  <c r="G20" i="43"/>
  <c r="C20" i="43" s="1"/>
  <c r="B9" i="67"/>
  <c r="B8" i="67" s="1"/>
  <c r="B7" i="67" s="1"/>
  <c r="S10" i="67"/>
  <c r="T18" i="67"/>
  <c r="D18" i="67"/>
  <c r="C17" i="67"/>
  <c r="C116" i="43"/>
  <c r="D114" i="43" s="1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1" i="59"/>
  <c r="F12" i="9"/>
  <c r="F14" i="9" s="1"/>
  <c r="B4" i="63" l="1"/>
  <c r="C22" i="63"/>
  <c r="B5" i="63" s="1"/>
  <c r="E20" i="63"/>
  <c r="B3" i="63"/>
  <c r="E18" i="63"/>
  <c r="B17" i="59"/>
  <c r="B18" i="59" s="1"/>
  <c r="E41" i="43"/>
  <c r="C41" i="43" s="1"/>
  <c r="C16" i="67"/>
  <c r="D17" i="67"/>
  <c r="C28" i="64"/>
  <c r="E28" i="64" s="1"/>
  <c r="B3" i="64"/>
  <c r="S6" i="67"/>
  <c r="G58" i="39"/>
  <c r="H56" i="39"/>
  <c r="C29" i="64"/>
  <c r="E29" i="64" s="1"/>
  <c r="E30" i="64"/>
  <c r="C15" i="67" l="1"/>
  <c r="D16" i="67"/>
  <c r="C27" i="64"/>
  <c r="E27" i="64" s="1"/>
  <c r="H58" i="39"/>
  <c r="I56" i="39"/>
  <c r="D15" i="67" l="1"/>
  <c r="C14" i="67"/>
  <c r="I58" i="39"/>
  <c r="J56" i="39"/>
  <c r="T14" i="67" l="1"/>
  <c r="C13" i="67"/>
  <c r="D14" i="67"/>
  <c r="K56" i="39"/>
  <c r="J58" i="39"/>
  <c r="D13" i="67" l="1"/>
  <c r="C12" i="67"/>
  <c r="L56" i="39"/>
  <c r="K58" i="39"/>
  <c r="D12" i="67" l="1"/>
  <c r="C11" i="67"/>
  <c r="M56" i="39"/>
  <c r="L58" i="39"/>
  <c r="C10" i="67" l="1"/>
  <c r="D11" i="67"/>
  <c r="M58" i="39"/>
  <c r="N56" i="39"/>
  <c r="D10" i="67" l="1"/>
  <c r="C9" i="67"/>
  <c r="T10" i="67"/>
  <c r="O56" i="39"/>
  <c r="O58" i="39" s="1"/>
  <c r="N58" i="39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8" i="43"/>
  <c r="C34" i="43"/>
  <c r="C36" i="43"/>
  <c r="C33" i="43"/>
  <c r="C29" i="43"/>
  <c r="C39" i="43"/>
  <c r="B3" i="43" l="1"/>
  <c r="F6" i="59" s="1"/>
  <c r="E29" i="43"/>
  <c r="C30" i="43"/>
  <c r="G34" i="43"/>
  <c r="I34" i="43" s="1"/>
  <c r="E34" i="43"/>
  <c r="E37" i="43"/>
  <c r="G37" i="43"/>
  <c r="I37" i="43" s="1"/>
  <c r="G39" i="43"/>
  <c r="I39" i="43" s="1"/>
  <c r="E39" i="43"/>
  <c r="G38" i="43"/>
  <c r="I38" i="43" s="1"/>
  <c r="E38" i="43"/>
  <c r="G33" i="43"/>
  <c r="I33" i="43" s="1"/>
  <c r="E33" i="43"/>
  <c r="G36" i="43"/>
  <c r="I36" i="43" s="1"/>
  <c r="E36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F36" i="59" s="1"/>
  <c r="B19" i="9" s="1"/>
  <c r="B16" i="9" l="1"/>
  <c r="H16" i="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<sst xmlns="http://schemas.openxmlformats.org/spreadsheetml/2006/main" count="3972" uniqueCount="1803">
  <si>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</si>
  <si>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</si>
  <si>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</si>
  <si>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</si>
  <si>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</si>
  <si>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</si>
  <si>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</si>
  <si>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</si>
  <si>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</si>
  <si>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</si>
  <si>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</si>
  <si>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</si>
  <si>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</si>
  <si>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</si>
  <si>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</si>
  <si>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</si>
  <si>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</si>
  <si>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</si>
  <si>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</si>
  <si>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</si>
  <si>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</si>
  <si>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</si>
  <si>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</si>
  <si>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</si>
  <si>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</si>
  <si>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</si>
  <si>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</si>
  <si>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</si>
  <si>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</si>
  <si>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</si>
  <si>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</si>
  <si>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</si>
  <si>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</si>
  <si>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</si>
  <si>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</si>
  <si>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</si>
  <si>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</si>
  <si>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</si>
  <si>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</si>
  <si>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</si>
  <si>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</si>
  <si>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</si>
  <si>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</si>
  <si>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</si>
  <si>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</si>
  <si>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</si>
  <si>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</si>
  <si>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</si>
  <si>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</si>
  <si>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</si>
  <si>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</si>
  <si>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</si>
  <si>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</si>
  <si>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</si>
  <si>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</si>
  <si>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</si>
  <si>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</si>
  <si>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</si>
  <si>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</si>
  <si>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</si>
  <si>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</si>
  <si>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</si>
  <si>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</si>
  <si>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</si>
  <si>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</si>
  <si>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</si>
  <si>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</si>
  <si>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</si>
  <si>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</si>
  <si>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</si>
  <si>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</si>
  <si>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</si>
  <si>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</si>
  <si>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</si>
  <si>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</si>
  <si>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</si>
  <si>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</si>
  <si>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</si>
  <si>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</si>
  <si>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</si>
  <si>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</si>
  <si>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</si>
  <si>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</si>
  <si>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</si>
  <si>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</si>
  <si>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</si>
  <si>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</si>
  <si>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</si>
  <si>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</si>
  <si>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</si>
  <si>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</si>
  <si>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</si>
  <si>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</si>
  <si>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</si>
  <si>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</si>
  <si>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</si>
  <si>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</si>
  <si>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</si>
  <si>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</si>
  <si>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</si>
  <si>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</si>
  <si>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</si>
  <si>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</si>
  <si>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</si>
  <si>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</si>
  <si>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</si>
  <si>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</si>
  <si>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</si>
  <si>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</si>
  <si>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</si>
  <si>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</si>
  <si>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</si>
  <si>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</si>
  <si>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</si>
  <si>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</si>
  <si>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</si>
  <si>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</si>
  <si>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</si>
  <si>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</si>
  <si>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</si>
  <si>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</si>
  <si>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</si>
  <si>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</si>
  <si>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</si>
  <si>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</si>
  <si>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</si>
  <si>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</si>
  <si>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</si>
  <si>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</si>
  <si>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</si>
  <si>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</si>
  <si>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</si>
  <si>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</si>
  <si>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</si>
  <si>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</si>
  <si>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</si>
  <si>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</si>
  <si>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</si>
  <si>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</si>
  <si>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</si>
  <si>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</si>
  <si>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</si>
  <si>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</si>
  <si>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</si>
  <si>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</si>
  <si>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</si>
  <si>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</si>
  <si>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</si>
  <si>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</si>
  <si>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</si>
  <si>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</si>
  <si>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</si>
  <si>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</si>
  <si>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</si>
  <si>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</si>
  <si>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</si>
  <si>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</si>
  <si>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</si>
  <si>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</si>
  <si>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</si>
  <si>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</si>
  <si>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</si>
  <si>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</si>
  <si>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</si>
  <si>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</si>
  <si>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</si>
  <si>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</si>
  <si>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</si>
  <si>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</si>
  <si>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</si>
  <si>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</si>
  <si>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</si>
  <si>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</si>
  <si>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</si>
  <si>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</si>
  <si>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</si>
  <si>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</si>
  <si>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</si>
  <si>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</si>
  <si>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</si>
  <si>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</si>
  <si>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</si>
  <si>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</si>
  <si>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</si>
  <si>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</si>
  <si>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</si>
  <si>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</si>
  <si>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</si>
  <si>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</si>
  <si>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</si>
  <si>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</si>
  <si>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</si>
  <si>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</si>
  <si>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</si>
  <si>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</si>
  <si>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</si>
  <si>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</si>
  <si>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</si>
  <si>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</si>
  <si>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</si>
  <si>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</si>
  <si>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</si>
  <si>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</si>
  <si>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</si>
  <si>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</si>
  <si>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</si>
  <si>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</si>
  <si>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</si>
  <si>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</si>
  <si>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</si>
  <si>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</si>
  <si>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</si>
  <si>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</si>
  <si>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</si>
  <si>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</si>
  <si>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</si>
  <si>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</si>
  <si>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</si>
  <si>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</si>
  <si>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</si>
  <si>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</si>
  <si>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</si>
  <si>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</si>
  <si>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</si>
  <si>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</si>
  <si>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</si>
  <si>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</si>
  <si>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</si>
  <si>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</si>
  <si>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</si>
  <si>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</si>
  <si>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</si>
  <si>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</si>
  <si>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</si>
  <si>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</si>
  <si>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</si>
  <si>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</si>
  <si>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</si>
  <si>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</si>
  <si>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</si>
  <si>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</si>
  <si>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</si>
  <si>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</si>
  <si>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</si>
  <si>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</si>
  <si>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</si>
  <si>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</si>
  <si>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</si>
  <si>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</si>
  <si>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</si>
  <si>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</si>
  <si>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</si>
  <si>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</si>
  <si>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</si>
  <si>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</si>
  <si>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</si>
  <si>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</si>
  <si>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</si>
  <si>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</si>
  <si>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</si>
  <si>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</si>
  <si>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</si>
  <si>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</si>
  <si>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</si>
  <si>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</si>
  <si>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</si>
  <si>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</si>
  <si>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</si>
  <si>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</si>
  <si>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</si>
  <si>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</si>
  <si>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</si>
  <si>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</si>
  <si>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</si>
  <si>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</si>
  <si>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</si>
  <si>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</si>
  <si>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</si>
  <si>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</si>
  <si>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</si>
  <si>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</si>
  <si>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</si>
  <si>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</si>
  <si>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</si>
  <si>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</si>
  <si>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</si>
  <si>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</si>
  <si>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</si>
  <si>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</si>
  <si>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</si>
  <si>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</si>
  <si>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</si>
  <si>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</si>
  <si>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</si>
  <si>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</si>
  <si>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</si>
  <si>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</si>
  <si>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</si>
  <si>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</si>
  <si>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</si>
  <si>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</si>
  <si>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</si>
  <si>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</si>
  <si>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</si>
  <si>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</si>
  <si>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</si>
  <si>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</si>
  <si>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</si>
  <si>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</si>
  <si>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</si>
  <si>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</si>
  <si>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</si>
  <si>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</si>
  <si>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</si>
  <si>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</si>
  <si>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</si>
  <si>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</si>
  <si>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</si>
  <si>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</si>
  <si>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</si>
  <si>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</si>
  <si>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</si>
  <si>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</si>
  <si>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</si>
  <si>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</si>
  <si>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</si>
  <si>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</si>
  <si>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</si>
  <si>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</si>
  <si>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</si>
  <si>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</si>
  <si>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</si>
  <si>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</si>
  <si>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</si>
  <si>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</si>
  <si>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</si>
  <si>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</si>
  <si>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</si>
  <si>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</si>
  <si>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</si>
  <si>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</si>
  <si>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</si>
  <si>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</si>
  <si>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</si>
  <si>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</si>
  <si>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</si>
  <si>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</si>
  <si>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</si>
  <si>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</si>
  <si>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</si>
  <si>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</si>
  <si>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</si>
  <si>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</si>
  <si>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</si>
  <si>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</si>
  <si>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</si>
  <si>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</si>
  <si>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</si>
  <si>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</si>
  <si>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</si>
  <si>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</si>
  <si>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</si>
  <si>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</si>
  <si>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</si>
  <si>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</si>
  <si>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</si>
  <si>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</si>
  <si>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</si>
  <si>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</si>
  <si>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</si>
  <si>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</si>
  <si>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</si>
  <si>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</si>
  <si>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</si>
  <si>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</si>
  <si>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</si>
  <si>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</si>
  <si>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</si>
  <si>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</si>
  <si>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</si>
  <si>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</si>
  <si>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</si>
  <si>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</si>
  <si>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</si>
  <si>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</si>
  <si>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</si>
  <si>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</si>
  <si>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</si>
  <si>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</si>
  <si>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</si>
  <si>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</si>
  <si>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</si>
  <si>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</si>
  <si>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</si>
  <si>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</si>
  <si>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</si>
  <si>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</si>
  <si>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</si>
  <si>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</si>
  <si>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</si>
  <si>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</si>
  <si>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</si>
  <si>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</si>
  <si>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</si>
  <si>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</si>
  <si>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</si>
  <si>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</si>
  <si>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</si>
  <si>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</si>
  <si>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</si>
  <si>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</si>
  <si>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</si>
  <si>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</si>
  <si>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</si>
  <si>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</si>
  <si>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</si>
  <si>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</si>
  <si>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</si>
  <si>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</si>
  <si>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</si>
  <si>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</si>
  <si>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</si>
  <si>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</si>
  <si>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</si>
  <si>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</si>
  <si>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</si>
  <si>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</si>
  <si>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</si>
  <si>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</si>
  <si>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</si>
  <si>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</si>
  <si>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</si>
  <si>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</si>
  <si>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</si>
  <si>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</si>
  <si>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</si>
  <si>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</si>
  <si>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</si>
  <si>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</si>
  <si>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</si>
  <si>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</si>
  <si>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</si>
  <si>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</si>
  <si>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</si>
  <si>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</si>
  <si>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</si>
  <si>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</si>
  <si>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</si>
  <si>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</si>
  <si>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</si>
  <si>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</si>
  <si>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</si>
  <si>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</si>
  <si>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</si>
  <si>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</si>
  <si>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</si>
  <si>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</si>
  <si>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</si>
  <si>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</si>
  <si>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</si>
  <si>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</si>
  <si>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</si>
  <si>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</si>
  <si>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</si>
  <si>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</si>
  <si>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</si>
  <si>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</si>
  <si>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</si>
  <si>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</si>
  <si>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</si>
  <si>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</si>
  <si>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</si>
  <si>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</si>
  <si>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</si>
  <si>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</si>
  <si>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</si>
  <si>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</si>
  <si>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</si>
  <si>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</si>
  <si>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</si>
  <si>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</si>
  <si>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</si>
  <si>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</si>
  <si>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</si>
  <si>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</si>
  <si>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</si>
  <si>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</si>
  <si>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</si>
  <si>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</si>
  <si>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</si>
  <si>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</si>
  <si>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</si>
  <si>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</si>
  <si>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</si>
  <si>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</si>
  <si>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</si>
  <si>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</si>
  <si>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</si>
  <si>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</si>
  <si>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</si>
  <si>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</si>
  <si>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</si>
  <si>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</si>
  <si>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</si>
  <si>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</si>
  <si>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</si>
  <si>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</si>
  <si>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</si>
  <si>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</si>
  <si>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</si>
  <si>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</si>
  <si>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</si>
  <si>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</si>
  <si>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</si>
  <si>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</si>
  <si>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</si>
  <si>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</si>
  <si>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</si>
  <si>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</si>
  <si>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</si>
  <si>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</si>
  <si>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</si>
  <si>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</si>
  <si>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</si>
  <si>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</si>
  <si>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</si>
  <si>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</si>
  <si>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</si>
  <si>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</si>
  <si>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</si>
  <si>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</si>
  <si>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</si>
  <si>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</si>
  <si>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</si>
  <si>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</si>
  <si>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</si>
  <si>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</si>
  <si>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</si>
  <si>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</si>
  <si>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</si>
  <si>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</si>
  <si>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</si>
  <si>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</si>
  <si>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</si>
  <si>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</si>
  <si>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</si>
  <si>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</si>
  <si>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</si>
  <si>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</si>
  <si>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</si>
  <si>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</si>
  <si>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</si>
  <si>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</si>
  <si>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</si>
  <si>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</si>
  <si>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</si>
  <si>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</si>
  <si>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</si>
  <si>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</si>
  <si>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</si>
  <si>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</si>
  <si>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</si>
  <si>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</si>
  <si>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</si>
  <si>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</si>
  <si>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</si>
  <si>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</si>
  <si>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</si>
  <si>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</si>
  <si>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</si>
  <si>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</si>
  <si>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</si>
  <si>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</si>
  <si>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</si>
  <si>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</si>
  <si>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</si>
  <si>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</si>
  <si>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</si>
  <si>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</si>
  <si>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</si>
  <si>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</si>
  <si>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</si>
  <si>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</si>
  <si>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</si>
  <si>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</si>
  <si>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</si>
  <si>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</si>
  <si>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</si>
  <si>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</si>
  <si>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</si>
  <si>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</si>
  <si>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</si>
  <si>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</si>
  <si>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</si>
  <si>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</si>
  <si>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</si>
  <si>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</si>
  <si>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</si>
  <si>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</si>
  <si>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</si>
  <si>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</si>
  <si>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</si>
  <si>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</si>
  <si>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</si>
  <si>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</si>
  <si>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</si>
  <si>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</si>
  <si>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</si>
  <si>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</si>
  <si>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</si>
  <si>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</si>
  <si>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</si>
  <si>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</si>
  <si>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</si>
  <si>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</si>
  <si>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</si>
  <si>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</si>
  <si>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</si>
  <si>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</si>
  <si>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</si>
  <si>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</si>
  <si>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</si>
  <si>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</si>
  <si>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</si>
  <si>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</si>
  <si>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</si>
  <si>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</si>
  <si>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</si>
  <si>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</si>
  <si>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</si>
  <si>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</si>
  <si>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</si>
  <si>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</si>
  <si>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</si>
  <si>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</si>
  <si>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</si>
  <si>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</si>
  <si>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</si>
  <si>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</si>
  <si>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</si>
  <si>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</si>
  <si>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</si>
  <si>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</si>
  <si>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</si>
  <si>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</si>
  <si>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</si>
  <si>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</si>
  <si>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</si>
  <si>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</si>
  <si>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</si>
  <si>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</si>
  <si>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</si>
  <si>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</si>
  <si>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</si>
  <si>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</si>
  <si>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</si>
  <si>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</si>
  <si>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</si>
  <si>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</si>
  <si>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</si>
  <si>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</si>
  <si>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</si>
  <si>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</si>
  <si>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</si>
  <si>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</si>
  <si>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</si>
  <si>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</si>
  <si>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</si>
  <si>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</si>
  <si>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</si>
  <si>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</si>
  <si>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</si>
  <si>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</si>
  <si>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</si>
  <si>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</si>
  <si>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</si>
  <si>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</si>
  <si>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</si>
  <si>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</si>
  <si>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</si>
  <si>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</si>
  <si>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</si>
  <si>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</si>
  <si>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</si>
  <si>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</si>
  <si>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</si>
  <si>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</si>
  <si>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</si>
  <si>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</si>
  <si>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</si>
  <si>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</si>
  <si>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</si>
  <si>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</si>
  <si>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</si>
  <si>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</si>
  <si>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</si>
  <si>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</si>
  <si>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</si>
  <si>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</si>
  <si>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</si>
  <si>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</si>
  <si>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</si>
  <si>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</si>
  <si>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</si>
  <si>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</si>
  <si>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</si>
  <si>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</si>
  <si>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</si>
  <si>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</si>
  <si>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</si>
  <si>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</si>
  <si>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</si>
  <si>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</si>
  <si>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</si>
  <si>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</si>
  <si>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</si>
  <si>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</si>
  <si>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</si>
  <si>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</si>
  <si>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</si>
  <si>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</si>
  <si>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</si>
  <si>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</si>
  <si>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</si>
  <si>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</si>
  <si>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</si>
  <si>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</si>
  <si>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</si>
  <si>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</si>
  <si>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</si>
  <si>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</si>
  <si>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</si>
  <si>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</si>
  <si>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</si>
  <si>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</si>
  <si>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</si>
  <si>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</si>
  <si>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</si>
  <si>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</si>
  <si>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</si>
  <si>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</si>
  <si>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</si>
  <si>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</si>
  <si>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</si>
  <si>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</si>
  <si>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</si>
  <si>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</si>
  <si>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</si>
  <si>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</si>
  <si>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</si>
  <si>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</si>
  <si>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</si>
  <si>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</si>
  <si>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</si>
  <si>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</si>
  <si>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</si>
  <si>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</si>
  <si>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</si>
  <si>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</si>
  <si>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</si>
  <si>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</si>
  <si>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</si>
  <si>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</si>
  <si>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</si>
  <si>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</si>
  <si>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</si>
  <si>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</si>
  <si>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</si>
  <si>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</si>
  <si>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</si>
  <si>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</si>
  <si>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</si>
  <si>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</si>
  <si>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</si>
  <si>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</si>
  <si>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</si>
  <si>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</si>
  <si>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</si>
  <si>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</si>
  <si>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</si>
  <si>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</si>
  <si>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</si>
  <si>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</si>
  <si>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</si>
  <si>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</si>
  <si>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</si>
  <si>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</si>
  <si>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</si>
  <si>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</si>
  <si>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</si>
  <si>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</si>
  <si>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</si>
  <si>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</si>
  <si>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</si>
  <si>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</si>
  <si>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</si>
  <si>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</si>
  <si>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</si>
  <si>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</si>
  <si>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</si>
  <si>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</si>
  <si>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</si>
  <si>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</si>
  <si>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</si>
  <si>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</si>
  <si>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</si>
  <si>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</si>
  <si>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</si>
  <si>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</si>
  <si>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</si>
  <si>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</si>
  <si>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</si>
  <si>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</si>
  <si>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</si>
  <si>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</si>
  <si>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</si>
  <si>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</si>
  <si>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</si>
  <si>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</si>
  <si>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</si>
  <si>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</si>
  <si>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</si>
  <si>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</si>
  <si>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</si>
  <si>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</si>
  <si>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</si>
  <si>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</si>
  <si>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</si>
  <si>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</si>
  <si>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</si>
  <si>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</si>
  <si>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</si>
  <si>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</si>
  <si>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</si>
  <si>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</si>
  <si>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</si>
  <si>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</si>
  <si>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</si>
  <si>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</si>
  <si>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</si>
  <si>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</si>
  <si>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</si>
  <si>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</si>
  <si>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</si>
  <si>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</si>
  <si>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</si>
  <si>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</si>
  <si>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</si>
  <si>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</si>
  <si>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</si>
  <si>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</si>
  <si>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</si>
  <si>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</si>
  <si>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</si>
  <si>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</si>
  <si>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</si>
  <si>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</si>
  <si>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</si>
  <si>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</si>
  <si>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</si>
  <si>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</si>
  <si>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</si>
  <si>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</si>
  <si>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</si>
  <si>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</si>
  <si>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</si>
  <si>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</si>
  <si>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</si>
  <si>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</si>
  <si>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</si>
  <si>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</si>
  <si>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</si>
  <si>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</si>
  <si>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</si>
  <si>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</si>
  <si>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</si>
  <si>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</si>
  <si>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</si>
  <si>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</si>
  <si>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</si>
  <si>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</si>
  <si>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</si>
  <si>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</si>
  <si>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</si>
  <si>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</si>
  <si>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</si>
  <si>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</si>
  <si>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</si>
  <si>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</si>
  <si>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</si>
  <si>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</si>
  <si>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</si>
  <si>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</si>
  <si>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</si>
  <si>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</si>
  <si>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</si>
  <si>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</si>
  <si>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</si>
  <si>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</si>
  <si>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</si>
  <si>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</si>
  <si>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</si>
  <si>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</si>
  <si>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</si>
  <si>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</si>
  <si>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</si>
  <si>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</si>
  <si>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</si>
  <si>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</si>
  <si>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</si>
  <si>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</si>
  <si>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</si>
  <si>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</si>
  <si>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</si>
  <si>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</si>
  <si>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</si>
  <si>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</si>
  <si>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</si>
  <si>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</si>
  <si>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</si>
  <si>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</si>
  <si>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</si>
  <si>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</si>
  <si>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</si>
  <si>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</si>
  <si>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</si>
  <si>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</si>
  <si>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</si>
  <si>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</si>
  <si>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</si>
  <si>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</si>
  <si>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</si>
  <si>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</si>
  <si>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</si>
  <si>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</si>
  <si>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</si>
  <si>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</si>
  <si>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</si>
  <si>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</si>
  <si>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</si>
  <si>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</si>
  <si>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</si>
  <si>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</si>
  <si>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</si>
  <si>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</si>
  <si>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</si>
  <si>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</si>
  <si>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</si>
  <si>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</si>
  <si>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</si>
  <si>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</si>
  <si>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</si>
  <si>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</si>
  <si>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</si>
  <si>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</si>
  <si>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</si>
  <si>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</si>
  <si>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</si>
  <si>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</si>
  <si>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</si>
  <si>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</si>
  <si>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</si>
  <si>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</si>
  <si>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</si>
  <si>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</si>
  <si>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</si>
  <si>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</si>
  <si>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</si>
  <si>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</si>
  <si>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</si>
  <si>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</si>
  <si>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</si>
  <si>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</si>
  <si>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</si>
  <si>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</si>
  <si>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</si>
  <si>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</si>
  <si>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</si>
  <si>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</si>
  <si>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</si>
  <si>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</si>
  <si>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</si>
  <si>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</si>
  <si>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</si>
  <si>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</si>
  <si>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</si>
  <si>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</si>
  <si>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</si>
  <si>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</si>
  <si>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</si>
  <si>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</si>
  <si>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</si>
  <si>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</si>
  <si>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</si>
  <si>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</si>
  <si>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</si>
  <si>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</si>
  <si>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</si>
  <si>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</si>
  <si>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</si>
  <si>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</si>
  <si>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</si>
  <si>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</si>
  <si>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</si>
  <si>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</si>
  <si>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</si>
  <si>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</si>
  <si>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</si>
  <si>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</si>
  <si>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</si>
  <si>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</si>
  <si>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</si>
  <si>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</si>
  <si>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</si>
  <si>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</si>
  <si>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</si>
  <si>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</si>
  <si>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</si>
  <si>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</si>
  <si>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</si>
  <si>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</si>
  <si>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</si>
  <si>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</si>
  <si>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</si>
  <si>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</si>
  <si>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</si>
  <si>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</si>
  <si>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</si>
  <si>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</si>
  <si>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</si>
  <si>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</si>
  <si>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</si>
  <si>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</si>
  <si>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</si>
  <si>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</si>
  <si>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</si>
  <si>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</si>
  <si>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</si>
  <si>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</si>
  <si>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</si>
  <si>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</si>
  <si>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</si>
  <si>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</si>
  <si>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</si>
  <si>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</si>
  <si>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</si>
  <si>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</si>
  <si>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</si>
  <si>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</si>
  <si>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</si>
  <si>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</si>
  <si>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</si>
  <si>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</si>
  <si>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</si>
  <si>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</si>
  <si>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</si>
  <si>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</si>
  <si>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</si>
  <si>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</si>
  <si>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</si>
  <si>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</si>
  <si>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</si>
  <si>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</si>
  <si>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</si>
  <si>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</si>
  <si>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</si>
  <si>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</si>
  <si>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</si>
  <si>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</si>
  <si>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</si>
  <si>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</si>
  <si>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</si>
  <si>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</si>
  <si>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</si>
  <si>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</si>
  <si>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</si>
  <si>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</si>
  <si>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</si>
  <si>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</si>
  <si>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</si>
  <si>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</si>
  <si>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</si>
  <si>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</si>
  <si>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</si>
  <si>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</si>
  <si>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</si>
  <si>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</si>
  <si>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</si>
  <si>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</si>
  <si>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</si>
  <si>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</si>
  <si>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</si>
  <si>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</si>
  <si>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</si>
  <si>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</si>
  <si>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</si>
  <si>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</si>
  <si>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</si>
  <si>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</si>
  <si>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</si>
  <si>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</si>
  <si>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</si>
  <si>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</si>
  <si>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</si>
  <si>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</si>
  <si>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</si>
  <si>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</si>
  <si>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</si>
  <si>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</si>
  <si>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</si>
  <si>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</si>
  <si>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</si>
  <si>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</si>
  <si>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</si>
  <si>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</si>
  <si>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</si>
  <si>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</si>
  <si>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</si>
  <si>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</si>
  <si>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</si>
  <si>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</si>
  <si>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</si>
  <si>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</si>
  <si>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</si>
  <si>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</si>
  <si>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</si>
  <si>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</si>
  <si>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</si>
  <si>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</si>
  <si>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</si>
  <si>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</si>
  <si>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</si>
  <si>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</si>
  <si>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</si>
  <si>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</si>
  <si>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</si>
  <si>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</si>
  <si>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</si>
  <si>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</si>
  <si>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</si>
  <si>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</si>
  <si>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</si>
  <si>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</si>
  <si>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</si>
  <si>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</si>
  <si>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</si>
  <si>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</si>
  <si>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</si>
  <si>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</si>
  <si>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</si>
  <si>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</si>
  <si>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</si>
  <si>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</si>
  <si>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</si>
  <si>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</si>
  <si>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</si>
  <si>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</si>
  <si>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</si>
  <si>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</si>
  <si>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</si>
  <si>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</si>
  <si>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</si>
  <si>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</si>
  <si>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</si>
  <si>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</si>
  <si>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</si>
  <si>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</si>
  <si>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</si>
  <si>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</si>
  <si>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</si>
  <si>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</si>
  <si>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</si>
  <si>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</si>
  <si>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</si>
  <si>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</si>
  <si>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</si>
  <si>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</si>
  <si>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</si>
  <si>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</si>
  <si>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</si>
  <si>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</si>
  <si>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</si>
  <si>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</si>
  <si>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</si>
  <si>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</si>
  <si>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</si>
  <si>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</si>
  <si>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</si>
  <si>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</si>
  <si>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</si>
  <si>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</si>
  <si>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</si>
  <si>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</si>
  <si>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</si>
  <si>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</si>
  <si>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</si>
  <si>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</si>
  <si>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</si>
  <si>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</si>
  <si>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</si>
  <si>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</si>
  <si>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</si>
  <si>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</si>
  <si>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</si>
  <si>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</si>
  <si>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</si>
  <si>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</si>
  <si>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</si>
  <si>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</si>
  <si>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</si>
  <si>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</si>
  <si>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</si>
  <si>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</si>
  <si>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</si>
  <si>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</si>
  <si>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</si>
  <si>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</si>
  <si>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</si>
  <si>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</si>
  <si>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</si>
  <si>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</si>
  <si>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</si>
  <si>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</si>
  <si>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</si>
  <si>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</si>
  <si>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</si>
  <si>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</si>
  <si>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</si>
  <si>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</si>
  <si>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</si>
  <si>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</si>
  <si>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</si>
  <si>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</si>
  <si>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</si>
  <si>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</si>
  <si>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</si>
  <si>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</si>
  <si>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</si>
  <si>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</si>
  <si>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</si>
  <si>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</si>
  <si>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</si>
  <si>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</si>
  <si>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</si>
  <si>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</si>
  <si>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</si>
  <si>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</si>
  <si>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</si>
  <si>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</si>
  <si>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</si>
  <si>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</si>
  <si>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</si>
  <si>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</si>
  <si>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</si>
  <si>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</si>
  <si>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</si>
  <si>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</si>
  <si>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</si>
  <si>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</si>
  <si>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</si>
  <si>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</si>
  <si>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</si>
  <si>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</si>
  <si>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</si>
  <si>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</si>
  <si>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</si>
  <si>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</si>
  <si>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</si>
  <si>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</si>
  <si>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</si>
  <si>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</si>
  <si>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</si>
  <si>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</si>
  <si>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</si>
  <si>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</si>
  <si>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</si>
  <si>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</si>
  <si>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</si>
  <si>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</si>
  <si>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</si>
  <si>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</si>
  <si>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</si>
  <si>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</si>
  <si>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</si>
  <si>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</si>
  <si>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</si>
  <si>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</si>
  <si>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</si>
  <si>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</si>
  <si>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</si>
  <si>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</si>
  <si>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</si>
  <si>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</si>
  <si>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</si>
  <si>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</si>
  <si>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</si>
  <si>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</si>
  <si>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</si>
  <si>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</si>
  <si>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</si>
  <si>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</si>
  <si>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</si>
  <si>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</si>
  <si>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</si>
  <si>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</si>
  <si>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</si>
  <si>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</si>
  <si>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</si>
  <si>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</si>
  <si>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</si>
  <si>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</si>
  <si>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</si>
  <si>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</si>
  <si>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</si>
  <si>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</si>
  <si>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</si>
  <si>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</si>
  <si>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</si>
  <si>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</si>
  <si>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</si>
  <si>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</si>
  <si>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</si>
  <si>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</si>
  <si>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</si>
  <si>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</si>
  <si>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</si>
  <si>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</si>
  <si>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</si>
  <si>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</si>
  <si>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</si>
  <si>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</si>
  <si>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</si>
  <si>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</si>
  <si>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</si>
  <si>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</si>
  <si>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</si>
  <si>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</si>
  <si>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</si>
  <si>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</si>
  <si>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</si>
  <si>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</si>
  <si>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</si>
  <si>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</si>
  <si>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</si>
  <si>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</si>
  <si>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</si>
  <si>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</si>
  <si>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</si>
  <si>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</si>
  <si>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</si>
  <si>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</si>
  <si>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</si>
  <si>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</si>
  <si>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</si>
  <si>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</si>
  <si>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</si>
  <si>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</si>
  <si>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</si>
  <si>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</si>
  <si>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</si>
  <si>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</si>
  <si>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</si>
  <si>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</si>
  <si>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</si>
  <si>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</si>
  <si>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</si>
  <si>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</si>
  <si>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</si>
  <si>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</si>
  <si>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</si>
  <si>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</si>
  <si>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</si>
  <si>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</si>
  <si>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</si>
  <si>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</si>
  <si>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</si>
  <si>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</si>
  <si>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</si>
  <si>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</si>
  <si>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</si>
  <si>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</si>
  <si>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</si>
  <si>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</si>
  <si>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</si>
  <si>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</si>
  <si>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</si>
  <si>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</si>
  <si>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</si>
  <si>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</si>
  <si>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</si>
  <si>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</si>
  <si>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</si>
  <si>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</si>
  <si>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</si>
  <si>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</si>
  <si>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</si>
  <si>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</si>
  <si>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</si>
  <si>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</si>
  <si>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</si>
  <si>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</si>
  <si>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</si>
  <si>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</si>
  <si>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</si>
  <si>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</si>
  <si>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</si>
  <si>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</si>
  <si>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</si>
  <si>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</si>
  <si>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</si>
  <si>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</si>
  <si>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</si>
  <si>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</si>
  <si>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</si>
  <si>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</si>
  <si>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</si>
  <si>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</si>
  <si>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</si>
  <si>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</si>
  <si>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</si>
  <si>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</si>
  <si>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</si>
  <si>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</si>
  <si>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</si>
  <si>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</si>
  <si>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</si>
  <si>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</si>
  <si>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</si>
  <si>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</si>
  <si>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</si>
  <si>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</si>
  <si>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</si>
  <si>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</si>
  <si>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</si>
  <si>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</si>
  <si>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</si>
  <si>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</si>
  <si>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</si>
  <si>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</si>
  <si>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</si>
  <si>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</si>
  <si>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</si>
  <si>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</si>
  <si>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</si>
  <si>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</si>
  <si>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</si>
  <si>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</si>
  <si>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</si>
  <si>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</si>
  <si>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</si>
  <si>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</si>
  <si>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</si>
  <si>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</si>
  <si>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</si>
  <si>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</si>
  <si>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</si>
  <si>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</si>
  <si>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</si>
  <si>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</si>
  <si>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</si>
  <si>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</si>
  <si>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</si>
  <si>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</si>
  <si>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</si>
  <si>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</si>
  <si>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</si>
  <si>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</si>
  <si>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</si>
  <si>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</si>
  <si>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</si>
  <si>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</si>
  <si>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</si>
  <si>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</si>
  <si>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</si>
  <si>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</si>
  <si>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</si>
  <si>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</si>
  <si>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</si>
  <si>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</si>
  <si>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</si>
  <si>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</si>
  <si>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</si>
  <si>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</si>
  <si>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</si>
  <si>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</si>
  <si>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</si>
  <si>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</si>
  <si>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</si>
  <si>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</si>
  <si>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</si>
  <si>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</si>
  <si>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</si>
  <si>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</si>
  <si>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</si>
  <si>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</si>
  <si>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</si>
  <si>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</si>
  <si>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</si>
  <si>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</si>
  <si>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</si>
  <si>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</si>
  <si>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</si>
  <si>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</si>
  <si>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</si>
  <si>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</si>
  <si>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</si>
  <si>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</si>
  <si>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</si>
  <si>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</si>
  <si>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</si>
  <si>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</si>
  <si>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</si>
  <si>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</si>
  <si>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</si>
  <si>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</si>
  <si>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</si>
  <si>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</si>
  <si>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</si>
  <si>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</si>
  <si>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</si>
  <si>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</si>
  <si>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</si>
  <si>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</si>
  <si>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</si>
  <si>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</si>
  <si>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</si>
  <si>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</si>
  <si>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</si>
  <si>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</si>
  <si>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</si>
  <si>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</si>
  <si>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</si>
  <si>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</si>
  <si>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</si>
  <si>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</si>
  <si>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</si>
  <si>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</si>
  <si>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</si>
  <si>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</si>
  <si>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</si>
  <si>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</si>
  <si>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</si>
  <si>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</si>
  <si>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</si>
  <si>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</si>
  <si>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</si>
  <si>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</si>
  <si>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</si>
  <si>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</si>
  <si>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</si>
  <si>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</si>
  <si>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</si>
  <si>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</si>
  <si>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</si>
  <si>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</si>
  <si>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</si>
  <si>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</si>
  <si>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</si>
  <si>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</si>
  <si>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</si>
  <si>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</si>
  <si>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</si>
  <si>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</si>
  <si>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</si>
  <si>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</si>
  <si>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</si>
  <si>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</si>
  <si>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</si>
  <si>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</si>
  <si>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</si>
  <si>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</si>
  <si>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</si>
  <si>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</si>
  <si>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</si>
  <si>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</si>
  <si>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</si>
  <si>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</si>
  <si>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</si>
  <si>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</si>
  <si>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</si>
  <si>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</si>
  <si>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</si>
  <si>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</si>
  <si>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</si>
  <si>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</si>
  <si>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</si>
  <si>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</si>
  <si>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</si>
  <si>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</si>
  <si>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</si>
  <si>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</si>
  <si>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</si>
  <si>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</si>
  <si>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</si>
  <si>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</si>
  <si>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</si>
  <si>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</si>
  <si>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</si>
  <si>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</si>
  <si>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</si>
  <si>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</si>
  <si>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</si>
  <si>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</si>
  <si>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</si>
  <si>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</si>
  <si>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</si>
  <si>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</si>
  <si>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</si>
  <si>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</si>
  <si>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</si>
  <si>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</si>
  <si>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</si>
  <si>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</si>
  <si>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</si>
  <si>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</si>
  <si>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</si>
  <si>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</si>
  <si>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</si>
  <si>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</si>
  <si>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</si>
  <si>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</si>
  <si>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</si>
  <si>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</si>
  <si>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</si>
  <si>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</si>
  <si>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</si>
  <si>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</si>
  <si>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</si>
  <si>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</si>
  <si>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</si>
  <si>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</si>
  <si>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</si>
  <si>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</si>
  <si>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</si>
  <si>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</si>
  <si>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</si>
  <si>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</si>
  <si>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</si>
  <si>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</si>
  <si>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</si>
  <si>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</si>
  <si>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</si>
  <si>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</si>
  <si>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</si>
  <si>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</si>
  <si>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</si>
  <si>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</si>
  <si>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</si>
  <si>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</si>
  <si>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</si>
  <si>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</si>
  <si>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</si>
  <si>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</si>
  <si>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</si>
  <si>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</si>
  <si>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</si>
  <si>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</si>
  <si>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</si>
  <si>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</si>
  <si>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</si>
  <si>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</si>
  <si>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</si>
  <si>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</si>
  <si>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</si>
  <si>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</si>
  <si>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</si>
  <si>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</si>
  <si>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</si>
  <si>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</si>
  <si>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</si>
  <si>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</si>
  <si>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</si>
  <si>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</si>
  <si>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</si>
  <si>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</si>
  <si>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</si>
  <si>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</si>
  <si>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</si>
  <si>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</si>
  <si>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</si>
  <si>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</si>
  <si>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</si>
  <si>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</si>
  <si>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</si>
  <si>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</si>
  <si>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</si>
  <si>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</si>
  <si>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</si>
  <si>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</si>
  <si>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</si>
  <si>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</si>
  <si>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</si>
  <si>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</si>
  <si>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</si>
  <si>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</si>
  <si>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</si>
  <si>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</si>
  <si>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</si>
  <si>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</si>
  <si>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</si>
  <si>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</si>
  <si>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</si>
  <si>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</si>
  <si>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</si>
  <si>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</si>
  <si>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</si>
  <si>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</si>
  <si>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</si>
  <si>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</si>
  <si>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</si>
  <si>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</si>
  <si>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</si>
  <si>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</si>
  <si>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</si>
  <si>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</si>
  <si>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</si>
  <si>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</si>
  <si>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</si>
  <si>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</si>
  <si>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</si>
  <si>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</si>
  <si>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</si>
  <si>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</si>
  <si>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</si>
  <si>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</si>
  <si>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</si>
  <si>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</si>
  <si>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</si>
  <si>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</si>
  <si>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</si>
  <si>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</si>
  <si>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</si>
  <si>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</si>
  <si>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</si>
  <si>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</si>
  <si>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</si>
  <si>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</si>
  <si>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</si>
  <si>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</si>
  <si>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</si>
  <si>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</si>
  <si>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</si>
  <si>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</si>
  <si>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</si>
  <si>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</si>
  <si>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</si>
  <si>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</si>
  <si>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</si>
  <si>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</si>
  <si>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</si>
  <si>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</si>
  <si>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</si>
  <si>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</si>
  <si>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</si>
  <si>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</si>
  <si>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</si>
  <si>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</si>
  <si>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</si>
  <si>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</si>
  <si>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</si>
  <si>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</si>
  <si>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</si>
  <si>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</si>
  <si>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</si>
  <si>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</si>
  <si>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</si>
  <si>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</si>
  <si>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</si>
  <si>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</si>
  <si>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</si>
  <si>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</si>
  <si>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</si>
  <si>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</si>
  <si>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</si>
  <si>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</si>
  <si>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</si>
  <si>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</si>
  <si>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</si>
  <si>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</si>
  <si>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</si>
  <si>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</si>
  <si>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</si>
  <si>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</si>
  <si>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</si>
  <si>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</si>
  <si>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</si>
  <si>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</si>
  <si>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</si>
  <si>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</si>
  <si>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</si>
  <si>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地上</t>
  </si>
  <si>
    <t>居住用地（指二类居住用地）</t>
  </si>
  <si>
    <t>住宅/居住</t>
  </si>
  <si>
    <t>1000米以外</t>
  </si>
  <si>
    <t>与级别开发程度一致</t>
  </si>
  <si>
    <t>设定容积率</t>
  </si>
  <si>
    <t>较好</t>
  </si>
  <si>
    <t>好</t>
  </si>
  <si>
    <t>钢混</t>
  </si>
  <si>
    <t>七通一平</t>
  </si>
  <si>
    <t>剩余土地使用年限（设定）</t>
  </si>
  <si>
    <t>市区</t>
  </si>
  <si>
    <t>较差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</si>
</sst>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24</xdr:row>
      <xdr:rowOff>123825</xdr:rowOff>
    </xdr:from>
    <xdr:to>
      <xdr:col>19</xdr:col>
      <xdr:colOff>551861</xdr:colOff>
      <xdr:row>40</xdr:row>
      <xdr:rowOff>180554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9550" y="5791200"/>
          <a:ext cx="4714286" cy="33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1385</v>
      </c>
    </row>
    <row r="19" spans="1:2" ht="14.4">
      <c r="A19" s="1767"/>
      <c r="B19" s="647" t="s">
        <v>1386</v>
      </c>
    </row>
    <row r="20" spans="1:2" ht="14.4">
      <c r="A20" s="1767"/>
      <c r="B20" s="647" t="s">
        <v>1387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6" t="s">
        <v>287</v>
      </c>
      <c r="B1" s="1826"/>
      <c r="C1" s="1826"/>
      <c r="D1" s="1826"/>
      <c r="E1" s="1826"/>
      <c r="F1" s="1826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5" thickBot="1">
      <c r="A2" s="1827" t="s">
        <v>300</v>
      </c>
      <c r="B2" s="1827"/>
      <c r="C2" s="1827"/>
      <c r="D2" s="1827"/>
      <c r="E2" s="1827"/>
      <c r="F2" s="1827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8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9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20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20"/>
      <c r="B19" s="1820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20"/>
      <c r="B20" s="1820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20"/>
      <c r="B21" s="1820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20"/>
      <c r="B22" s="1820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20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20"/>
      <c r="B24" s="1820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20"/>
      <c r="B25" s="1820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20"/>
      <c r="B26" s="1820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20"/>
      <c r="B27" s="1820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20"/>
      <c r="B28" s="1820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20"/>
      <c r="B29" s="1820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20"/>
      <c r="B30" s="1820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20"/>
      <c r="B31" s="1820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20"/>
      <c r="B32" s="1820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20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20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20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20"/>
      <c r="B36" s="1820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20"/>
      <c r="B37" s="1820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20"/>
      <c r="B38" s="1820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20"/>
      <c r="B39" s="1820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4.4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20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36">
      <c r="A62" s="327">
        <v>2</v>
      </c>
      <c r="B62" s="1820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48">
      <c r="A63" s="327">
        <v>3</v>
      </c>
      <c r="B63" s="1820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48">
      <c r="A64" s="327">
        <v>4</v>
      </c>
      <c r="B64" s="1820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48">
      <c r="A65" s="327">
        <v>5</v>
      </c>
      <c r="B65" s="1820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48">
      <c r="A66" s="327">
        <v>6</v>
      </c>
      <c r="B66" s="1820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48">
      <c r="A67" s="327">
        <v>7</v>
      </c>
      <c r="B67" s="1820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48">
      <c r="A68" s="327">
        <v>8</v>
      </c>
      <c r="B68" s="1820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48">
      <c r="A69" s="327">
        <v>9</v>
      </c>
      <c r="B69" s="1820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60">
      <c r="A70" s="327">
        <v>10</v>
      </c>
      <c r="B70" s="1820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60">
      <c r="A71" s="327">
        <v>11</v>
      </c>
      <c r="B71" s="1820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20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36">
      <c r="A73" s="327">
        <v>13</v>
      </c>
      <c r="B73" s="1820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36">
      <c r="A74" s="327">
        <v>14</v>
      </c>
      <c r="B74" s="1820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36">
      <c r="A75" s="327">
        <v>15</v>
      </c>
      <c r="B75" s="1820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36">
      <c r="A76" s="327">
        <v>16</v>
      </c>
      <c r="B76" s="1820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36">
      <c r="A77" s="327">
        <v>17</v>
      </c>
      <c r="B77" s="1820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36">
      <c r="A78" s="327">
        <v>18</v>
      </c>
      <c r="B78" s="1820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36">
      <c r="A79" s="327">
        <v>19</v>
      </c>
      <c r="B79" s="1820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20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20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60">
      <c r="A82" s="327">
        <v>22</v>
      </c>
      <c r="B82" s="1820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60">
      <c r="A83" s="327">
        <v>23</v>
      </c>
      <c r="B83" s="1820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48">
      <c r="A84" s="327">
        <v>24</v>
      </c>
      <c r="B84" s="1820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20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20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20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20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36">
      <c r="A89" s="327">
        <v>29</v>
      </c>
      <c r="B89" s="1820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36">
      <c r="A90" s="327">
        <v>30</v>
      </c>
      <c r="B90" s="1820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48">
      <c r="A91" s="327">
        <v>31</v>
      </c>
      <c r="B91" s="1820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36">
      <c r="A92" s="327">
        <v>32</v>
      </c>
      <c r="B92" s="1820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20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60">
      <c r="A94" s="327">
        <v>34</v>
      </c>
      <c r="B94" s="1820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48">
      <c r="A95" s="327">
        <v>35</v>
      </c>
      <c r="B95" s="1820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72">
      <c r="A96" s="327">
        <v>36</v>
      </c>
      <c r="B96" s="1820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20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20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20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20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20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20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20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20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20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20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20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20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48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36">
      <c r="A116" s="327">
        <v>56</v>
      </c>
      <c r="B116" s="1820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20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1307</v>
      </c>
      <c r="B1" s="1830" t="s">
        <v>1308</v>
      </c>
      <c r="C1" s="1831"/>
      <c r="D1" s="1832"/>
      <c r="E1" s="1830" t="s">
        <v>1309</v>
      </c>
      <c r="F1" s="1831"/>
      <c r="G1" s="1832"/>
    </row>
    <row r="2" spans="1:7">
      <c r="A2" s="1834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6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27" sqref="H2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38" t="s">
        <v>1422</v>
      </c>
      <c r="E2" s="1842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39"/>
      <c r="E3" s="1843"/>
      <c r="F3" s="661" t="s">
        <v>1432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9"/>
      <c r="E4" s="1843"/>
      <c r="F4" s="661" t="s">
        <v>1433</v>
      </c>
      <c r="G4" s="376"/>
      <c r="H4" s="376"/>
      <c r="I4" s="664"/>
      <c r="J4" s="688"/>
      <c r="AE4" s="477"/>
      <c r="AF4" s="477"/>
    </row>
    <row r="5" spans="1:36" ht="31.2">
      <c r="A5" s="699" t="s">
        <v>982</v>
      </c>
      <c r="B5" s="951" t="str">
        <f>主表!B12</f>
        <v>住宅/居住</v>
      </c>
      <c r="C5" s="703"/>
      <c r="D5" s="1840"/>
      <c r="E5" s="1844"/>
      <c r="F5" s="661" t="s">
        <v>1434</v>
      </c>
      <c r="G5" s="376"/>
      <c r="H5" s="376"/>
      <c r="I5" s="664"/>
      <c r="J5" s="688"/>
      <c r="AE5" s="477"/>
      <c r="AF5" s="477"/>
    </row>
    <row r="6" spans="1:36" ht="15.6">
      <c r="A6" s="700" t="s">
        <v>1430</v>
      </c>
      <c r="B6" s="1313"/>
      <c r="C6" s="703"/>
      <c r="D6" s="1838" t="s">
        <v>1423</v>
      </c>
      <c r="E6" s="1842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5.6">
      <c r="A7" s="1346" t="s">
        <v>1431</v>
      </c>
      <c r="B7" s="1347" t="str">
        <f>LEFT(主表!B10,1)&amp;"类"</f>
        <v>三类</v>
      </c>
      <c r="C7" s="703"/>
      <c r="D7" s="1839"/>
      <c r="E7" s="1843"/>
      <c r="F7" s="661" t="s">
        <v>1436</v>
      </c>
      <c r="G7" s="376"/>
      <c r="H7" s="376"/>
      <c r="I7" s="664"/>
      <c r="J7" s="688"/>
      <c r="AE7" s="477"/>
      <c r="AF7" s="477"/>
    </row>
    <row r="8" spans="1:36" ht="15.6">
      <c r="A8" s="700" t="s">
        <v>1557</v>
      </c>
      <c r="B8" s="1379"/>
      <c r="C8" s="703"/>
      <c r="D8" s="1840"/>
      <c r="E8" s="1844"/>
      <c r="F8" s="661" t="s">
        <v>1437</v>
      </c>
      <c r="G8" s="376"/>
      <c r="H8" s="376"/>
      <c r="I8" s="664"/>
      <c r="J8" s="688"/>
      <c r="AE8" s="477"/>
      <c r="AF8" s="477"/>
    </row>
    <row r="9" spans="1:36" ht="15.6">
      <c r="A9" s="700" t="s">
        <v>1176</v>
      </c>
      <c r="B9" s="701">
        <f>主表!B7</f>
        <v>56.19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.6">
      <c r="A10" s="700" t="s">
        <v>1339</v>
      </c>
      <c r="B10" s="701">
        <f>主表!B6</f>
        <v>0</v>
      </c>
      <c r="C10" s="703"/>
      <c r="D10" s="1838" t="s">
        <v>1401</v>
      </c>
      <c r="E10" s="1842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1217</v>
      </c>
      <c r="B11" s="702" t="e">
        <f>IF(A11="容积率",主表!B8,主表!B9)</f>
        <v>#DIV/0!</v>
      </c>
      <c r="C11" s="703"/>
      <c r="D11" s="1841"/>
      <c r="E11" s="1845"/>
      <c r="F11" s="689" t="s">
        <v>1440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1559</v>
      </c>
      <c r="B22" s="1348" t="s">
        <v>198</v>
      </c>
      <c r="C22" s="1358">
        <f ca="1">ROUND(POWER(1+C23,C25-C24)*(POWER(1+C23,C24)-1)/(POWER(1+C23,C25)-1),4)</f>
        <v>1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934</v>
      </c>
      <c r="C23" s="670">
        <f ca="1">AVERAGE(存贷款利率!G3,存贷款利率!I3)</f>
        <v>5.2000000000000005E-2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1632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04" t="s">
        <v>1336</v>
      </c>
      <c r="B27" s="761" t="s">
        <v>1323</v>
      </c>
      <c r="C27" s="621" t="e">
        <f>ROUND(C28/B11,0)</f>
        <v>#DIV/0!</v>
      </c>
      <c r="D27" s="630">
        <f>B9</f>
        <v>56.19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05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06" t="s">
        <v>1449</v>
      </c>
      <c r="B29" s="748" t="s">
        <v>1450</v>
      </c>
      <c r="C29" s="635" t="e">
        <f>ROUND(C30/B11,0)</f>
        <v>#DIV/0!</v>
      </c>
      <c r="D29" s="636">
        <f>B9</f>
        <v>56.19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8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6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7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7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7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7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7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7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7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5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6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6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6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6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7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6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6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6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7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2" t="s">
        <v>90</v>
      </c>
      <c r="D4" s="1873"/>
      <c r="E4" s="1874" t="s">
        <v>91</v>
      </c>
      <c r="F4" s="1875"/>
      <c r="G4" s="1872" t="s">
        <v>92</v>
      </c>
      <c r="H4" s="1873"/>
      <c r="I4" s="1872" t="s">
        <v>93</v>
      </c>
      <c r="J4" s="1873"/>
      <c r="K4" s="142" t="s">
        <v>94</v>
      </c>
      <c r="L4" s="448"/>
      <c r="M4" s="449"/>
      <c r="N4" s="449"/>
      <c r="O4" s="449"/>
      <c r="P4" s="1876" t="s">
        <v>95</v>
      </c>
      <c r="Q4" s="1877"/>
      <c r="R4" s="1859" t="s">
        <v>91</v>
      </c>
      <c r="S4" s="1860"/>
      <c r="T4" s="1859" t="s">
        <v>92</v>
      </c>
      <c r="U4" s="1860"/>
      <c r="V4" s="1856" t="s">
        <v>93</v>
      </c>
      <c r="W4" s="1856"/>
      <c r="X4" s="201"/>
      <c r="Y4" s="1859" t="s">
        <v>95</v>
      </c>
      <c r="Z4" s="1860"/>
      <c r="AA4" s="1869" t="s">
        <v>91</v>
      </c>
      <c r="AB4" s="1870" t="s">
        <v>92</v>
      </c>
      <c r="AC4" s="1869" t="s">
        <v>93</v>
      </c>
    </row>
    <row r="5" spans="1:30" ht="14.4">
      <c r="A5" s="41"/>
      <c r="B5" s="42"/>
      <c r="C5" s="1884" t="s">
        <v>226</v>
      </c>
      <c r="D5" s="1885"/>
      <c r="E5" s="1882" t="s">
        <v>227</v>
      </c>
      <c r="F5" s="1883"/>
      <c r="G5" s="1884" t="s">
        <v>230</v>
      </c>
      <c r="H5" s="1885"/>
      <c r="I5" s="1884" t="s">
        <v>228</v>
      </c>
      <c r="J5" s="1885"/>
      <c r="K5" s="142"/>
      <c r="L5" s="448"/>
      <c r="M5" s="449"/>
      <c r="N5" s="449"/>
      <c r="O5" s="449"/>
      <c r="P5" s="1878"/>
      <c r="Q5" s="1879"/>
      <c r="R5" s="1861"/>
      <c r="S5" s="1862"/>
      <c r="T5" s="1861"/>
      <c r="U5" s="1862"/>
      <c r="V5" s="1856"/>
      <c r="W5" s="1856"/>
      <c r="X5" s="201"/>
      <c r="Y5" s="1861"/>
      <c r="Z5" s="1862"/>
      <c r="AA5" s="1870"/>
      <c r="AB5" s="1870"/>
      <c r="AC5" s="1870"/>
    </row>
    <row r="6" spans="1:30" ht="15" thickBot="1">
      <c r="A6" s="43"/>
      <c r="B6" s="44"/>
      <c r="C6" s="1886" t="s">
        <v>229</v>
      </c>
      <c r="D6" s="1887"/>
      <c r="E6" s="1888" t="s">
        <v>229</v>
      </c>
      <c r="F6" s="1889"/>
      <c r="G6" s="1886" t="s">
        <v>229</v>
      </c>
      <c r="H6" s="1887"/>
      <c r="I6" s="1886" t="s">
        <v>229</v>
      </c>
      <c r="J6" s="1887"/>
      <c r="K6" s="142" t="s">
        <v>96</v>
      </c>
      <c r="L6" s="448"/>
      <c r="M6" s="449"/>
      <c r="N6" s="449"/>
      <c r="O6" s="449"/>
      <c r="P6" s="1880"/>
      <c r="Q6" s="1881"/>
      <c r="R6" s="1861"/>
      <c r="S6" s="1862"/>
      <c r="T6" s="1863"/>
      <c r="U6" s="1864"/>
      <c r="V6" s="1856"/>
      <c r="W6" s="1856"/>
      <c r="X6" s="201"/>
      <c r="Y6" s="1863"/>
      <c r="Z6" s="1864"/>
      <c r="AA6" s="1871"/>
      <c r="AB6" s="1871"/>
      <c r="AC6" s="1871"/>
    </row>
    <row r="7" spans="1:30" s="22" customFormat="1" ht="15.6" thickBot="1">
      <c r="A7" s="45" t="s">
        <v>97</v>
      </c>
      <c r="B7" s="46"/>
      <c r="C7" s="1344">
        <f>主表!B4</f>
        <v>41530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7" t="s">
        <v>98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7" t="s">
        <v>98</v>
      </c>
      <c r="Z7" s="185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7" t="s">
        <v>124</v>
      </c>
      <c r="Q8" s="185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7" t="s">
        <v>124</v>
      </c>
      <c r="Z8" s="185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1530</v>
      </c>
      <c r="C12" s="1064" t="str">
        <f>主表!B10</f>
        <v>三级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5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5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56">
        <f>E46</f>
        <v>0</v>
      </c>
      <c r="S46" s="1856"/>
      <c r="T46" s="1856">
        <f>G46</f>
        <v>0</v>
      </c>
      <c r="U46" s="1856"/>
      <c r="V46" s="1856">
        <f>I46</f>
        <v>0</v>
      </c>
      <c r="W46" s="1856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2013-9-1</v>
      </c>
      <c r="D56" s="1533">
        <f>EDATE(C56,-3)</f>
        <v>41426</v>
      </c>
      <c r="E56" s="1533">
        <f t="shared" ref="E56:O56" si="15">EDATE(D56,-3)</f>
        <v>41334</v>
      </c>
      <c r="F56" s="1533">
        <f t="shared" si="15"/>
        <v>41244</v>
      </c>
      <c r="G56" s="1533">
        <f t="shared" si="15"/>
        <v>41153</v>
      </c>
      <c r="H56" s="1533">
        <f t="shared" si="15"/>
        <v>41061</v>
      </c>
      <c r="I56" s="1533">
        <f t="shared" si="15"/>
        <v>40969</v>
      </c>
      <c r="J56" s="1533">
        <f t="shared" si="15"/>
        <v>40878</v>
      </c>
      <c r="K56" s="1533">
        <f t="shared" si="15"/>
        <v>40787</v>
      </c>
      <c r="L56" s="1533">
        <f t="shared" si="15"/>
        <v>40695</v>
      </c>
      <c r="M56" s="1533">
        <f t="shared" si="15"/>
        <v>40603</v>
      </c>
      <c r="N56" s="1533">
        <f t="shared" si="15"/>
        <v>40513</v>
      </c>
      <c r="O56" s="1533">
        <f t="shared" si="15"/>
        <v>40422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2013-3</v>
      </c>
      <c r="D58" s="1532" t="str">
        <f t="shared" ref="D58:O58" si="16">YEAR(D56)&amp;"-"&amp;ROUNDUP(MONTH(D56)/3,0)</f>
        <v>2013-2</v>
      </c>
      <c r="E58" s="1532" t="str">
        <f t="shared" si="16"/>
        <v>2013-1</v>
      </c>
      <c r="F58" s="1532" t="str">
        <f t="shared" si="16"/>
        <v>2012-4</v>
      </c>
      <c r="G58" s="1532" t="str">
        <f t="shared" si="16"/>
        <v>2012-3</v>
      </c>
      <c r="H58" s="1532" t="str">
        <f t="shared" si="16"/>
        <v>2012-2</v>
      </c>
      <c r="I58" s="1532" t="str">
        <f t="shared" si="16"/>
        <v>2012-1</v>
      </c>
      <c r="J58" s="1532" t="str">
        <f t="shared" si="16"/>
        <v>2011-4</v>
      </c>
      <c r="K58" s="1532" t="str">
        <f t="shared" si="16"/>
        <v>2011-3</v>
      </c>
      <c r="L58" s="1532" t="str">
        <f t="shared" si="16"/>
        <v>2011-2</v>
      </c>
      <c r="M58" s="1532" t="str">
        <f t="shared" si="16"/>
        <v>2011-1</v>
      </c>
      <c r="N58" s="1532" t="str">
        <f t="shared" si="16"/>
        <v>2010-4</v>
      </c>
      <c r="O58" s="1532" t="str">
        <f t="shared" si="16"/>
        <v>2010-3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20" sqref="H20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1504</v>
      </c>
      <c r="C1" s="1013">
        <f>主表!B3</f>
        <v>41530</v>
      </c>
      <c r="D1" s="970" t="str">
        <f>主表!A23</f>
        <v>建设期</v>
      </c>
      <c r="E1" s="1008">
        <f>主表!B23</f>
        <v>1</v>
      </c>
      <c r="F1" s="970" t="s">
        <v>1505</v>
      </c>
      <c r="G1" s="971">
        <f ca="1">INDIRECT("d"&amp;$K$1)/100</f>
        <v>0.06</v>
      </c>
      <c r="H1" s="970" t="s">
        <v>1506</v>
      </c>
      <c r="I1" s="971">
        <f ca="1">SUMIF(F4:F8,E1,G4:G8)/100</f>
        <v>0.03</v>
      </c>
      <c r="J1" s="1138">
        <f>IF(C1&gt;C14,0,MATCH(C1,C$14:C$68,-1))+IF(SUMIF(C14:C68,C1,D14:D68)=0,14,13)</f>
        <v>29</v>
      </c>
      <c r="K1" s="1138">
        <f ca="1">MATCH(E1,C4:C8,1)+IF(SUMIF(C4:C8,E1,D4:D8)=0,3,2)</f>
        <v>5</v>
      </c>
      <c r="L1" s="1138">
        <f>IF(C1&gt;M14,0,MATCH(C1,M$14:M$52,-1))+IF(SUMIF(M14:M52,C1,N14:N52)=0,14,13)</f>
        <v>20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41530</v>
      </c>
      <c r="D2" s="1012" t="str">
        <f>主表!A24</f>
        <v>土地开发期</v>
      </c>
      <c r="E2" s="1008">
        <f>主表!B24</f>
        <v>1</v>
      </c>
      <c r="F2" s="970" t="s">
        <v>1505</v>
      </c>
      <c r="G2" s="971">
        <f ca="1">INDIRECT("e"&amp;$K$2)/100</f>
        <v>0.06</v>
      </c>
      <c r="H2" s="970" t="s">
        <v>1506</v>
      </c>
      <c r="I2" s="971">
        <f ca="1">SUMIF(F4:F8,E2,G4:G8)/100</f>
        <v>0.03</v>
      </c>
      <c r="J2" s="1138">
        <f>IF(C2&gt;C14,0,MATCH(C2,C$14:C$68,-1))+IF(SUMIF(C14:C68,C2,D14:D68)=0,14,13)</f>
        <v>29</v>
      </c>
      <c r="K2" s="1138">
        <f ca="1">MATCH(E2,C4:C8,1)+IF(SUMIF(C4:C8,E2,D4:D8)=0,3,2)</f>
        <v>5</v>
      </c>
      <c r="L2" s="1138">
        <f>IF(C2&gt;M14,0,MATCH(C2,M$14:M$52,-1))+IF(SUMIF(M14:M52,C2,N14:N52)=0,14,13)</f>
        <v>20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6.1500000000000006E-2</v>
      </c>
      <c r="H3" s="1019" t="s">
        <v>1506</v>
      </c>
      <c r="I3" s="1020">
        <f ca="1">SUMIF(F4:F8,E3,H4:H8)/100</f>
        <v>4.2500000000000003E-2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1507</v>
      </c>
      <c r="C4" s="1005">
        <v>0</v>
      </c>
      <c r="D4" s="1004">
        <f ca="1">INDIRECT("d"&amp;$J$1)</f>
        <v>5.6</v>
      </c>
      <c r="E4" s="1004">
        <f ca="1">INDIRECT("d"&amp;$J$2)</f>
        <v>5.6</v>
      </c>
      <c r="F4" s="1005">
        <v>0.5</v>
      </c>
      <c r="G4" s="1006">
        <f ca="1">INDIRECT("p"&amp;$L$1)</f>
        <v>2.8</v>
      </c>
      <c r="H4" s="1006">
        <f ca="1">INDIRECT("p"&amp;$L$2)</f>
        <v>2.8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6</v>
      </c>
      <c r="E5" s="978">
        <f ca="1">INDIRECT("e"&amp;$J$2)</f>
        <v>6</v>
      </c>
      <c r="F5" s="977">
        <v>1</v>
      </c>
      <c r="G5" s="1007">
        <f ca="1">INDIRECT("q"&amp;$L$1)</f>
        <v>3</v>
      </c>
      <c r="H5" s="1007">
        <f ca="1">INDIRECT("q"&amp;$L$2)</f>
        <v>3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6.15</v>
      </c>
      <c r="E6" s="978">
        <f ca="1">INDIRECT("f"&amp;$J$2)</f>
        <v>6.15</v>
      </c>
      <c r="F6" s="977">
        <v>2</v>
      </c>
      <c r="G6" s="1007">
        <f ca="1">INDIRECT("r"&amp;$L$1)</f>
        <v>3.75</v>
      </c>
      <c r="H6" s="1007">
        <f ca="1">INDIRECT("r"&amp;$L$2)</f>
        <v>3.75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6.4</v>
      </c>
      <c r="E7" s="978">
        <f ca="1">INDIRECT("g"&amp;$J$2)</f>
        <v>6.4</v>
      </c>
      <c r="F7" s="977">
        <v>3</v>
      </c>
      <c r="G7" s="1007">
        <f ca="1">INDIRECT("s"&amp;$L$1)</f>
        <v>4.25</v>
      </c>
      <c r="H7" s="1007">
        <f ca="1">INDIRECT("s"&amp;$L$2)</f>
        <v>4.25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6.55</v>
      </c>
      <c r="E8" s="978">
        <f ca="1">INDIRECT("h"&amp;$J$2)</f>
        <v>6.55</v>
      </c>
      <c r="F8" s="977">
        <v>5</v>
      </c>
      <c r="G8" s="1007">
        <f ca="1">INDIRECT("t"&amp;$L$1)</f>
        <v>4.75</v>
      </c>
      <c r="H8" s="1007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1527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1784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1528</v>
      </c>
      <c r="J65" s="999" t="s">
        <v>1528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1699</v>
      </c>
      <c r="C1" s="1588"/>
      <c r="D1" s="1588"/>
      <c r="F1" s="1588"/>
    </row>
    <row r="2" spans="1:32" s="1587" customFormat="1" ht="13.8" thickBot="1">
      <c r="B2" s="1588" t="s">
        <v>1634</v>
      </c>
      <c r="C2" s="1588"/>
      <c r="D2" s="1588"/>
      <c r="F2" s="1588"/>
      <c r="G2" s="1898" t="s">
        <v>1635</v>
      </c>
      <c r="H2" s="1898"/>
      <c r="I2" s="1898"/>
      <c r="J2" s="1898"/>
      <c r="K2" s="1898"/>
      <c r="L2" s="1898"/>
      <c r="N2" s="1893" t="s">
        <v>1636</v>
      </c>
      <c r="O2" s="1893"/>
      <c r="P2" s="1893"/>
      <c r="Q2" s="1893"/>
      <c r="S2" s="1893" t="s">
        <v>1637</v>
      </c>
      <c r="T2" s="1893"/>
      <c r="U2" s="1893"/>
      <c r="V2" s="1893"/>
    </row>
    <row r="3" spans="1:32" s="1587" customFormat="1" ht="14.4">
      <c r="B3" s="1589" t="s">
        <v>1693</v>
      </c>
      <c r="C3" s="1589" t="s">
        <v>41</v>
      </c>
      <c r="D3" s="1590" t="s">
        <v>1296</v>
      </c>
      <c r="E3" s="1590" t="s">
        <v>1297</v>
      </c>
      <c r="F3" s="1589" t="s">
        <v>49</v>
      </c>
      <c r="G3" s="1591" t="s">
        <v>1739</v>
      </c>
      <c r="H3" s="1591" t="s">
        <v>1740</v>
      </c>
      <c r="I3" s="1592" t="s">
        <v>1693</v>
      </c>
      <c r="J3" s="1592" t="s">
        <v>1698</v>
      </c>
      <c r="K3" s="1590" t="s">
        <v>1297</v>
      </c>
      <c r="L3" s="1592" t="s">
        <v>49</v>
      </c>
      <c r="N3" s="1592" t="s">
        <v>1693</v>
      </c>
      <c r="O3" s="1592" t="s">
        <v>1698</v>
      </c>
      <c r="P3" s="1590" t="s">
        <v>1297</v>
      </c>
      <c r="Q3" s="1592" t="s">
        <v>49</v>
      </c>
      <c r="S3" s="1592" t="s">
        <v>1693</v>
      </c>
      <c r="T3" s="1592" t="s">
        <v>1698</v>
      </c>
      <c r="U3" s="1590" t="s">
        <v>1297</v>
      </c>
      <c r="V3" s="1592" t="s">
        <v>49</v>
      </c>
    </row>
    <row r="4" spans="1:32" s="1598" customFormat="1" ht="14.4">
      <c r="A4" s="1593" t="s">
        <v>1742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1789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1743</v>
      </c>
      <c r="Y6" s="1619"/>
      <c r="Z6" s="1619"/>
      <c r="AA6" s="1619"/>
    </row>
    <row r="7" spans="1:32">
      <c r="A7" s="1620" t="s">
        <v>1788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1787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1786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1785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1783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1782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1781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1780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1759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1758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1756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1757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1751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1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1746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1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1745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1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1744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1741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1738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1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1638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1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1639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275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274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1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264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1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273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2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272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0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271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1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270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1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269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2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268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0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267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1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266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1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265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2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1640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1641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1642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1643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1644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0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1645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1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1646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1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1647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2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1648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0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1649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1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1650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1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1651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2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1652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0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1653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1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1654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1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1655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2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1656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0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1657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1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1658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1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1659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2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1660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0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1661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1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1662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1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1663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2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1664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0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1665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1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1666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1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1667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2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1668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0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1669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1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1670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1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1671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2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1672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0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1673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1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1674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1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1675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2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1676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0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1677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1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1678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1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1679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2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1680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0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1681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1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1682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1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1683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2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1684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0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1685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1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1686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1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1687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2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1694</v>
      </c>
      <c r="G89" s="1705"/>
      <c r="N89" s="1705"/>
      <c r="S89" s="1705"/>
    </row>
    <row r="90" spans="1:32" s="1704" customFormat="1">
      <c r="A90" s="1704" t="s">
        <v>1695</v>
      </c>
      <c r="G90" s="1705"/>
      <c r="N90" s="1705"/>
      <c r="S90" s="1705"/>
    </row>
    <row r="91" spans="1:32" s="1704" customFormat="1">
      <c r="A91" s="1704" t="s">
        <v>1696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1697</v>
      </c>
      <c r="G92" s="1705"/>
      <c r="N92" s="1705"/>
      <c r="S92" s="1705"/>
    </row>
    <row r="99" spans="14:29" ht="13.8" thickBot="1"/>
    <row r="100" spans="14:29" ht="24">
      <c r="S100" s="1708" t="s">
        <v>1688</v>
      </c>
      <c r="T100" s="1709" t="s">
        <v>1689</v>
      </c>
      <c r="U100" s="1709" t="s">
        <v>1690</v>
      </c>
      <c r="V100" s="1709" t="s">
        <v>1691</v>
      </c>
      <c r="W100" s="1710" t="s">
        <v>1692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 ht="15.6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 ht="15.6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 ht="15.6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 ht="15.6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 ht="15.6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 ht="15.6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 ht="15.6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967</v>
      </c>
      <c r="H1" s="249">
        <f>'2014基准地价'!M18</f>
        <v>1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47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5" zoomScaleNormal="85" zoomScaleSheetLayoutView="100" workbookViewId="0">
      <pane xSplit="1" ySplit="1" topLeftCell="C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 ht="34.799999999999997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1700</v>
      </c>
      <c r="B1" s="1730">
        <f>SUM(B14:B23)</f>
        <v>56.19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1701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1702</v>
      </c>
      <c r="B3" s="1734">
        <f>主表!B3</f>
        <v>41530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1703</v>
      </c>
      <c r="B4" s="1730" t="s">
        <v>1704</v>
      </c>
      <c r="C4" s="1730" t="s">
        <v>1705</v>
      </c>
      <c r="D4" s="1730" t="s">
        <v>1706</v>
      </c>
      <c r="E4" s="1728"/>
      <c r="F4" s="1731"/>
      <c r="G4" s="1731"/>
      <c r="H4" s="1732"/>
      <c r="I4" s="1732"/>
    </row>
    <row r="5" spans="1:10" ht="15.6">
      <c r="A5" s="1730" t="s">
        <v>1707</v>
      </c>
      <c r="B5" s="1730">
        <f>SUM(D14:D23)</f>
        <v>0</v>
      </c>
      <c r="C5" s="1730">
        <f>ROUND(B5*10000/$B$1,0)</f>
        <v>0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1708</v>
      </c>
      <c r="B6" s="1730">
        <f>SUM(G14:G23)</f>
        <v>0</v>
      </c>
      <c r="C6" s="1730">
        <f>ROUND(B6*10000/$B$1,0)</f>
        <v>0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1709</v>
      </c>
      <c r="B7" s="1730">
        <f>SUM(H14:H23)</f>
        <v>0</v>
      </c>
      <c r="C7" s="1730">
        <f>ROUND(B7*10000/$B$1,0)</f>
        <v>0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1710</v>
      </c>
      <c r="B8" s="1730">
        <f>SUM(I14:I23)</f>
        <v>0</v>
      </c>
      <c r="C8" s="1730">
        <f>ROUND(B8*10000/$B$1,0)</f>
        <v>0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1711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1712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1731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1713</v>
      </c>
      <c r="B13" s="1736" t="s">
        <v>1714</v>
      </c>
      <c r="C13" s="1736" t="s">
        <v>1715</v>
      </c>
      <c r="D13" s="1736" t="s">
        <v>1716</v>
      </c>
      <c r="E13" s="1730" t="s">
        <v>1705</v>
      </c>
      <c r="F13" s="1730" t="s">
        <v>1717</v>
      </c>
      <c r="G13" s="1736" t="s">
        <v>1718</v>
      </c>
      <c r="H13" s="1736" t="s">
        <v>1719</v>
      </c>
      <c r="I13" s="1736" t="s">
        <v>1720</v>
      </c>
      <c r="J13" s="1737"/>
    </row>
    <row r="14" spans="1:10" ht="15.6">
      <c r="A14" s="1738" t="s">
        <v>1721</v>
      </c>
      <c r="B14" s="1739">
        <f>主表!B7</f>
        <v>56.19</v>
      </c>
      <c r="C14" s="1739">
        <f>主表!B6</f>
        <v>0</v>
      </c>
      <c r="D14" s="1739"/>
      <c r="E14" s="1739">
        <f>ROUND(D14*10000/B14,0)</f>
        <v>0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1722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1723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1724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1725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1726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1727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1728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1729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1730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70" t="s">
        <v>1351</v>
      </c>
      <c r="B2" s="1770"/>
      <c r="C2" s="1770"/>
      <c r="D2" s="1770"/>
      <c r="E2" s="1770"/>
      <c r="F2" s="1770"/>
      <c r="G2" s="1770"/>
      <c r="H2" s="1743"/>
      <c r="I2" s="1742"/>
      <c r="X2" s="221"/>
      <c r="AG2" s="189"/>
    </row>
    <row r="3" spans="1:33" ht="14.4">
      <c r="A3" s="1771" t="s">
        <v>1352</v>
      </c>
      <c r="B3" s="1772"/>
      <c r="C3" s="1773"/>
      <c r="D3" s="1774" t="s">
        <v>1353</v>
      </c>
      <c r="E3" s="1772"/>
      <c r="F3" s="1772"/>
      <c r="G3" s="1775"/>
      <c r="H3" s="1743"/>
      <c r="I3" s="1742"/>
      <c r="X3" s="221"/>
      <c r="AG3" s="189"/>
    </row>
    <row r="4" spans="1:33" ht="28.8">
      <c r="A4" s="1292" t="s">
        <v>1354</v>
      </c>
      <c r="B4" s="1293" t="s">
        <v>1355</v>
      </c>
      <c r="C4" s="1294" t="s">
        <v>1356</v>
      </c>
      <c r="D4" s="1776" t="s">
        <v>1354</v>
      </c>
      <c r="E4" s="1777"/>
      <c r="F4" s="1293" t="s">
        <v>1355</v>
      </c>
      <c r="G4" s="1295" t="s">
        <v>1357</v>
      </c>
      <c r="H4" s="1743"/>
      <c r="I4" s="1742"/>
      <c r="X4" s="221"/>
      <c r="AG4" s="189"/>
    </row>
    <row r="5" spans="1:33" ht="14.4">
      <c r="A5" s="1778" t="s">
        <v>1358</v>
      </c>
      <c r="B5" s="1779">
        <f>主表!F5</f>
        <v>14157</v>
      </c>
      <c r="C5" s="1780" t="s">
        <v>1359</v>
      </c>
      <c r="D5" s="1777" t="s">
        <v>1360</v>
      </c>
      <c r="E5" s="1781"/>
      <c r="F5" s="1296">
        <f>SUM(F6:F10)</f>
        <v>0</v>
      </c>
      <c r="G5" s="1297" t="s">
        <v>1633</v>
      </c>
      <c r="H5" s="1743"/>
      <c r="I5" s="1742"/>
      <c r="X5" s="221"/>
      <c r="AG5" s="189"/>
    </row>
    <row r="6" spans="1:33" ht="43.2">
      <c r="A6" s="1778"/>
      <c r="B6" s="1779"/>
      <c r="C6" s="1780"/>
      <c r="D6" s="1782" t="s">
        <v>1381</v>
      </c>
      <c r="E6" s="1296" t="s">
        <v>1361</v>
      </c>
      <c r="F6" s="1296">
        <f>主表!F14</f>
        <v>0</v>
      </c>
      <c r="G6" s="1297" t="s">
        <v>1362</v>
      </c>
      <c r="H6" s="1743"/>
      <c r="I6" s="1742"/>
      <c r="X6" s="221"/>
      <c r="AG6" s="189"/>
    </row>
    <row r="7" spans="1:33" ht="14.4">
      <c r="A7" s="1778"/>
      <c r="B7" s="1779"/>
      <c r="C7" s="1780"/>
      <c r="D7" s="1782"/>
      <c r="E7" s="1296" t="s">
        <v>1363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78"/>
      <c r="B8" s="1779"/>
      <c r="C8" s="1780"/>
      <c r="D8" s="1783" t="s">
        <v>1382</v>
      </c>
      <c r="E8" s="1784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78"/>
      <c r="B9" s="1779"/>
      <c r="C9" s="1780"/>
      <c r="D9" s="1783" t="s">
        <v>1383</v>
      </c>
      <c r="E9" s="1784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78"/>
      <c r="B10" s="1779"/>
      <c r="C10" s="1780"/>
      <c r="D10" s="1783" t="s">
        <v>1384</v>
      </c>
      <c r="E10" s="1784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1364</v>
      </c>
      <c r="B11" s="1296">
        <f>主表!F8</f>
        <v>0</v>
      </c>
      <c r="C11" s="1298" t="str">
        <f>"按前期开发成本的"&amp;TEXT(主表!G8,"0.0%")&amp;"计取"</f>
        <v>按前期开发成本的0.0%计取</v>
      </c>
      <c r="D11" s="1777" t="s">
        <v>1365</v>
      </c>
      <c r="E11" s="1781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1366</v>
      </c>
      <c r="B12" s="1296">
        <f ca="1">主表!F9</f>
        <v>849</v>
      </c>
      <c r="C12" s="1299" t="str">
        <f ca="1">"前期开发期为"&amp;主表!B24&amp;"年，贷款利率为"&amp;TEXT(主表!G9,"0.00%")&amp;"，"&amp;主表!H9</f>
        <v>前期开发期为1年，贷款利率为6.00%，计息期为1年，复利计息</v>
      </c>
      <c r="D12" s="1777" t="s">
        <v>1367</v>
      </c>
      <c r="E12" s="1781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房屋建设期为1年，贷款利率为6.00%，计息期为1年，复利计息</v>
      </c>
      <c r="H12" s="1743"/>
      <c r="I12" s="1742"/>
      <c r="X12" s="221"/>
      <c r="AG12" s="189"/>
    </row>
    <row r="13" spans="1:33" ht="28.8">
      <c r="A13" s="1292" t="s">
        <v>1368</v>
      </c>
      <c r="B13" s="1296">
        <f>主表!F10</f>
        <v>0</v>
      </c>
      <c r="C13" s="1299" t="str">
        <f>"按前期开发成本及其管理费用的"&amp;TEXT(主表!G10,"0%")&amp;"计取"</f>
        <v>按前期开发成本及其管理费用的0%计取</v>
      </c>
      <c r="D13" s="1777" t="s">
        <v>1368</v>
      </c>
      <c r="E13" s="1781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1369</v>
      </c>
      <c r="B14" s="1296">
        <f ca="1">SUM(B5:B13)</f>
        <v>15006</v>
      </c>
      <c r="C14" s="1299" t="s">
        <v>1370</v>
      </c>
      <c r="D14" s="1777" t="s">
        <v>1369</v>
      </c>
      <c r="E14" s="1781"/>
      <c r="F14" s="1296">
        <f ca="1">F5+F11+F12+F13</f>
        <v>0</v>
      </c>
      <c r="G14" s="1297" t="s">
        <v>1370</v>
      </c>
      <c r="H14" s="1743"/>
      <c r="I14" s="1742"/>
      <c r="X14" s="221"/>
      <c r="AG14" s="189"/>
    </row>
    <row r="15" spans="1:33" ht="29.4" thickBot="1">
      <c r="A15" s="1292" t="s">
        <v>1371</v>
      </c>
      <c r="B15" s="1779">
        <f ca="1">主表!F24</f>
        <v>15006</v>
      </c>
      <c r="C15" s="1785"/>
      <c r="D15" s="1783" t="s">
        <v>1372</v>
      </c>
      <c r="E15" s="1784"/>
      <c r="F15" s="1784"/>
      <c r="G15" s="1786"/>
      <c r="H15" s="1743"/>
      <c r="I15" s="1742"/>
      <c r="X15" s="221"/>
      <c r="AG15" s="189"/>
    </row>
    <row r="16" spans="1:33" ht="29.4" thickBot="1">
      <c r="A16" s="1292" t="s">
        <v>1373</v>
      </c>
      <c r="B16" s="1779">
        <f ca="1">主表!F25</f>
        <v>84.318700000000007</v>
      </c>
      <c r="C16" s="1785"/>
      <c r="D16" s="1783" t="s">
        <v>1374</v>
      </c>
      <c r="E16" s="1784"/>
      <c r="F16" s="1784"/>
      <c r="G16" s="1786"/>
      <c r="H16" s="1301" t="str">
        <f ca="1">NUMBERSTRING(INT(B16*10000),2)&amp;"元整"</f>
        <v>捌拾肆万叁仟壹佰捌拾柒元整</v>
      </c>
      <c r="I16" s="1302"/>
      <c r="X16" s="221"/>
      <c r="AG16" s="189"/>
    </row>
    <row r="17" spans="1:33" ht="14.4">
      <c r="A17" s="1292" t="s">
        <v>1375</v>
      </c>
      <c r="B17" s="1792">
        <f>主表!F33</f>
        <v>0</v>
      </c>
      <c r="C17" s="1785"/>
      <c r="D17" s="1783" t="s">
        <v>1376</v>
      </c>
      <c r="E17" s="1784"/>
      <c r="F17" s="1784"/>
      <c r="G17" s="1786"/>
      <c r="H17" s="1743"/>
      <c r="I17" s="1742"/>
      <c r="X17" s="221"/>
      <c r="AG17" s="189"/>
    </row>
    <row r="18" spans="1:33" ht="29.4" thickBot="1">
      <c r="A18" s="1292" t="s">
        <v>1377</v>
      </c>
      <c r="B18" s="1779">
        <f ca="1">主表!F35</f>
        <v>0</v>
      </c>
      <c r="C18" s="1785"/>
      <c r="D18" s="1783" t="s">
        <v>1378</v>
      </c>
      <c r="E18" s="1784"/>
      <c r="F18" s="1784"/>
      <c r="G18" s="1786"/>
      <c r="H18" s="1743"/>
      <c r="I18" s="1742"/>
      <c r="X18" s="221"/>
      <c r="AG18" s="189"/>
    </row>
    <row r="19" spans="1:33" ht="29.4" thickBot="1">
      <c r="A19" s="1300" t="s">
        <v>1379</v>
      </c>
      <c r="B19" s="1787">
        <f ca="1">主表!F36</f>
        <v>0</v>
      </c>
      <c r="C19" s="1788"/>
      <c r="D19" s="1789" t="s">
        <v>1380</v>
      </c>
      <c r="E19" s="1790"/>
      <c r="F19" s="1790"/>
      <c r="G19" s="1791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4" sqref="B4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1282</v>
      </c>
      <c r="B2" s="1163"/>
      <c r="C2" s="1164"/>
      <c r="D2" s="1798" t="s">
        <v>1273</v>
      </c>
      <c r="E2" s="1799"/>
      <c r="F2" s="1799"/>
      <c r="G2" s="1799"/>
      <c r="H2" s="1800"/>
      <c r="I2" s="1165"/>
      <c r="J2" s="1165"/>
      <c r="K2" s="1212"/>
      <c r="L2" s="1212"/>
      <c r="N2" s="501" t="s">
        <v>1151</v>
      </c>
      <c r="O2" s="484">
        <f>SUMPRODUCT((N6:N12=B20)*(O5:Q5=B21)*(O6:Q12))</f>
        <v>60</v>
      </c>
    </row>
    <row r="3" spans="1:18" ht="15.75" customHeight="1">
      <c r="A3" s="1179" t="s">
        <v>1773</v>
      </c>
      <c r="B3" s="1565">
        <v>41530</v>
      </c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1</v>
      </c>
    </row>
    <row r="4" spans="1:18" ht="15.75" customHeight="1">
      <c r="A4" s="1191" t="s">
        <v>1774</v>
      </c>
      <c r="B4" s="1565">
        <f>B3</f>
        <v>41530</v>
      </c>
      <c r="C4" s="1164"/>
      <c r="D4" s="1171" t="s">
        <v>1274</v>
      </c>
      <c r="E4" s="1172" t="s">
        <v>1567</v>
      </c>
      <c r="F4" s="1173">
        <f ca="1">F5+F8+F9+F10</f>
        <v>15006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1568</v>
      </c>
      <c r="F5" s="1021">
        <f>IF(B4&lt;DATE(2002,12,10),F6,F6-F7)</f>
        <v>14157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7"/>
      <c r="C6" s="1164"/>
      <c r="D6" s="1183" t="s">
        <v>1266</v>
      </c>
      <c r="E6" s="1179" t="s">
        <v>1222</v>
      </c>
      <c r="F6" s="1021">
        <f>IF(B4&lt;DATE(2002,12,10),'1993基准地价'!B3,IF(B4&gt;=DATE(2014,8,28),'2014基准地价'!B3,'2002基准地价'!B3))</f>
        <v>16688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534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7">
        <v>56.19</v>
      </c>
      <c r="C7" s="1164"/>
      <c r="D7" s="1183" t="s">
        <v>1267</v>
      </c>
      <c r="E7" s="1179" t="s">
        <v>1223</v>
      </c>
      <c r="F7" s="1021">
        <f>IF(B4&lt;DATE(2002,12,10),'1993基准地价'!C14,IF(B4&gt;=DATE(2014,8,28),'2014基准地价'!B4,IF(H7="采用比较法计算",比较法!B3,IF(H7="扣毛地价",'2002基准地价'!B4,'2002基准地价'!B5))))</f>
        <v>2531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8" t="e">
        <f>ROUND(B7/B6,2)</f>
        <v>#DIV/0!</v>
      </c>
      <c r="C8" s="1164"/>
      <c r="D8" s="1190">
        <v>2</v>
      </c>
      <c r="E8" s="1191" t="s">
        <v>1225</v>
      </c>
      <c r="F8" s="1192">
        <f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7">
        <v>2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849</v>
      </c>
      <c r="G9" s="1194">
        <f ca="1">存贷款利率!G2</f>
        <v>0.06</v>
      </c>
      <c r="H9" s="1195" t="str">
        <f>"计息期为"&amp;B24&amp;"年，"&amp;"复利计息"</f>
        <v>计息期为1年，复利计息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9" t="s">
        <v>579</v>
      </c>
      <c r="C10" s="1164"/>
      <c r="D10" s="1198">
        <v>4</v>
      </c>
      <c r="E10" s="1199" t="s">
        <v>1227</v>
      </c>
      <c r="F10" s="1200">
        <f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70" t="s">
        <v>579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1" t="s">
        <v>1792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2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3">
        <v>67179</v>
      </c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4">
        <f>IF(B14="",B13-(YEAR($B$4)-B22+B23+B24),ROUNDDOWN(MIN((B14-$B$4)/365,B13),2))</f>
        <v>70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7">
        <v>70</v>
      </c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5">
        <f>IF(B4&lt;DATE(2002,12,10),'1993基准地价'!C23,IF(B4&gt;=DATE(2014,8,28),'2014基准地价'!G20,'2002基准地价'!E10))</f>
        <v>0.04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6">
        <f>IF(ISERROR(ROUND(POWER(1+B17,B13-B15)*(POWER(1+B17,B15)-1)/(POWER(1+B17,B13)-1),3)),0,ROUND(POWER(1+B17,B13-B15)*(POWER(1+B17,B15)-1)/(POWER(1+B17,B13)-1),3))</f>
        <v>1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7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8" t="s">
        <v>1798</v>
      </c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9" t="s">
        <v>1143</v>
      </c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0.06</v>
      </c>
      <c r="H21" s="1195" t="str">
        <f>"计息期为"&amp;B23&amp;"年，"&amp;"复利计息"</f>
        <v>计息期为1年，复利计息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80">
        <v>2012</v>
      </c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1">
        <v>1</v>
      </c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1">
        <v>1</v>
      </c>
      <c r="C24" s="1212"/>
      <c r="D24" s="1178">
        <v>1</v>
      </c>
      <c r="E24" s="1179" t="s">
        <v>1243</v>
      </c>
      <c r="F24" s="1021">
        <f ca="1">F4+F11</f>
        <v>15006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84.318700000000007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1275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>
        <f>ROUND(IF(AND(B12&lt;&gt;"住宅/居住",B13&lt;O2),1-(1-O4)*O3/B13,1-(1-O4)*O3/O2),2)</f>
        <v>0.98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0.2</v>
      </c>
      <c r="H30" s="1229"/>
      <c r="I30" s="1793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1278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>
        <f ca="1">ROUND(F24*F33,0)</f>
        <v>0</v>
      </c>
      <c r="G35" s="1794" t="s">
        <v>1255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>
        <f ca="1">ROUND(F25*F33,4)</f>
        <v>0</v>
      </c>
      <c r="G36" s="1796" t="s">
        <v>1257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F32" sqref="F32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56.19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三级</v>
      </c>
      <c r="H2" s="715" t="s">
        <v>1349</v>
      </c>
      <c r="I2" s="1311" t="s">
        <v>1790</v>
      </c>
      <c r="J2" s="717"/>
      <c r="AE2" s="712"/>
      <c r="AF2" s="712"/>
    </row>
    <row r="3" spans="1:36" ht="24">
      <c r="A3" s="668" t="s">
        <v>911</v>
      </c>
      <c r="B3" s="1398">
        <f>C18</f>
        <v>16688</v>
      </c>
      <c r="C3" s="713" t="s">
        <v>912</v>
      </c>
      <c r="D3" s="714" t="s">
        <v>252</v>
      </c>
      <c r="E3" s="718" t="s">
        <v>1791</v>
      </c>
      <c r="F3" s="1459" t="s">
        <v>1795</v>
      </c>
      <c r="G3" s="238">
        <f>IF(F3="容积率",主表!B8,主表!B9)</f>
        <v>2</v>
      </c>
      <c r="H3" s="719" t="s">
        <v>925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1563</v>
      </c>
      <c r="B4" s="616">
        <f>C20</f>
        <v>4218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1564</v>
      </c>
      <c r="B5" s="1396">
        <f>C22</f>
        <v>2531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1333</v>
      </c>
      <c r="C7" s="1023">
        <f>IF(I2="地上",'2002地价表'!M1,ROUND('2002地价表'!M1/3,0))</f>
        <v>3660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1334</v>
      </c>
      <c r="C8" s="1035">
        <f>(550+1300)/2</f>
        <v>925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927</v>
      </c>
      <c r="B9" s="1510" t="s">
        <v>930</v>
      </c>
      <c r="C9" s="1511">
        <f>IF(OR(H9&gt;=DATE(2014,8,28),H9&lt;DATE(2002,12,10)),0,ROUND(I9/F9,4))</f>
        <v>3.8557999999999999</v>
      </c>
      <c r="D9" s="1512" t="s">
        <v>260</v>
      </c>
      <c r="E9" s="1513">
        <v>37257</v>
      </c>
      <c r="F9" s="1514">
        <f>ROUND(SUMIF(地价!B3:F3,E2,地价!B86:F86),0)</f>
        <v>104</v>
      </c>
      <c r="G9" s="1515" t="s">
        <v>261</v>
      </c>
      <c r="H9" s="1516">
        <f>主表!B4</f>
        <v>41530</v>
      </c>
      <c r="I9" s="1517">
        <f>ROUND(SUMPRODUCT((地价!A36:A86=YEAR(H9)&amp;"-"&amp;ROUNDUP(MONTH(H9)/3,0))*(地价!B3:F3=E2)*(地价!B36:F86)),0)</f>
        <v>401</v>
      </c>
      <c r="J9" s="770"/>
      <c r="AE9" s="712"/>
      <c r="AF9" s="712"/>
    </row>
    <row r="10" spans="1:36" ht="24.6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 t="s">
        <v>1800</v>
      </c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931</v>
      </c>
      <c r="B11" s="746" t="s">
        <v>936</v>
      </c>
      <c r="C11" s="1312">
        <f>IF(E2="工业",1,IF(G3&gt;10,D14,IF(D11="郊区",D13,D12)))</f>
        <v>1</v>
      </c>
      <c r="D11" s="1487" t="s">
        <v>1801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1347</v>
      </c>
      <c r="C12" s="621" t="s">
        <v>1487</v>
      </c>
      <c r="D12" s="1476">
        <f>IF(E12=G12,F12,IF(G3&lt;=10,ROUND(F12+(H12-F12)*(G3-E12)/(G12-E12),4),"——"))</f>
        <v>1</v>
      </c>
      <c r="E12" s="1478">
        <f>ROUNDDOWN(G3,1)</f>
        <v>2</v>
      </c>
      <c r="F12" s="1479">
        <f>IF(G3&lt;=10,SUMPRODUCT(('2002容积率修正'!A3:A102=E12)*('2002容积率修正'!B2:D2=E2)*('2002容积率修正'!B3:D102)),"——")</f>
        <v>1</v>
      </c>
      <c r="G12" s="1477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1348</v>
      </c>
      <c r="C13" s="621" t="s">
        <v>1487</v>
      </c>
      <c r="D13" s="1476">
        <f>IF(E12=G12,F12,IF(G3&lt;=10,ROUND(F12+(H12-F12)*(G3-E12)/(G12-E12),4),"——"))</f>
        <v>1</v>
      </c>
      <c r="E13" s="1478">
        <f>ROUNDDOWN(G3,1)</f>
        <v>2</v>
      </c>
      <c r="F13" s="1479">
        <f>IF(G3&lt;=10,SUMPRODUCT(('2002容积率修正'!A3:A102=E13)*('2002容积率修正'!E2:G2=E2)*('2002容积率修正'!E3:G102)),"——")</f>
        <v>0.85</v>
      </c>
      <c r="G13" s="1477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279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935</v>
      </c>
      <c r="B15" s="742" t="s">
        <v>939</v>
      </c>
      <c r="C15" s="620">
        <f>SUMIF(A40:A76,E2,B40:B76)</f>
        <v>1.1825000000000001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1322</v>
      </c>
      <c r="B16" s="1519" t="s">
        <v>1331</v>
      </c>
      <c r="C16" s="1524">
        <v>1</v>
      </c>
      <c r="D16" s="1525" t="s">
        <v>1335</v>
      </c>
      <c r="E16" s="1482" t="s">
        <v>924</v>
      </c>
      <c r="F16" s="1483" t="s">
        <v>1799</v>
      </c>
      <c r="G16" s="1526" t="s">
        <v>926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04" t="s">
        <v>1336</v>
      </c>
      <c r="B18" s="761" t="s">
        <v>1323</v>
      </c>
      <c r="C18" s="629">
        <f>ROUND(C7*C9*C10*C11*C15*C16,0)</f>
        <v>16688</v>
      </c>
      <c r="D18" s="630">
        <f>H1</f>
        <v>56.19</v>
      </c>
      <c r="E18" s="631">
        <f>ROUND(C18*D18,0)</f>
        <v>937699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05"/>
      <c r="B19" s="766" t="s">
        <v>1326</v>
      </c>
      <c r="C19" s="621">
        <f>ROUND(C7*C9*C10*C11*C15*C16*G3,0)</f>
        <v>33375</v>
      </c>
      <c r="D19" s="630">
        <f>J1</f>
        <v>0</v>
      </c>
      <c r="E19" s="631">
        <f>ROUND(C19*D19,0)</f>
        <v>0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06" t="s">
        <v>1337</v>
      </c>
      <c r="B20" s="748" t="s">
        <v>1324</v>
      </c>
      <c r="C20" s="635">
        <f>ROUND(IF(G3&gt;=I3,C8*C9*C10*C15,C8*C9*C10*C15*G3),0)</f>
        <v>4218</v>
      </c>
      <c r="D20" s="636">
        <f>H1</f>
        <v>56.19</v>
      </c>
      <c r="E20" s="637">
        <f>ROUND(C20*D20,0)</f>
        <v>237009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06"/>
      <c r="B21" s="771" t="s">
        <v>1325</v>
      </c>
      <c r="C21" s="638">
        <f>ROUND(IF(G3&lt;I3,C8*C9*C10*C15,C8*C9*C10*C15*G3),0)</f>
        <v>8435</v>
      </c>
      <c r="D21" s="639">
        <f>J1</f>
        <v>0</v>
      </c>
      <c r="E21" s="640">
        <f t="shared" ref="E21" si="0">ROUND(C21*D21,0)</f>
        <v>0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1346</v>
      </c>
      <c r="B22" s="775"/>
      <c r="C22" s="1564">
        <f>ROUND(IF(D22="四环路内",C20*0.4,C20*0.6),0)</f>
        <v>2531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967</v>
      </c>
      <c r="B24" s="379">
        <f>ROUNDDOWN(1+DATEDIF(E9,H9,"M")/3,0)</f>
        <v>47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896</v>
      </c>
      <c r="B45" s="1536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898</v>
      </c>
      <c r="B47" s="1537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896</v>
      </c>
      <c r="B54" s="1536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898</v>
      </c>
      <c r="B56" s="1537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1304</v>
      </c>
      <c r="B58" s="487">
        <f>1+E60</f>
        <v>1.1825000000000001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1797</v>
      </c>
      <c r="D60" s="490">
        <f t="shared" ref="D60:D67" si="7">SUMIF($F$59:$J$59,C60,F60:J60)</f>
        <v>2.5000000000000001E-2</v>
      </c>
      <c r="E60" s="253">
        <f>SUM(D60:D67)</f>
        <v>0.1825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1796</v>
      </c>
      <c r="D61" s="490">
        <f t="shared" si="7"/>
        <v>2.5000000000000001E-2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1797</v>
      </c>
      <c r="D62" s="490">
        <f t="shared" si="7"/>
        <v>2.5000000000000001E-2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904</v>
      </c>
      <c r="B63" s="254">
        <f>估价对象房地状况!C12</f>
        <v>0</v>
      </c>
      <c r="C63" s="795" t="s">
        <v>1802</v>
      </c>
      <c r="D63" s="490">
        <f t="shared" si="7"/>
        <v>-7.4999999999999997E-3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7" t="s">
        <v>1735</v>
      </c>
      <c r="C64" s="795" t="s">
        <v>1796</v>
      </c>
      <c r="D64" s="490">
        <f t="shared" si="7"/>
        <v>0.01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1797</v>
      </c>
      <c r="D65" s="490">
        <f t="shared" si="7"/>
        <v>0.03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 t="s">
        <v>1797</v>
      </c>
      <c r="D66" s="490">
        <f t="shared" si="7"/>
        <v>0.05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1314</v>
      </c>
      <c r="B67" s="489"/>
      <c r="C67" s="795" t="s">
        <v>1797</v>
      </c>
      <c r="D67" s="490">
        <f t="shared" si="7"/>
        <v>2.5000000000000001E-2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7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1464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1465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1303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1305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1306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H27" sqref="H27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1466</v>
      </c>
      <c r="B1" s="809"/>
      <c r="C1" s="707" t="s">
        <v>1176</v>
      </c>
      <c r="D1" s="509">
        <f>主表!B7</f>
        <v>56.19</v>
      </c>
      <c r="E1" s="706" t="s">
        <v>1553</v>
      </c>
      <c r="F1" s="1311" t="s">
        <v>1790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0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三级</v>
      </c>
      <c r="H2" s="811" t="s">
        <v>910</v>
      </c>
      <c r="I2" s="665" t="str">
        <f>主表!B11</f>
        <v>三级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0</v>
      </c>
      <c r="C3" s="667" t="s">
        <v>912</v>
      </c>
      <c r="D3" s="714" t="s">
        <v>252</v>
      </c>
      <c r="E3" s="718" t="s">
        <v>1791</v>
      </c>
      <c r="F3" s="1459" t="s">
        <v>1795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1753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913</v>
      </c>
      <c r="B5" s="816" t="s">
        <v>914</v>
      </c>
      <c r="C5" s="367">
        <f>ROUND(IF(E2="商业",C6*C7+C16,(IF(E2="住宅/居住",C6*C12+C16,C6+C16))),0)</f>
        <v>0</v>
      </c>
      <c r="D5" s="1540">
        <f>ROUND(C6+C16,0)</f>
        <v>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7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8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8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8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8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7">
        <f>IF(E2="住宅/居住",2,"")</f>
        <v>2</v>
      </c>
      <c r="B12" s="836" t="s">
        <v>921</v>
      </c>
      <c r="C12" s="371">
        <f>ROUND(C15*D15*E15*F15*G15*H15*I15*J15,4)</f>
        <v>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9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9"/>
      <c r="B14" s="846"/>
      <c r="C14" s="847" t="s">
        <v>25</v>
      </c>
      <c r="D14" s="795" t="s">
        <v>25</v>
      </c>
      <c r="E14" s="795" t="s">
        <v>25</v>
      </c>
      <c r="F14" s="848" t="s">
        <v>1793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0"/>
      <c r="B15" s="853" t="s">
        <v>1472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7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16" t="s">
        <v>926</v>
      </c>
      <c r="E16" s="1817"/>
      <c r="F16" s="1816" t="s">
        <v>924</v>
      </c>
      <c r="G16" s="1818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1"/>
      <c r="B17" s="1556" t="s">
        <v>925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1794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927</v>
      </c>
      <c r="B18" s="1548" t="s">
        <v>928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967</v>
      </c>
      <c r="M18" s="1555">
        <f>ROUNDDOWN(IF(H19&gt;=E19,DATEDIF(E19,H19,"M")/3,DATEDIF(H19,E19,"M")/3),0)</f>
        <v>1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929</v>
      </c>
      <c r="B19" s="860" t="s">
        <v>930</v>
      </c>
      <c r="C19" s="1463">
        <f>IF(H19&lt;DATE(2014,8,28),0,ROUND(I19/F19,4))</f>
        <v>0</v>
      </c>
      <c r="D19" s="1466" t="s">
        <v>260</v>
      </c>
      <c r="E19" s="1505">
        <v>41640</v>
      </c>
      <c r="F19" s="1506">
        <f>ROUND(SUMIF(地价!B3:F3,E2,地价!B38:F38),0)</f>
        <v>423</v>
      </c>
      <c r="G19" s="1466" t="s">
        <v>261</v>
      </c>
      <c r="H19" s="1308">
        <f>主表!B4</f>
        <v>41530</v>
      </c>
      <c r="I19" s="1507">
        <f>ROUND(SUMPRODUCT((地价!A5:A38=YEAR(H19)&amp;"-"&amp;ROUNDUP(MONTH(H19)/3,0))*(地价!B3:F3=E2)*(地价!B5:F38)),0)</f>
        <v>0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0.06</v>
      </c>
      <c r="F20" s="1465" t="s">
        <v>934</v>
      </c>
      <c r="G20" s="1469">
        <f ca="1">SUMIF(P18:S18,E2,P20:S20)</f>
        <v>6.9000000000000006E-2</v>
      </c>
      <c r="H20" s="1470" t="s">
        <v>1632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7.4999999999999997E-2</v>
      </c>
      <c r="Q20" s="608">
        <f ca="1">ROUND($E$20*(1+Q19),3)</f>
        <v>7.1999999999999995E-2</v>
      </c>
      <c r="R20" s="608">
        <f ca="1">ROUND($E$20*(1+R19),3)</f>
        <v>6.9000000000000006E-2</v>
      </c>
      <c r="S20" s="935">
        <f ca="1">ROUND($E$20*(1+S19),3)</f>
        <v>6.6000000000000003E-2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935</v>
      </c>
      <c r="B21" s="864" t="s">
        <v>277</v>
      </c>
      <c r="C21" s="388">
        <f>IF(B21="容积率修正",IF(G3&lt;=10,D22,J22),C23)</f>
        <v>1.0601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1.0601</v>
      </c>
      <c r="E22" s="1474">
        <f>ROUNDDOWN(G3,1)</f>
        <v>2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3">
        <f>ROUNDUP(G3,1)</f>
        <v>2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938</v>
      </c>
      <c r="B24" s="876" t="s">
        <v>939</v>
      </c>
      <c r="C24" s="390">
        <f>SUMIF(A46:A88,E2,B46:B88)</f>
        <v>1.0406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962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957</v>
      </c>
      <c r="C29" s="27">
        <f ca="1">ROUND(C5*C18*C19*C20*C21*C24,0)</f>
        <v>0</v>
      </c>
      <c r="D29" s="607">
        <f>主表!B7</f>
        <v>56.19</v>
      </c>
      <c r="E29" s="397">
        <f ca="1">ROUND(C29*D29,0)</f>
        <v>0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958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3" t="s">
        <v>1737</v>
      </c>
      <c r="B33" s="912" t="s">
        <v>280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4"/>
      <c r="B34" s="325" t="s">
        <v>281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4"/>
      <c r="B35" s="325" t="s">
        <v>282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5"/>
      <c r="B36" s="325" t="s">
        <v>283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284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1750</v>
      </c>
      <c r="C41" s="1543">
        <f ca="1">ROUND(POWER(1+E41,H41-G41)*(POWER(1+E41,G41)-1)/(POWER(1+E41,H41)-1),4)</f>
        <v>0</v>
      </c>
      <c r="D41" s="26" t="s">
        <v>1747</v>
      </c>
      <c r="E41" s="1541">
        <f ca="1">G20</f>
        <v>6.9000000000000006E-2</v>
      </c>
      <c r="F41" s="26" t="s">
        <v>1748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896</v>
      </c>
      <c r="B51" s="1536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898</v>
      </c>
      <c r="B53" s="1537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896</v>
      </c>
      <c r="B62" s="1536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898</v>
      </c>
      <c r="B64" s="1537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1301</v>
      </c>
      <c r="B68" s="487">
        <f>1+E70</f>
        <v>1.0406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1796</v>
      </c>
      <c r="D70" s="490">
        <f t="shared" ref="D70:D78" si="14">SUMIF($J$69:$N$69,C70,J70:N70)</f>
        <v>8.7500000000000008E-3</v>
      </c>
      <c r="E70" s="253">
        <f>ROUND(SUM(D70:D78),4)</f>
        <v>4.0599999999999997E-2</v>
      </c>
      <c r="F70" s="937">
        <f>IF(E2="住宅/居住",SUMIF(L1:L12,G2,N1:N12),"——")</f>
        <v>0</v>
      </c>
      <c r="G70" s="491">
        <v>8.7500000000000008E-3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1.7500000000000002E-2</v>
      </c>
      <c r="K70" s="492">
        <f t="shared" ref="K70:K78" si="17">$L70+$G70</f>
        <v>8.7500000000000008E-3</v>
      </c>
      <c r="L70" s="492">
        <v>0</v>
      </c>
      <c r="M70" s="492">
        <f t="shared" ref="M70:N78" si="18">L70-$G70</f>
        <v>-8.7500000000000008E-3</v>
      </c>
      <c r="N70" s="492">
        <f t="shared" si="18"/>
        <v>-1.7500000000000002E-2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 t="s">
        <v>15</v>
      </c>
      <c r="D71" s="490">
        <f t="shared" si="14"/>
        <v>0</v>
      </c>
      <c r="E71" s="263"/>
      <c r="F71" s="938"/>
      <c r="G71" s="491">
        <v>1.8749999999999999E-2</v>
      </c>
      <c r="H71" s="494">
        <f t="shared" si="15"/>
        <v>0</v>
      </c>
      <c r="I71" s="252">
        <v>0.3</v>
      </c>
      <c r="J71" s="492">
        <f t="shared" si="16"/>
        <v>3.7499999999999999E-2</v>
      </c>
      <c r="K71" s="492">
        <f t="shared" si="17"/>
        <v>1.8749999999999999E-2</v>
      </c>
      <c r="L71" s="492">
        <v>0</v>
      </c>
      <c r="M71" s="492">
        <f t="shared" si="18"/>
        <v>-1.8749999999999999E-2</v>
      </c>
      <c r="N71" s="492">
        <f t="shared" si="18"/>
        <v>-3.7499999999999999E-2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 t="s">
        <v>1796</v>
      </c>
      <c r="D72" s="490">
        <f t="shared" si="14"/>
        <v>5.0000000000000001E-3</v>
      </c>
      <c r="E72" s="263"/>
      <c r="F72" s="938"/>
      <c r="G72" s="491">
        <v>5.0000000000000001E-3</v>
      </c>
      <c r="H72" s="494">
        <f t="shared" si="15"/>
        <v>0</v>
      </c>
      <c r="I72" s="252">
        <v>0.08</v>
      </c>
      <c r="J72" s="492">
        <f t="shared" si="16"/>
        <v>0.01</v>
      </c>
      <c r="K72" s="492">
        <f t="shared" si="17"/>
        <v>5.0000000000000001E-3</v>
      </c>
      <c r="L72" s="492">
        <v>0</v>
      </c>
      <c r="M72" s="492">
        <f t="shared" si="18"/>
        <v>-5.0000000000000001E-3</v>
      </c>
      <c r="N72" s="492">
        <f t="shared" si="18"/>
        <v>-0.01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904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2.5000000000000001E-3</v>
      </c>
      <c r="H73" s="494">
        <f t="shared" si="15"/>
        <v>0</v>
      </c>
      <c r="I73" s="252">
        <v>0.04</v>
      </c>
      <c r="J73" s="492">
        <f t="shared" si="16"/>
        <v>5.0000000000000001E-3</v>
      </c>
      <c r="K73" s="492">
        <f t="shared" si="17"/>
        <v>2.5000000000000001E-3</v>
      </c>
      <c r="L73" s="492">
        <v>0</v>
      </c>
      <c r="M73" s="492">
        <f t="shared" si="18"/>
        <v>-2.5000000000000001E-3</v>
      </c>
      <c r="N73" s="492">
        <f t="shared" si="18"/>
        <v>-5.0000000000000001E-3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 t="s">
        <v>15</v>
      </c>
      <c r="D74" s="490">
        <f t="shared" si="14"/>
        <v>0</v>
      </c>
      <c r="E74" s="263"/>
      <c r="F74" s="938"/>
      <c r="G74" s="491">
        <v>5.0000000000000001E-3</v>
      </c>
      <c r="H74" s="494">
        <f t="shared" si="15"/>
        <v>0</v>
      </c>
      <c r="I74" s="252">
        <v>0.08</v>
      </c>
      <c r="J74" s="492">
        <f t="shared" si="16"/>
        <v>0.01</v>
      </c>
      <c r="K74" s="492">
        <f t="shared" si="17"/>
        <v>5.0000000000000001E-3</v>
      </c>
      <c r="L74" s="492">
        <v>0</v>
      </c>
      <c r="M74" s="492">
        <f t="shared" si="18"/>
        <v>-5.0000000000000001E-3</v>
      </c>
      <c r="N74" s="492">
        <f t="shared" si="18"/>
        <v>-0.01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 t="s">
        <v>1797</v>
      </c>
      <c r="D75" s="490">
        <f t="shared" si="14"/>
        <v>1.4999999999999999E-2</v>
      </c>
      <c r="E75" s="263"/>
      <c r="F75" s="938"/>
      <c r="G75" s="491">
        <v>7.4999999999999997E-3</v>
      </c>
      <c r="H75" s="494">
        <f t="shared" si="15"/>
        <v>0</v>
      </c>
      <c r="I75" s="252">
        <v>0.12</v>
      </c>
      <c r="J75" s="492">
        <f t="shared" si="16"/>
        <v>1.4999999999999999E-2</v>
      </c>
      <c r="K75" s="492">
        <f t="shared" si="17"/>
        <v>7.4999999999999997E-3</v>
      </c>
      <c r="L75" s="492">
        <v>0</v>
      </c>
      <c r="M75" s="492">
        <f t="shared" si="18"/>
        <v>-7.4999999999999997E-3</v>
      </c>
      <c r="N75" s="492">
        <f t="shared" si="18"/>
        <v>-1.4999999999999999E-2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898</v>
      </c>
      <c r="B76" s="1537" t="s">
        <v>1735</v>
      </c>
      <c r="C76" s="795" t="s">
        <v>15</v>
      </c>
      <c r="D76" s="490">
        <f t="shared" si="14"/>
        <v>0</v>
      </c>
      <c r="E76" s="263"/>
      <c r="F76" s="938"/>
      <c r="G76" s="491">
        <v>3.1250000000000002E-3</v>
      </c>
      <c r="H76" s="494">
        <f t="shared" si="15"/>
        <v>0</v>
      </c>
      <c r="I76" s="252">
        <v>0.05</v>
      </c>
      <c r="J76" s="492">
        <f t="shared" si="16"/>
        <v>6.2500000000000003E-3</v>
      </c>
      <c r="K76" s="492">
        <f t="shared" si="17"/>
        <v>3.1250000000000002E-3</v>
      </c>
      <c r="L76" s="492">
        <v>0</v>
      </c>
      <c r="M76" s="492">
        <f t="shared" si="18"/>
        <v>-3.1250000000000002E-3</v>
      </c>
      <c r="N76" s="492">
        <f t="shared" si="18"/>
        <v>-6.2500000000000003E-3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 t="s">
        <v>1796</v>
      </c>
      <c r="D77" s="490">
        <f t="shared" si="14"/>
        <v>9.3749999999999997E-3</v>
      </c>
      <c r="E77" s="263"/>
      <c r="F77" s="938"/>
      <c r="G77" s="491">
        <v>9.3749999999999997E-3</v>
      </c>
      <c r="H77" s="494">
        <f t="shared" si="15"/>
        <v>0</v>
      </c>
      <c r="I77" s="252">
        <v>0.15</v>
      </c>
      <c r="J77" s="492">
        <f t="shared" si="16"/>
        <v>1.8749999999999999E-2</v>
      </c>
      <c r="K77" s="492">
        <f t="shared" si="17"/>
        <v>9.3749999999999997E-3</v>
      </c>
      <c r="L77" s="492">
        <v>0</v>
      </c>
      <c r="M77" s="492">
        <f t="shared" si="18"/>
        <v>-9.3749999999999997E-3</v>
      </c>
      <c r="N77" s="492">
        <f t="shared" si="18"/>
        <v>-1.8749999999999999E-2</v>
      </c>
      <c r="Z77" s="709"/>
      <c r="AA77" s="710"/>
      <c r="AG77" s="711"/>
      <c r="AK77" s="710"/>
    </row>
    <row r="78" spans="1:37" ht="36.6" thickBot="1">
      <c r="A78" s="258" t="s">
        <v>905</v>
      </c>
      <c r="B78" s="489"/>
      <c r="C78" s="795" t="s">
        <v>1796</v>
      </c>
      <c r="D78" s="490">
        <f t="shared" si="14"/>
        <v>2.5000000000000001E-3</v>
      </c>
      <c r="E78" s="264"/>
      <c r="F78" s="938"/>
      <c r="G78" s="491">
        <v>2.5000000000000001E-3</v>
      </c>
      <c r="H78" s="494">
        <f t="shared" si="15"/>
        <v>0</v>
      </c>
      <c r="I78" s="260">
        <v>0.04</v>
      </c>
      <c r="J78" s="492">
        <f t="shared" si="16"/>
        <v>5.0000000000000001E-3</v>
      </c>
      <c r="K78" s="492">
        <f t="shared" si="17"/>
        <v>2.5000000000000001E-3</v>
      </c>
      <c r="L78" s="492">
        <v>0</v>
      </c>
      <c r="M78" s="492">
        <f t="shared" si="18"/>
        <v>-2.5000000000000001E-3</v>
      </c>
      <c r="N78" s="492">
        <f t="shared" si="18"/>
        <v>-5.0000000000000001E-3</v>
      </c>
      <c r="Z78" s="709"/>
      <c r="AA78" s="710"/>
      <c r="AG78" s="711"/>
      <c r="AK78" s="710"/>
    </row>
    <row r="79" spans="1:37" ht="14.4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904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898</v>
      </c>
      <c r="B87" s="1537" t="s">
        <v>1735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2" t="s">
        <v>1157</v>
      </c>
      <c r="B91" s="1812"/>
      <c r="C91" s="1812"/>
      <c r="D91" s="1812"/>
      <c r="E91" s="1812"/>
      <c r="F91" s="1812"/>
      <c r="G91" s="1812"/>
      <c r="H91" s="1812"/>
      <c r="I91" s="1812"/>
      <c r="J91" s="1812"/>
      <c r="K91" s="653"/>
      <c r="L91" s="653"/>
      <c r="M91" s="653"/>
      <c r="N91" s="653"/>
    </row>
    <row r="92" spans="1:37">
      <c r="A92" s="1820" t="s">
        <v>1158</v>
      </c>
      <c r="B92" s="1820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20"/>
      <c r="B93" s="1820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3.2">
      <c r="A94" s="1821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22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22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22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22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22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22"/>
      <c r="B100" s="939" t="s">
        <v>1480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3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21" t="s">
        <v>1478</v>
      </c>
      <c r="B102" s="943" t="s">
        <v>1481</v>
      </c>
      <c r="C102" s="944">
        <f>$G$3</f>
        <v>2</v>
      </c>
      <c r="D102" s="944">
        <f t="shared" ref="D102:N102" si="25">$G$3</f>
        <v>2</v>
      </c>
      <c r="E102" s="944">
        <f t="shared" si="25"/>
        <v>2</v>
      </c>
      <c r="F102" s="944">
        <f t="shared" si="25"/>
        <v>2</v>
      </c>
      <c r="G102" s="944">
        <f t="shared" si="25"/>
        <v>2</v>
      </c>
      <c r="H102" s="944">
        <f t="shared" si="25"/>
        <v>2</v>
      </c>
      <c r="I102" s="944">
        <f t="shared" si="25"/>
        <v>2</v>
      </c>
      <c r="J102" s="944">
        <f t="shared" si="25"/>
        <v>2</v>
      </c>
      <c r="K102" s="944">
        <f t="shared" si="25"/>
        <v>2</v>
      </c>
      <c r="L102" s="944">
        <f t="shared" si="25"/>
        <v>2</v>
      </c>
      <c r="M102" s="944">
        <f t="shared" si="25"/>
        <v>2</v>
      </c>
      <c r="N102" s="944">
        <f t="shared" si="25"/>
        <v>2</v>
      </c>
    </row>
    <row r="103" spans="1:14" ht="13.2">
      <c r="A103" s="1822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3.2">
      <c r="A104" s="1822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3.2">
      <c r="A105" s="1822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3.2">
      <c r="A106" s="1822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3.2">
      <c r="A107" s="1822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3.2">
      <c r="A108" s="1822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3.2">
      <c r="A109" s="1822"/>
      <c r="B109" s="1824" t="s">
        <v>1482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3"/>
      <c r="B110" s="1825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19" t="s">
        <v>1173</v>
      </c>
      <c r="B111" s="1819"/>
      <c r="C111" s="1819"/>
      <c r="D111" s="1819"/>
      <c r="E111" s="1819"/>
      <c r="F111" s="1819"/>
      <c r="G111" s="1819"/>
      <c r="H111" s="1819"/>
      <c r="I111" s="1819"/>
      <c r="J111" s="1819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1464</v>
      </c>
      <c r="B114" s="495">
        <f>G3</f>
        <v>2</v>
      </c>
      <c r="C114" s="925" t="s">
        <v>1465</v>
      </c>
      <c r="D114" s="351">
        <f>SUMPRODUCT((A116:A119=F114)*(B115:M115=H114)*B116:M119)</f>
        <v>0.85880000000000001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3.2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3.2">
      <c r="A117" s="798" t="s">
        <v>1300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3.2">
      <c r="A118" s="798" t="s">
        <v>1301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8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6" t="s">
        <v>983</v>
      </c>
      <c r="B1" s="1826"/>
    </row>
    <row r="2" spans="1:6" ht="15" thickBot="1">
      <c r="A2" s="412"/>
      <c r="B2" s="412"/>
    </row>
    <row r="3" spans="1:6" ht="1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6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24.6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24.6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6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6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6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24.6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6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6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6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6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6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6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6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6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6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6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6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6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6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6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6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6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6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6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6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6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6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6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6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6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6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6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6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6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6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6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6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6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6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2002基准地价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2025-12-19T11:53:25Z</dcterms:modified>
</cp:coreProperties>
</file>