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京市东城区甘水桥14号楼3层1单元302\"/>
    </mc:Choice>
  </mc:AlternateContent>
  <bookViews>
    <workbookView xWindow="0" yWindow="0" windowWidth="16728" windowHeight="135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2" sheetId="96" r:id="rId27"/>
    <sheet name="甘水桥" sheetId="9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G59" i="21"/>
  <c r="I7" i="21"/>
  <c r="G7" i="21"/>
  <c r="E7" i="21"/>
  <c r="G5" i="21"/>
  <c r="E5" i="21"/>
  <c r="C6" i="69"/>
  <c r="N20" i="1"/>
  <c r="H59" i="21" l="1"/>
  <c r="E90" i="21"/>
  <c r="J27" i="21" s="1"/>
  <c r="G44" i="21"/>
  <c r="E44" i="21"/>
  <c r="I44" i="21"/>
  <c r="F19" i="6"/>
  <c r="B27" i="9" s="1"/>
  <c r="N59" i="21"/>
  <c r="M59" i="21"/>
  <c r="J59" i="21"/>
  <c r="D90" i="21"/>
  <c r="D5" i="9"/>
  <c r="I12" i="21"/>
  <c r="G12" i="21"/>
  <c r="K59" i="21"/>
  <c r="F90" i="21"/>
  <c r="C90" i="21"/>
  <c r="C126" i="21"/>
  <c r="B14" i="74"/>
  <c r="C33" i="21"/>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D5"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S15" i="79"/>
  <c r="R13" i="79"/>
  <c r="S14" i="79"/>
  <c r="T15" i="79"/>
  <c r="W15" i="79"/>
  <c r="AA26" i="79"/>
  <c r="AD26" i="79"/>
  <c r="AD37" i="79"/>
  <c r="V17" i="79"/>
  <c r="M26" i="79"/>
  <c r="P26" i="79"/>
  <c r="Z3" i="79"/>
  <c r="V13" i="79"/>
  <c r="U17" i="79"/>
  <c r="S28" i="79"/>
  <c r="T30" i="79"/>
  <c r="W30" i="79"/>
  <c r="U36" i="79"/>
  <c r="S38" i="79"/>
  <c r="U40" i="79"/>
  <c r="AD41" i="79"/>
  <c r="R17" i="79"/>
  <c r="S17" i="79"/>
  <c r="N26"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W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C18" i="78"/>
  <c r="D7" i="78"/>
  <c r="D6"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A22" i="51"/>
  <c r="A21" i="51"/>
  <c r="B16" i="72"/>
  <c r="A20" i="51"/>
  <c r="B15" i="72"/>
  <c r="A15" i="62"/>
  <c r="A14" i="62"/>
  <c r="A13" i="62"/>
  <c r="B59" i="72"/>
  <c r="A19" i="62"/>
  <c r="B65" i="72"/>
  <c r="A12" i="62"/>
  <c r="B58" i="72"/>
  <c r="A120" i="9"/>
  <c r="H2" i="52"/>
  <c r="A1" i="52"/>
  <c r="A3" i="53"/>
  <c r="Q26" i="71"/>
  <c r="P26" i="71"/>
  <c r="O26" i="71"/>
  <c r="N26" i="71"/>
  <c r="A15" i="51"/>
  <c r="B12" i="72" s="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66" i="72"/>
  <c r="B10" i="72"/>
  <c r="C53" i="10"/>
  <c r="B51" i="10"/>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E80" i="71"/>
  <c r="U80" i="71"/>
  <c r="C80" i="71"/>
  <c r="C79" i="71"/>
  <c r="B80" i="71"/>
  <c r="Q79" i="71"/>
  <c r="P79" i="71"/>
  <c r="O79" i="71"/>
  <c r="N79" i="71"/>
  <c r="Q78" i="71"/>
  <c r="P78" i="71"/>
  <c r="O78" i="71"/>
  <c r="N78" i="71"/>
  <c r="Q77" i="71"/>
  <c r="P77" i="71"/>
  <c r="O77" i="71"/>
  <c r="N77" i="71"/>
  <c r="D77" i="71"/>
  <c r="Q76" i="71"/>
  <c r="P76" i="71"/>
  <c r="O76" i="71"/>
  <c r="N76" i="71"/>
  <c r="F76" i="71"/>
  <c r="V76" i="71"/>
  <c r="E76" i="71"/>
  <c r="U76" i="71"/>
  <c r="C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B71" i="71"/>
  <c r="B70" i="71"/>
  <c r="S72" i="71"/>
  <c r="Q71" i="71"/>
  <c r="P71" i="71"/>
  <c r="O71" i="71"/>
  <c r="N71" i="71"/>
  <c r="Q70" i="71"/>
  <c r="P70" i="71"/>
  <c r="O70" i="71"/>
  <c r="N70" i="71"/>
  <c r="Q69" i="71"/>
  <c r="P69" i="71"/>
  <c r="O69" i="71"/>
  <c r="N69" i="71"/>
  <c r="D69" i="71"/>
  <c r="F68" i="71"/>
  <c r="V68" i="71"/>
  <c r="E68" i="71"/>
  <c r="C68" i="71"/>
  <c r="D68" i="71"/>
  <c r="B68" i="71"/>
  <c r="B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D61" i="71"/>
  <c r="Q60" i="71"/>
  <c r="P60" i="71"/>
  <c r="O60" i="71"/>
  <c r="N60" i="71"/>
  <c r="Q59" i="71"/>
  <c r="P59" i="71"/>
  <c r="O59" i="71"/>
  <c r="N59" i="71"/>
  <c r="Q58" i="71"/>
  <c r="P58" i="71"/>
  <c r="O58" i="71"/>
  <c r="N58" i="71"/>
  <c r="Q57" i="71"/>
  <c r="F58" i="71"/>
  <c r="F59" i="71"/>
  <c r="F60" i="71"/>
  <c r="V60" i="71"/>
  <c r="P57" i="71"/>
  <c r="E58"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37" i="71"/>
  <c r="Z37" i="71"/>
  <c r="N39" i="71"/>
  <c r="X39" i="71"/>
  <c r="Q38" i="71"/>
  <c r="AB38" i="71"/>
  <c r="P38" i="71"/>
  <c r="O38" i="71"/>
  <c r="N38" i="71"/>
  <c r="X38" i="71"/>
  <c r="Q37"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N33" i="71"/>
  <c r="B34" i="71"/>
  <c r="D33" i="71"/>
  <c r="Q32" i="71"/>
  <c r="P32" i="71"/>
  <c r="O32" i="71"/>
  <c r="N32" i="71"/>
  <c r="Q31" i="71"/>
  <c r="P31" i="71"/>
  <c r="O31" i="71"/>
  <c r="N31" i="71"/>
  <c r="Q30" i="71"/>
  <c r="P30" i="71"/>
  <c r="O30" i="71"/>
  <c r="N30" i="71"/>
  <c r="Q29" i="71"/>
  <c r="F30" i="71"/>
  <c r="P29" i="71"/>
  <c r="E30" i="71"/>
  <c r="E31" i="71"/>
  <c r="E32" i="71"/>
  <c r="U32" i="71"/>
  <c r="O29" i="71"/>
  <c r="C30" i="71"/>
  <c r="C31" i="71"/>
  <c r="N29" i="71"/>
  <c r="D29" i="71"/>
  <c r="O28" i="71"/>
  <c r="N28" i="71"/>
  <c r="B28" i="71"/>
  <c r="B30" i="71"/>
  <c r="B31" i="71"/>
  <c r="B32" i="71"/>
  <c r="S32" i="71"/>
  <c r="C38" i="71"/>
  <c r="C28" i="71"/>
  <c r="T28" i="71"/>
  <c r="P28" i="71"/>
  <c r="E28" i="71"/>
  <c r="Q28" i="71"/>
  <c r="C59" i="71"/>
  <c r="D59" i="71"/>
  <c r="E71" i="71"/>
  <c r="E70" i="71"/>
  <c r="E75" i="71"/>
  <c r="E74" i="71"/>
  <c r="E79" i="71"/>
  <c r="E78" i="7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5" i="40"/>
  <c r="C22" i="20"/>
  <c r="B100" i="43"/>
  <c r="S25" i="40"/>
  <c r="H25" i="40"/>
  <c r="AB25" i="40"/>
  <c r="J25" i="40"/>
  <c r="W25" i="40"/>
  <c r="H29" i="39"/>
  <c r="AB29" i="39"/>
  <c r="J29" i="39"/>
  <c r="AC29" i="39"/>
  <c r="J18" i="36"/>
  <c r="AC18" i="36"/>
  <c r="H18" i="35"/>
  <c r="AB18" i="35"/>
  <c r="J18" i="35"/>
  <c r="AC18" i="35"/>
  <c r="H21" i="37"/>
  <c r="F21" i="37"/>
  <c r="AA21" i="37"/>
  <c r="H21" i="34"/>
  <c r="H21" i="33"/>
  <c r="F21" i="33"/>
  <c r="S21" i="33"/>
  <c r="H1" i="69"/>
  <c r="AC25" i="40"/>
  <c r="S21" i="37"/>
  <c r="J21" i="37"/>
  <c r="J21" i="34"/>
  <c r="W21" i="34"/>
  <c r="J21" i="33"/>
  <c r="W21" i="33"/>
  <c r="H21" i="21"/>
  <c r="U21" i="21"/>
  <c r="F38" i="69"/>
  <c r="E37" i="69"/>
  <c r="F36" i="69"/>
  <c r="F35" i="69"/>
  <c r="F21" i="69"/>
  <c r="F40" i="69" s="1"/>
  <c r="F20" i="69"/>
  <c r="F39" i="69" s="1"/>
  <c r="E10" i="69"/>
  <c r="E9" i="69"/>
  <c r="AC21" i="33"/>
  <c r="J21" i="21"/>
  <c r="AC21" i="21"/>
  <c r="F38" i="68"/>
  <c r="E37" i="68"/>
  <c r="F36" i="68"/>
  <c r="F35" i="68"/>
  <c r="F21" i="68"/>
  <c r="F40" i="68"/>
  <c r="F20" i="68"/>
  <c r="F39" i="68" s="1"/>
  <c r="E10" i="68"/>
  <c r="E9" i="68"/>
  <c r="Q72" i="67"/>
  <c r="Q59" i="67"/>
  <c r="Q58" i="67"/>
  <c r="Q51" i="67"/>
  <c r="J50" i="67"/>
  <c r="M47" i="67"/>
  <c r="D46" i="67"/>
  <c r="F33" i="67"/>
  <c r="F61" i="67"/>
  <c r="F23" i="67"/>
  <c r="D24" i="67" s="1"/>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s="1"/>
  <c r="G15" i="4"/>
  <c r="F12" i="1"/>
  <c r="G12" i="1"/>
  <c r="F15" i="4"/>
  <c r="F11" i="1"/>
  <c r="G11" i="1"/>
  <c r="D15" i="4"/>
  <c r="F7" i="1"/>
  <c r="G7" i="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s="1"/>
  <c r="B23" i="1"/>
  <c r="B24" i="1"/>
  <c r="F34" i="68"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c r="BE512" i="3"/>
  <c r="BF512" i="3"/>
  <c r="BG512" i="3"/>
  <c r="BH512" i="3"/>
  <c r="BI512" i="3"/>
  <c r="BJ512" i="3"/>
  <c r="BK512" i="3"/>
  <c r="BM512" i="3"/>
  <c r="BL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c r="BQ518" i="3"/>
  <c r="BR518" i="3"/>
  <c r="BS518" i="3"/>
  <c r="BT518" i="3"/>
  <c r="H519" i="3"/>
  <c r="AC519" i="3"/>
  <c r="BB519" i="3"/>
  <c r="BC519" i="3"/>
  <c r="BA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c r="BP538" i="3"/>
  <c r="BQ538" i="3"/>
  <c r="BR538" i="3"/>
  <c r="BS538" i="3"/>
  <c r="BT538" i="3"/>
  <c r="H539" i="3"/>
  <c r="AC539" i="3"/>
  <c r="BB539" i="3"/>
  <c r="BA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G553" i="3"/>
  <c r="AC553" i="3"/>
  <c r="BB553" i="3"/>
  <c r="BC553" i="3"/>
  <c r="BD553" i="3"/>
  <c r="BA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c r="BC556" i="3"/>
  <c r="BD556" i="3"/>
  <c r="BE556" i="3"/>
  <c r="BF556" i="3"/>
  <c r="BG556" i="3"/>
  <c r="BH556" i="3"/>
  <c r="BI556" i="3"/>
  <c r="BJ556" i="3"/>
  <c r="BK556" i="3"/>
  <c r="BM556" i="3"/>
  <c r="BN556" i="3"/>
  <c r="BO556" i="3"/>
  <c r="BL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c r="BO560" i="3"/>
  <c r="BP560" i="3"/>
  <c r="BQ560" i="3"/>
  <c r="BR560" i="3"/>
  <c r="BS560" i="3"/>
  <c r="BT560" i="3"/>
  <c r="H561" i="3"/>
  <c r="AC561" i="3"/>
  <c r="BB561" i="3"/>
  <c r="BC561" i="3"/>
  <c r="BD561" i="3"/>
  <c r="BE561" i="3"/>
  <c r="BA561" i="3"/>
  <c r="BF561" i="3"/>
  <c r="BG561" i="3"/>
  <c r="BH561" i="3"/>
  <c r="BI561" i="3"/>
  <c r="BJ561" i="3"/>
  <c r="BK561" i="3"/>
  <c r="BM561" i="3"/>
  <c r="BN561" i="3"/>
  <c r="BL561" i="3"/>
  <c r="BO561" i="3"/>
  <c r="BP561" i="3"/>
  <c r="BR561" i="3"/>
  <c r="BS561" i="3"/>
  <c r="BT561" i="3"/>
  <c r="H562" i="3"/>
  <c r="AC562" i="3"/>
  <c r="BB562" i="3"/>
  <c r="BA562" i="3"/>
  <c r="BC562" i="3"/>
  <c r="BD562" i="3"/>
  <c r="BE562" i="3"/>
  <c r="BF562" i="3"/>
  <c r="BG562" i="3"/>
  <c r="BH562" i="3"/>
  <c r="BI562" i="3"/>
  <c r="BJ562" i="3"/>
  <c r="BK562" i="3"/>
  <c r="BM562" i="3"/>
  <c r="BN562" i="3"/>
  <c r="BO562" i="3"/>
  <c r="BP562" i="3"/>
  <c r="BQ562" i="3"/>
  <c r="BR562" i="3"/>
  <c r="BS562" i="3"/>
  <c r="BT562" i="3"/>
  <c r="H563" i="3"/>
  <c r="AC563" i="3"/>
  <c r="BB563" i="3"/>
  <c r="BA563" i="3"/>
  <c r="BC563" i="3"/>
  <c r="BD563" i="3"/>
  <c r="BE563" i="3"/>
  <c r="BF563" i="3"/>
  <c r="BG563" i="3"/>
  <c r="BH563" i="3"/>
  <c r="BI563" i="3"/>
  <c r="BJ563" i="3"/>
  <c r="BK563" i="3"/>
  <c r="BM563" i="3"/>
  <c r="BN563" i="3"/>
  <c r="BO563" i="3"/>
  <c r="BP563" i="3"/>
  <c r="BR563" i="3"/>
  <c r="BS563" i="3"/>
  <c r="BT563" i="3"/>
  <c r="H564" i="3"/>
  <c r="AC564" i="3"/>
  <c r="BB564" i="3"/>
  <c r="BC564" i="3"/>
  <c r="BA564" i="3"/>
  <c r="AZ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c r="AC35" i="39"/>
  <c r="B111" i="39"/>
  <c r="J30" i="36"/>
  <c r="AC30" i="36"/>
  <c r="H30" i="36"/>
  <c r="F30" i="36"/>
  <c r="AA30" i="36"/>
  <c r="C26" i="35"/>
  <c r="C79" i="35"/>
  <c r="J31" i="35"/>
  <c r="W31" i="35"/>
  <c r="H31" i="35"/>
  <c r="U31" i="35"/>
  <c r="F31" i="35"/>
  <c r="AA31" i="35"/>
  <c r="D87" i="35"/>
  <c r="E87" i="35"/>
  <c r="F87" i="35"/>
  <c r="G87" i="35"/>
  <c r="H87" i="35"/>
  <c r="I87" i="35"/>
  <c r="J87" i="35"/>
  <c r="K87" i="35"/>
  <c r="L87" i="35"/>
  <c r="M87" i="35"/>
  <c r="H34" i="37"/>
  <c r="D101" i="37"/>
  <c r="F34" i="37"/>
  <c r="S34" i="37"/>
  <c r="D99" i="37"/>
  <c r="E99" i="37"/>
  <c r="F99" i="37"/>
  <c r="G99" i="37"/>
  <c r="H99" i="37"/>
  <c r="I99" i="37"/>
  <c r="J99" i="37"/>
  <c r="K99" i="37"/>
  <c r="L99" i="37"/>
  <c r="M99" i="37"/>
  <c r="H42" i="34"/>
  <c r="J42" i="34"/>
  <c r="W42" i="34"/>
  <c r="F42" i="34"/>
  <c r="S42" i="34"/>
  <c r="J38" i="34"/>
  <c r="W38" i="34"/>
  <c r="D114" i="34"/>
  <c r="F38" i="34"/>
  <c r="S38" i="34"/>
  <c r="D112" i="34"/>
  <c r="E112" i="34"/>
  <c r="F112" i="34"/>
  <c r="G112" i="34"/>
  <c r="H112" i="34"/>
  <c r="I112" i="34"/>
  <c r="J112" i="34"/>
  <c r="K112" i="34"/>
  <c r="L112" i="34"/>
  <c r="M112" i="34"/>
  <c r="F40" i="33"/>
  <c r="AA40" i="33"/>
  <c r="J41" i="33"/>
  <c r="AC41" i="33"/>
  <c r="D113" i="33"/>
  <c r="E113" i="33"/>
  <c r="F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E108" i="39"/>
  <c r="F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J14" i="39"/>
  <c r="AC14" i="39"/>
  <c r="B83" i="39"/>
  <c r="B81" i="39"/>
  <c r="M78" i="39"/>
  <c r="L78" i="39"/>
  <c r="K78" i="39"/>
  <c r="J78" i="39"/>
  <c r="I78" i="39"/>
  <c r="H78" i="39"/>
  <c r="G78" i="39"/>
  <c r="F78" i="39"/>
  <c r="E78" i="39"/>
  <c r="D78" i="39"/>
  <c r="C78" i="39"/>
  <c r="P48" i="39"/>
  <c r="P47" i="39"/>
  <c r="V46" i="39"/>
  <c r="T46" i="39"/>
  <c r="R46" i="39"/>
  <c r="P46" i="39"/>
  <c r="J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F25" i="37"/>
  <c r="AA25" i="37"/>
  <c r="H25" i="37"/>
  <c r="U25" i="37"/>
  <c r="B110" i="37"/>
  <c r="J39" i="37"/>
  <c r="AC39" i="37"/>
  <c r="B108" i="37"/>
  <c r="C23" i="37"/>
  <c r="C19" i="37"/>
  <c r="C17" i="37"/>
  <c r="C15" i="37"/>
  <c r="B112" i="37"/>
  <c r="D107" i="37"/>
  <c r="E107" i="37"/>
  <c r="F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B82" i="37"/>
  <c r="H26" i="37"/>
  <c r="AB26" i="37"/>
  <c r="D79" i="37"/>
  <c r="E79" i="37"/>
  <c r="D75" i="37"/>
  <c r="E75" i="37"/>
  <c r="D73" i="37"/>
  <c r="E73" i="37"/>
  <c r="F73" i="37"/>
  <c r="D71" i="37"/>
  <c r="E71" i="37"/>
  <c r="F71" i="37"/>
  <c r="G71" i="37"/>
  <c r="H15" i="37"/>
  <c r="AB15" i="37"/>
  <c r="B68" i="37"/>
  <c r="B66" i="37"/>
  <c r="B64" i="37"/>
  <c r="J12" i="37"/>
  <c r="W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H13" i="36"/>
  <c r="AB13"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B77" i="35"/>
  <c r="B75" i="35"/>
  <c r="J24" i="35"/>
  <c r="AC24" i="35"/>
  <c r="B73" i="35"/>
  <c r="B57" i="35"/>
  <c r="B61" i="35"/>
  <c r="F13" i="35"/>
  <c r="B59" i="35"/>
  <c r="B131" i="34"/>
  <c r="B129" i="34"/>
  <c r="B127" i="34"/>
  <c r="J45" i="34"/>
  <c r="B99" i="34"/>
  <c r="H32" i="34"/>
  <c r="B97" i="34"/>
  <c r="B95" i="34"/>
  <c r="B93" i="34"/>
  <c r="B75" i="34"/>
  <c r="J14" i="34"/>
  <c r="W14" i="34"/>
  <c r="B73" i="34"/>
  <c r="B71" i="34"/>
  <c r="B130" i="33"/>
  <c r="H46" i="33"/>
  <c r="B128" i="33"/>
  <c r="J45" i="33"/>
  <c r="W45" i="33"/>
  <c r="B126" i="33"/>
  <c r="B98" i="33"/>
  <c r="B96" i="33"/>
  <c r="J30" i="33"/>
  <c r="B94" i="33"/>
  <c r="F29" i="33"/>
  <c r="S29"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Q38" i="33"/>
  <c r="Z38" i="33"/>
  <c r="J38" i="33"/>
  <c r="AC38" i="33"/>
  <c r="H38" i="33"/>
  <c r="AB38" i="33"/>
  <c r="F38" i="33"/>
  <c r="AA38" i="33"/>
  <c r="Q37" i="33"/>
  <c r="Z37" i="33"/>
  <c r="Q36" i="33"/>
  <c r="Z36" i="33"/>
  <c r="Q35" i="33"/>
  <c r="Z35" i="33"/>
  <c r="H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C20" i="20"/>
  <c r="C18" i="20"/>
  <c r="B94" i="43"/>
  <c r="C17" i="20"/>
  <c r="B61" i="43"/>
  <c r="C16" i="20"/>
  <c r="C17" i="39"/>
  <c r="C15" i="20"/>
  <c r="B72" i="43"/>
  <c r="E54" i="21"/>
  <c r="F54" i="21" s="1"/>
  <c r="I54" i="21"/>
  <c r="J54" i="21" s="1"/>
  <c r="G54" i="21"/>
  <c r="H54" i="21" s="1"/>
  <c r="D125" i="21"/>
  <c r="E125" i="21"/>
  <c r="F125" i="21"/>
  <c r="G125" i="21"/>
  <c r="D123" i="21"/>
  <c r="E123" i="21" s="1"/>
  <c r="F123" i="21" s="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B126" i="21"/>
  <c r="B98" i="21"/>
  <c r="F31" i="21"/>
  <c r="B96" i="21"/>
  <c r="H30" i="21"/>
  <c r="U30" i="21"/>
  <c r="B94" i="21"/>
  <c r="J29" i="21"/>
  <c r="AC29" i="21"/>
  <c r="B92" i="21"/>
  <c r="J28"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H34" i="21"/>
  <c r="U34" i="21" s="1"/>
  <c r="H38" i="21"/>
  <c r="AB38" i="21"/>
  <c r="H43" i="21"/>
  <c r="AB43" i="21"/>
  <c r="F38" i="21"/>
  <c r="S38" i="21"/>
  <c r="F39" i="21"/>
  <c r="AA39" i="21"/>
  <c r="J40" i="21"/>
  <c r="W40" i="21"/>
  <c r="H35" i="21"/>
  <c r="AB35" i="21"/>
  <c r="J8" i="21"/>
  <c r="AC8" i="21"/>
  <c r="H8" i="21"/>
  <c r="U8" i="21"/>
  <c r="H10" i="21"/>
  <c r="AB10" i="21"/>
  <c r="H39" i="21"/>
  <c r="U39" i="21"/>
  <c r="F35" i="21"/>
  <c r="AA35" i="21"/>
  <c r="J10" i="21"/>
  <c r="AC10" i="21"/>
  <c r="AB19" i="21"/>
  <c r="J19" i="21"/>
  <c r="W19" i="21"/>
  <c r="AB41" i="21"/>
  <c r="F45" i="39"/>
  <c r="S45" i="39"/>
  <c r="J45" i="39"/>
  <c r="W45" i="39"/>
  <c r="W31" i="37"/>
  <c r="F103" i="37"/>
  <c r="G103" i="37"/>
  <c r="H103" i="37"/>
  <c r="I103" i="37"/>
  <c r="J103" i="37"/>
  <c r="K103" i="37"/>
  <c r="L103" i="37"/>
  <c r="M103" i="37"/>
  <c r="F39" i="37"/>
  <c r="S39" i="37"/>
  <c r="F29" i="36"/>
  <c r="AA29" i="36"/>
  <c r="F16" i="36"/>
  <c r="W28" i="36"/>
  <c r="U31" i="36"/>
  <c r="H22" i="35"/>
  <c r="AB22" i="35"/>
  <c r="AC27" i="35"/>
  <c r="W22" i="35"/>
  <c r="S31" i="35"/>
  <c r="F36" i="34"/>
  <c r="J35" i="34"/>
  <c r="H39" i="33"/>
  <c r="AB39" i="33"/>
  <c r="F26" i="33"/>
  <c r="S40" i="33"/>
  <c r="W33" i="33"/>
  <c r="H39" i="37"/>
  <c r="S27" i="35"/>
  <c r="F11" i="40"/>
  <c r="AA11" i="40"/>
  <c r="H11" i="40"/>
  <c r="AB11" i="40"/>
  <c r="AA9" i="40"/>
  <c r="U9" i="40"/>
  <c r="U34" i="40"/>
  <c r="F42" i="39"/>
  <c r="AA42" i="39"/>
  <c r="F41" i="39"/>
  <c r="S41" i="39"/>
  <c r="H40" i="39"/>
  <c r="AB40" i="39"/>
  <c r="H39" i="39"/>
  <c r="U39" i="39"/>
  <c r="S38" i="39"/>
  <c r="H34"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9" i="39"/>
  <c r="AC19" i="39"/>
  <c r="J17" i="39"/>
  <c r="J27" i="39"/>
  <c r="AC27" i="39"/>
  <c r="F27" i="39"/>
  <c r="F11" i="21"/>
  <c r="S11" i="21"/>
  <c r="C25" i="39"/>
  <c r="H11" i="39"/>
  <c r="H32" i="33"/>
  <c r="H11" i="21"/>
  <c r="U11" i="21"/>
  <c r="J11" i="21"/>
  <c r="W11" i="21"/>
  <c r="H37" i="40"/>
  <c r="U37" i="40"/>
  <c r="H36" i="40"/>
  <c r="AB36" i="40"/>
  <c r="F35" i="40"/>
  <c r="AA35" i="40"/>
  <c r="H23" i="40"/>
  <c r="AB23" i="40"/>
  <c r="H17" i="40"/>
  <c r="U17" i="40"/>
  <c r="J15" i="40"/>
  <c r="W15" i="40"/>
  <c r="J11" i="40"/>
  <c r="AB8" i="39"/>
  <c r="J34" i="36"/>
  <c r="W34" i="36"/>
  <c r="U30" i="36"/>
  <c r="J30" i="35"/>
  <c r="W30" i="35"/>
  <c r="H30" i="35"/>
  <c r="AB30" i="35"/>
  <c r="F22" i="35"/>
  <c r="H10" i="35"/>
  <c r="U10" i="35"/>
  <c r="W30" i="36"/>
  <c r="H16" i="36"/>
  <c r="AB16" i="36"/>
  <c r="J29" i="36"/>
  <c r="AC29" i="36"/>
  <c r="F12" i="36"/>
  <c r="S12" i="36"/>
  <c r="F24" i="36"/>
  <c r="AA24" i="36"/>
  <c r="F34" i="36"/>
  <c r="S34" i="36"/>
  <c r="F14" i="35"/>
  <c r="J32" i="35"/>
  <c r="AC32" i="35"/>
  <c r="J16" i="35"/>
  <c r="AC16" i="35"/>
  <c r="H16" i="35"/>
  <c r="U16" i="35"/>
  <c r="F16" i="35"/>
  <c r="S16" i="35"/>
  <c r="H14" i="35"/>
  <c r="AB14" i="35"/>
  <c r="J29" i="35"/>
  <c r="H33" i="35"/>
  <c r="J20" i="35"/>
  <c r="F35" i="37"/>
  <c r="S35" i="37"/>
  <c r="E101" i="37"/>
  <c r="F101" i="37"/>
  <c r="G101" i="37"/>
  <c r="H101" i="37"/>
  <c r="I101" i="37"/>
  <c r="J101" i="37"/>
  <c r="K101" i="37"/>
  <c r="L101" i="37"/>
  <c r="M101" i="37"/>
  <c r="J34" i="37"/>
  <c r="W34" i="37"/>
  <c r="AB34" i="37"/>
  <c r="J33" i="37"/>
  <c r="AC33" i="37"/>
  <c r="U42" i="34"/>
  <c r="H40" i="34"/>
  <c r="U40" i="34"/>
  <c r="E114" i="34"/>
  <c r="F114" i="34"/>
  <c r="G114" i="34"/>
  <c r="H114" i="34"/>
  <c r="I114" i="34"/>
  <c r="J114" i="34"/>
  <c r="K114" i="34"/>
  <c r="L114" i="34"/>
  <c r="M114" i="34"/>
  <c r="H36" i="34"/>
  <c r="U36" i="34"/>
  <c r="F37" i="34"/>
  <c r="AA37" i="34"/>
  <c r="S35" i="34"/>
  <c r="F25" i="34"/>
  <c r="S25" i="34"/>
  <c r="H23" i="34"/>
  <c r="U23" i="34"/>
  <c r="J23" i="34"/>
  <c r="F19" i="34"/>
  <c r="H17" i="34"/>
  <c r="F15" i="34"/>
  <c r="AA15" i="34"/>
  <c r="J15" i="34"/>
  <c r="H15" i="34"/>
  <c r="AB15" i="34"/>
  <c r="F41" i="33"/>
  <c r="S41" i="33"/>
  <c r="F32" i="33"/>
  <c r="AA32" i="33"/>
  <c r="J19" i="33"/>
  <c r="AC19" i="33"/>
  <c r="J15" i="33"/>
  <c r="AC15" i="33"/>
  <c r="F11" i="33"/>
  <c r="AA11" i="33"/>
  <c r="W40" i="33"/>
  <c r="F37" i="40"/>
  <c r="AA37" i="40"/>
  <c r="F36" i="40"/>
  <c r="AA36" i="40"/>
  <c r="H28" i="40"/>
  <c r="U28" i="40"/>
  <c r="F23" i="40"/>
  <c r="F17" i="40"/>
  <c r="AA17" i="40"/>
  <c r="J17" i="40"/>
  <c r="W17" i="40"/>
  <c r="F15" i="40"/>
  <c r="S15" i="40"/>
  <c r="H15" i="40"/>
  <c r="AB15" i="40"/>
  <c r="AB30" i="36"/>
  <c r="F29" i="35"/>
  <c r="H29" i="35"/>
  <c r="AB29" i="35"/>
  <c r="H33" i="37"/>
  <c r="F33" i="37"/>
  <c r="AA33" i="37"/>
  <c r="U34" i="37"/>
  <c r="J43" i="34"/>
  <c r="AB42" i="34"/>
  <c r="J40" i="34"/>
  <c r="H38" i="34"/>
  <c r="AB38" i="34"/>
  <c r="J36" i="34"/>
  <c r="AC36" i="34"/>
  <c r="H37" i="34"/>
  <c r="U37" i="34"/>
  <c r="H25" i="34"/>
  <c r="AB25" i="34"/>
  <c r="J25" i="34"/>
  <c r="AC25" i="34"/>
  <c r="AB23" i="34"/>
  <c r="F23" i="34"/>
  <c r="AA23" i="34"/>
  <c r="J19" i="34"/>
  <c r="AC19" i="34"/>
  <c r="F17" i="34"/>
  <c r="J17" i="34"/>
  <c r="W17" i="34"/>
  <c r="G113" i="33"/>
  <c r="H113" i="33"/>
  <c r="I113" i="33"/>
  <c r="J113" i="33"/>
  <c r="K113" i="33"/>
  <c r="L113" i="33"/>
  <c r="M113" i="33"/>
  <c r="H37" i="33"/>
  <c r="AB37" i="33"/>
  <c r="H15" i="33"/>
  <c r="AB15" i="33"/>
  <c r="H11" i="33"/>
  <c r="AB11" i="33"/>
  <c r="F28" i="40"/>
  <c r="AA28" i="40"/>
  <c r="AC38" i="34"/>
  <c r="AA38" i="34"/>
  <c r="J37" i="34"/>
  <c r="AC37" i="34"/>
  <c r="J11" i="33"/>
  <c r="W11" i="33"/>
  <c r="J44" i="34"/>
  <c r="F44" i="34"/>
  <c r="J10" i="35"/>
  <c r="AC10" i="35"/>
  <c r="J14" i="21"/>
  <c r="W14" i="21"/>
  <c r="F14" i="21"/>
  <c r="S14" i="21"/>
  <c r="H14" i="21"/>
  <c r="U14" i="21"/>
  <c r="H28" i="21"/>
  <c r="AB28" i="21"/>
  <c r="F28" i="21"/>
  <c r="AA28" i="21"/>
  <c r="J30" i="21"/>
  <c r="AC30" i="21"/>
  <c r="J44" i="21"/>
  <c r="AC44" i="21"/>
  <c r="H44" i="21"/>
  <c r="U44" i="21"/>
  <c r="F44" i="21"/>
  <c r="AA44" i="21"/>
  <c r="H26" i="33"/>
  <c r="H28" i="33"/>
  <c r="U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S31" i="21"/>
  <c r="J13" i="33"/>
  <c r="H13" i="33"/>
  <c r="U13" i="33"/>
  <c r="F13" i="33"/>
  <c r="S13" i="33"/>
  <c r="H29" i="33"/>
  <c r="J31" i="33"/>
  <c r="W31" i="33"/>
  <c r="H31" i="33"/>
  <c r="F31" i="33"/>
  <c r="F14" i="34"/>
  <c r="H30" i="34"/>
  <c r="F30" i="34"/>
  <c r="S30" i="34"/>
  <c r="J30" i="34"/>
  <c r="H46" i="34"/>
  <c r="U46" i="34"/>
  <c r="F46" i="34"/>
  <c r="J46" i="34"/>
  <c r="H11" i="35"/>
  <c r="AB11" i="35"/>
  <c r="J11" i="35"/>
  <c r="W11" i="35"/>
  <c r="AC11" i="35"/>
  <c r="F11" i="35"/>
  <c r="S11" i="35"/>
  <c r="J26" i="36"/>
  <c r="W26" i="36"/>
  <c r="H28" i="36"/>
  <c r="U28" i="36"/>
  <c r="H32" i="36"/>
  <c r="AB32" i="36"/>
  <c r="J32" i="36"/>
  <c r="W32" i="36"/>
  <c r="H11" i="36"/>
  <c r="U11" i="36"/>
  <c r="J13" i="36"/>
  <c r="F13" i="36"/>
  <c r="S13" i="36"/>
  <c r="E89" i="37"/>
  <c r="F89" i="37"/>
  <c r="G89" i="37"/>
  <c r="H89" i="37"/>
  <c r="I89" i="37"/>
  <c r="J89" i="37"/>
  <c r="K89" i="37"/>
  <c r="L89" i="37"/>
  <c r="M89" i="37"/>
  <c r="J29" i="37"/>
  <c r="F29" i="37"/>
  <c r="S29" i="37"/>
  <c r="F105" i="37"/>
  <c r="G105" i="37"/>
  <c r="H36" i="37"/>
  <c r="AB36" i="37"/>
  <c r="J37" i="37"/>
  <c r="AC37" i="37"/>
  <c r="H37" i="37"/>
  <c r="U37" i="37"/>
  <c r="H40" i="37"/>
  <c r="U40" i="37"/>
  <c r="H14" i="33"/>
  <c r="U14" i="33"/>
  <c r="F14" i="33"/>
  <c r="AA14" i="33"/>
  <c r="J14" i="33"/>
  <c r="H30" i="33"/>
  <c r="AB30" i="33"/>
  <c r="F30" i="33"/>
  <c r="S30" i="33"/>
  <c r="H44" i="33"/>
  <c r="J44" i="33"/>
  <c r="W44" i="33"/>
  <c r="AC44" i="33"/>
  <c r="F44" i="33"/>
  <c r="J46" i="33"/>
  <c r="AC46" i="33"/>
  <c r="F46" i="33"/>
  <c r="AA46" i="33"/>
  <c r="AB46" i="33"/>
  <c r="H13" i="34"/>
  <c r="U13" i="34"/>
  <c r="J13" i="34"/>
  <c r="W13" i="34"/>
  <c r="F13" i="34"/>
  <c r="AA13" i="34"/>
  <c r="J29" i="34"/>
  <c r="F29" i="34"/>
  <c r="H29" i="34"/>
  <c r="AB29" i="34"/>
  <c r="J31" i="34"/>
  <c r="AC31" i="34"/>
  <c r="H31" i="34"/>
  <c r="F31" i="34"/>
  <c r="S31" i="34"/>
  <c r="H45" i="34"/>
  <c r="U45" i="34"/>
  <c r="W45" i="34"/>
  <c r="F45" i="34"/>
  <c r="S45" i="34"/>
  <c r="H47" i="34"/>
  <c r="U47" i="34"/>
  <c r="F47" i="34"/>
  <c r="S47" i="34"/>
  <c r="J47" i="34"/>
  <c r="AC47" i="34"/>
  <c r="J13" i="35"/>
  <c r="AC13" i="35"/>
  <c r="H13" i="35"/>
  <c r="J25" i="35"/>
  <c r="W25" i="35"/>
  <c r="F25" i="35"/>
  <c r="S25" i="35"/>
  <c r="H25" i="35"/>
  <c r="AB25" i="35"/>
  <c r="F35" i="35"/>
  <c r="AA35" i="35"/>
  <c r="J25" i="36"/>
  <c r="W25" i="36"/>
  <c r="F25" i="36"/>
  <c r="S25" i="36"/>
  <c r="H25" i="36"/>
  <c r="AB25" i="36"/>
  <c r="H13" i="37"/>
  <c r="AB13" i="37"/>
  <c r="F13" i="37"/>
  <c r="S13" i="37"/>
  <c r="J13" i="37"/>
  <c r="W13" i="37"/>
  <c r="F28" i="37"/>
  <c r="AA28" i="37"/>
  <c r="J28" i="37"/>
  <c r="AC28" i="37"/>
  <c r="H28" i="37"/>
  <c r="H38" i="37"/>
  <c r="AB38" i="37"/>
  <c r="J38" i="37"/>
  <c r="AC38" i="37"/>
  <c r="F38" i="37"/>
  <c r="AA38" i="37"/>
  <c r="H14" i="39"/>
  <c r="AB14" i="39"/>
  <c r="H12" i="40"/>
  <c r="AB12" i="40"/>
  <c r="H30" i="40"/>
  <c r="AB30" i="40"/>
  <c r="F33" i="40"/>
  <c r="AA33" i="40"/>
  <c r="H33" i="40"/>
  <c r="AB33" i="40"/>
  <c r="J35" i="40"/>
  <c r="AC35" i="40"/>
  <c r="J37" i="40"/>
  <c r="AC37" i="40"/>
  <c r="F13" i="40"/>
  <c r="AA13" i="40"/>
  <c r="F14" i="37"/>
  <c r="F13" i="39"/>
  <c r="J13" i="39"/>
  <c r="W13" i="39"/>
  <c r="H13" i="39"/>
  <c r="H14" i="40"/>
  <c r="AB14" i="40"/>
  <c r="J14" i="40"/>
  <c r="W14" i="40"/>
  <c r="F14" i="40"/>
  <c r="J27" i="37"/>
  <c r="AC27" i="37"/>
  <c r="U46" i="33"/>
  <c r="J36" i="37"/>
  <c r="AC36" i="37"/>
  <c r="J10" i="36"/>
  <c r="AC10" i="36"/>
  <c r="AB46" i="34"/>
  <c r="BA585" i="3"/>
  <c r="H17" i="21"/>
  <c r="AB17" i="21"/>
  <c r="F15" i="21"/>
  <c r="S15" i="21"/>
  <c r="J41" i="39"/>
  <c r="W41" i="39"/>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c r="BA573" i="3"/>
  <c r="BA565" i="3"/>
  <c r="BA559" i="3"/>
  <c r="BA555" i="3"/>
  <c r="BA531" i="3"/>
  <c r="BA529" i="3"/>
  <c r="BA517" i="3"/>
  <c r="BA507" i="3"/>
  <c r="BA503" i="3"/>
  <c r="BA493" i="3"/>
  <c r="G579" i="3"/>
  <c r="G577" i="3"/>
  <c r="G571" i="3"/>
  <c r="G569" i="3"/>
  <c r="G567" i="3"/>
  <c r="G565" i="3"/>
  <c r="G563" i="3"/>
  <c r="G561" i="3"/>
  <c r="BL558" i="3"/>
  <c r="AC557" i="3"/>
  <c r="G557" i="3"/>
  <c r="BQ557" i="3"/>
  <c r="BL557" i="3"/>
  <c r="BQ583" i="3"/>
  <c r="BQ581" i="3"/>
  <c r="BQ579" i="3"/>
  <c r="BQ577" i="3"/>
  <c r="BQ575" i="3"/>
  <c r="BL575" i="3"/>
  <c r="BQ573" i="3"/>
  <c r="BQ571" i="3"/>
  <c r="BQ569" i="3"/>
  <c r="BL569" i="3"/>
  <c r="BQ567" i="3"/>
  <c r="BQ565" i="3"/>
  <c r="BQ563" i="3"/>
  <c r="BL563" i="3"/>
  <c r="AZ563" i="3"/>
  <c r="BQ561" i="3"/>
  <c r="BQ559" i="3"/>
  <c r="G559" i="3"/>
  <c r="G555" i="3"/>
  <c r="G543" i="3"/>
  <c r="G537" i="3"/>
  <c r="BQ555" i="3"/>
  <c r="BQ553" i="3"/>
  <c r="BQ551" i="3"/>
  <c r="BQ549" i="3"/>
  <c r="BQ547" i="3"/>
  <c r="BQ545" i="3"/>
  <c r="BQ543" i="3"/>
  <c r="BQ541" i="3"/>
  <c r="BQ539" i="3"/>
  <c r="BQ537" i="3"/>
  <c r="BQ535" i="3"/>
  <c r="BQ533" i="3"/>
  <c r="BQ531" i="3"/>
  <c r="BQ529" i="3"/>
  <c r="BQ527" i="3"/>
  <c r="BQ525" i="3"/>
  <c r="BL525" i="3"/>
  <c r="BQ523" i="3"/>
  <c r="AC521" i="3"/>
  <c r="G521" i="3"/>
  <c r="BQ521" i="3"/>
  <c r="BL520" i="3"/>
  <c r="G519" i="3"/>
  <c r="G515" i="3"/>
  <c r="G513" i="3"/>
  <c r="BQ519" i="3"/>
  <c r="BQ517" i="3"/>
  <c r="BQ515" i="3"/>
  <c r="BQ513" i="3"/>
  <c r="BL513" i="3"/>
  <c r="BQ511" i="3"/>
  <c r="BL511" i="3"/>
  <c r="AC509" i="3"/>
  <c r="BQ509" i="3"/>
  <c r="BL509" i="3"/>
  <c r="G507" i="3"/>
  <c r="G505" i="3"/>
  <c r="G503" i="3"/>
  <c r="G501" i="3"/>
  <c r="G499" i="3"/>
  <c r="G497" i="3"/>
  <c r="G495" i="3"/>
  <c r="BQ507" i="3"/>
  <c r="BQ505" i="3"/>
  <c r="BL505" i="3"/>
  <c r="BQ503" i="3"/>
  <c r="BL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J25" i="21"/>
  <c r="AC25" i="21"/>
  <c r="E125" i="33"/>
  <c r="F125" i="33"/>
  <c r="G125" i="33"/>
  <c r="H43" i="33"/>
  <c r="H17" i="37"/>
  <c r="U17" i="37"/>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F37" i="37"/>
  <c r="AA37" i="37"/>
  <c r="F32" i="40"/>
  <c r="S32" i="40"/>
  <c r="H32" i="40"/>
  <c r="AB32" i="40"/>
  <c r="J36" i="40"/>
  <c r="W36" i="40"/>
  <c r="H19" i="37"/>
  <c r="AB19" i="37"/>
  <c r="H42" i="33"/>
  <c r="AB42" i="33"/>
  <c r="J43" i="33"/>
  <c r="AC43" i="33"/>
  <c r="S28" i="31"/>
  <c r="S27" i="31"/>
  <c r="S26" i="31"/>
  <c r="U14" i="40"/>
  <c r="W47" i="34"/>
  <c r="AC31" i="33"/>
  <c r="U19" i="21"/>
  <c r="F43" i="33"/>
  <c r="AA43" i="33"/>
  <c r="W15" i="34"/>
  <c r="AC15" i="34"/>
  <c r="W16" i="35"/>
  <c r="G107" i="37"/>
  <c r="H107" i="37"/>
  <c r="I107" i="37"/>
  <c r="J107" i="37"/>
  <c r="K107" i="37"/>
  <c r="L107" i="37"/>
  <c r="M107" i="37"/>
  <c r="H19" i="34"/>
  <c r="AB19" i="34"/>
  <c r="F36" i="35"/>
  <c r="S36" i="35"/>
  <c r="J9" i="37"/>
  <c r="W9" i="37"/>
  <c r="H9" i="37"/>
  <c r="U9" i="37"/>
  <c r="F9" i="37"/>
  <c r="S9" i="37"/>
  <c r="H12" i="37"/>
  <c r="AB12" i="37"/>
  <c r="F12" i="37"/>
  <c r="S12" i="37"/>
  <c r="F15" i="37"/>
  <c r="AA15" i="37"/>
  <c r="E94" i="37"/>
  <c r="F94" i="37"/>
  <c r="G94" i="37"/>
  <c r="H94" i="37"/>
  <c r="I94" i="37"/>
  <c r="J94" i="37"/>
  <c r="K94" i="37"/>
  <c r="L94" i="37"/>
  <c r="M94" i="37"/>
  <c r="F31" i="37"/>
  <c r="S31" i="37"/>
  <c r="J42" i="39"/>
  <c r="AC42" i="39"/>
  <c r="H21" i="40"/>
  <c r="AB21" i="40"/>
  <c r="AC12" i="37"/>
  <c r="H31" i="37"/>
  <c r="U31" i="37"/>
  <c r="J15" i="37"/>
  <c r="W15" i="37"/>
  <c r="AT6" i="3"/>
  <c r="H19" i="40"/>
  <c r="U19" i="40"/>
  <c r="F88" i="40"/>
  <c r="G88" i="40"/>
  <c r="F19" i="40"/>
  <c r="S19" i="40"/>
  <c r="W23" i="39"/>
  <c r="U45" i="39"/>
  <c r="AB45" i="39"/>
  <c r="H37" i="39"/>
  <c r="H25" i="39"/>
  <c r="J25" i="39"/>
  <c r="W25" i="39"/>
  <c r="F25" i="39"/>
  <c r="AA25" i="39"/>
  <c r="F15" i="39"/>
  <c r="H15" i="39"/>
  <c r="U15" i="39"/>
  <c r="J15" i="39"/>
  <c r="W15" i="39"/>
  <c r="H41" i="39"/>
  <c r="AB41" i="39"/>
  <c r="W27" i="39"/>
  <c r="U40" i="39"/>
  <c r="S42" i="39"/>
  <c r="AA41" i="39"/>
  <c r="W9" i="39"/>
  <c r="W8" i="39"/>
  <c r="J19" i="40"/>
  <c r="AC19" i="40"/>
  <c r="J50" i="40"/>
  <c r="H103" i="9"/>
  <c r="D8" i="53"/>
  <c r="B16" i="53"/>
  <c r="B33" i="72"/>
  <c r="J11" i="39"/>
  <c r="W11" i="39"/>
  <c r="F11" i="39"/>
  <c r="S11" i="39"/>
  <c r="AA11" i="39"/>
  <c r="G4" i="4"/>
  <c r="I4" i="4"/>
  <c r="F61" i="43"/>
  <c r="H64" i="43"/>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c r="BL344" i="3"/>
  <c r="BA346" i="3"/>
  <c r="BA347" i="3"/>
  <c r="BL347" i="3"/>
  <c r="G350" i="3"/>
  <c r="BA351" i="3"/>
  <c r="BL351" i="3"/>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c r="BA390" i="3"/>
  <c r="BL390" i="3"/>
  <c r="G391" i="3"/>
  <c r="G394" i="3"/>
  <c r="BA16" i="3"/>
  <c r="BL303" i="3"/>
  <c r="G304" i="3"/>
  <c r="BA306" i="3"/>
  <c r="BL307" i="3"/>
  <c r="G308" i="3"/>
  <c r="BA310" i="3"/>
  <c r="AZ310" i="3"/>
  <c r="BL311" i="3"/>
  <c r="AZ311" i="3"/>
  <c r="G312" i="3"/>
  <c r="BA314" i="3"/>
  <c r="BL315" i="3"/>
  <c r="G316" i="3"/>
  <c r="BA318" i="3"/>
  <c r="BL319" i="3"/>
  <c r="G320" i="3"/>
  <c r="BA322" i="3"/>
  <c r="BL323" i="3"/>
  <c r="G324" i="3"/>
  <c r="BA326" i="3"/>
  <c r="BL327" i="3"/>
  <c r="G328" i="3"/>
  <c r="BA330" i="3"/>
  <c r="BL331" i="3"/>
  <c r="G332" i="3"/>
  <c r="BA334" i="3"/>
  <c r="AZ334" i="3"/>
  <c r="BL335" i="3"/>
  <c r="G336" i="3"/>
  <c r="BA338" i="3"/>
  <c r="BL339" i="3"/>
  <c r="G340" i="3"/>
  <c r="BL343" i="3"/>
  <c r="G344" i="3"/>
  <c r="G348" i="3"/>
  <c r="G355" i="3"/>
  <c r="G342" i="3"/>
  <c r="BL345" i="3"/>
  <c r="G346" i="3"/>
  <c r="BL349" i="3"/>
  <c r="BL352" i="3"/>
  <c r="G353" i="3"/>
  <c r="BA357" i="3"/>
  <c r="AZ357" i="3"/>
  <c r="BL358" i="3"/>
  <c r="G359" i="3"/>
  <c r="BA361" i="3"/>
  <c r="BL362" i="3"/>
  <c r="G363" i="3"/>
  <c r="BA365" i="3"/>
  <c r="BL366" i="3"/>
  <c r="G367" i="3"/>
  <c r="BA369" i="3"/>
  <c r="BL370" i="3"/>
  <c r="G371" i="3"/>
  <c r="BA373" i="3"/>
  <c r="BL374" i="3"/>
  <c r="G375" i="3"/>
  <c r="BA377" i="3"/>
  <c r="BA379" i="3"/>
  <c r="AZ379" i="3"/>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c r="F50" i="43"/>
  <c r="H54" i="43"/>
  <c r="F72" i="43"/>
  <c r="H75" i="43"/>
  <c r="U17" i="39"/>
  <c r="G10" i="1"/>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F23" i="39"/>
  <c r="AA23" i="39"/>
  <c r="H27" i="36"/>
  <c r="U27" i="36"/>
  <c r="F27" i="36"/>
  <c r="AA27" i="36"/>
  <c r="H33" i="34"/>
  <c r="U33" i="34"/>
  <c r="F32" i="37"/>
  <c r="S32" i="37"/>
  <c r="F20" i="36"/>
  <c r="AA20" i="36"/>
  <c r="J33" i="34"/>
  <c r="AC33" i="34"/>
  <c r="H23" i="39"/>
  <c r="U23" i="39"/>
  <c r="D48" i="9"/>
  <c r="M52" i="9"/>
  <c r="K9" i="1"/>
  <c r="M9" i="1"/>
  <c r="W26" i="33"/>
  <c r="W27" i="34"/>
  <c r="AC27" i="34"/>
  <c r="AB34" i="36"/>
  <c r="U34" i="36"/>
  <c r="AB33" i="36"/>
  <c r="U33" i="36"/>
  <c r="W12" i="33"/>
  <c r="AC12" i="33"/>
  <c r="AA32" i="36"/>
  <c r="S32" i="36"/>
  <c r="BL14" i="3"/>
  <c r="U30" i="33"/>
  <c r="AC13" i="34"/>
  <c r="AA47" i="34"/>
  <c r="W28" i="37"/>
  <c r="S19" i="39"/>
  <c r="F12" i="33"/>
  <c r="AA12" i="33"/>
  <c r="H12" i="39"/>
  <c r="AB12" i="39"/>
  <c r="F39" i="40"/>
  <c r="BA14" i="3"/>
  <c r="B12" i="1"/>
  <c r="E12" i="1"/>
  <c r="B10" i="1"/>
  <c r="E10" i="1"/>
  <c r="K12" i="1"/>
  <c r="M12" i="1" s="1"/>
  <c r="S13" i="1"/>
  <c r="R13" i="1"/>
  <c r="J51" i="67"/>
  <c r="AC34" i="33"/>
  <c r="AB37" i="40"/>
  <c r="S35" i="40"/>
  <c r="AC36" i="40"/>
  <c r="AA32" i="40"/>
  <c r="S17" i="40"/>
  <c r="AC17" i="40"/>
  <c r="AC15" i="40"/>
  <c r="AB27" i="40"/>
  <c r="S30" i="40"/>
  <c r="S28" i="40"/>
  <c r="AA27" i="40"/>
  <c r="U21" i="40"/>
  <c r="U35" i="39"/>
  <c r="F32" i="39"/>
  <c r="S32" i="39"/>
  <c r="F106" i="39"/>
  <c r="G106" i="39"/>
  <c r="H106" i="39"/>
  <c r="I106" i="39"/>
  <c r="J106" i="39"/>
  <c r="K106" i="39"/>
  <c r="L106" i="39"/>
  <c r="M106" i="39"/>
  <c r="AB27" i="39"/>
  <c r="J21" i="39"/>
  <c r="W21" i="39"/>
  <c r="F21" i="39"/>
  <c r="S21" i="39"/>
  <c r="G94" i="39"/>
  <c r="H21" i="39"/>
  <c r="AB21" i="39"/>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c r="H9" i="35"/>
  <c r="U9" i="35"/>
  <c r="AB40" i="37"/>
  <c r="S25" i="37"/>
  <c r="W27" i="37"/>
  <c r="U29" i="37"/>
  <c r="AB31" i="37"/>
  <c r="W30" i="37"/>
  <c r="U32" i="37"/>
  <c r="W38" i="37"/>
  <c r="AC35" i="37"/>
  <c r="W39" i="37"/>
  <c r="S30" i="37"/>
  <c r="S37" i="37"/>
  <c r="AC15" i="37"/>
  <c r="J17" i="37"/>
  <c r="W17" i="37"/>
  <c r="G73" i="37"/>
  <c r="F17" i="37"/>
  <c r="AA17" i="37"/>
  <c r="AB17" i="37"/>
  <c r="F75" i="37"/>
  <c r="G75" i="37"/>
  <c r="F19" i="37"/>
  <c r="S19" i="37"/>
  <c r="F79" i="37"/>
  <c r="G79" i="37"/>
  <c r="F23" i="37"/>
  <c r="S23" i="37"/>
  <c r="U23" i="37"/>
  <c r="U15" i="37"/>
  <c r="AC13" i="37"/>
  <c r="AA13" i="37"/>
  <c r="H10" i="37"/>
  <c r="AB10" i="37"/>
  <c r="F63" i="37"/>
  <c r="F11" i="37"/>
  <c r="S11" i="37"/>
  <c r="W25" i="34"/>
  <c r="AB8" i="34"/>
  <c r="AA33" i="34"/>
  <c r="U43" i="34"/>
  <c r="W41" i="34"/>
  <c r="AC42" i="34"/>
  <c r="AB35" i="34"/>
  <c r="U39" i="34"/>
  <c r="S43" i="34"/>
  <c r="AB41" i="34"/>
  <c r="AA45" i="34"/>
  <c r="AA25" i="34"/>
  <c r="U28" i="34"/>
  <c r="S23" i="34"/>
  <c r="S13" i="34"/>
  <c r="H10" i="34"/>
  <c r="AB10" i="34"/>
  <c r="F11" i="34"/>
  <c r="S11" i="34"/>
  <c r="F70" i="34"/>
  <c r="W42" i="33"/>
  <c r="S27" i="33"/>
  <c r="S32" i="33"/>
  <c r="AA29" i="33"/>
  <c r="W38" i="33"/>
  <c r="H41" i="33"/>
  <c r="AB41" i="33"/>
  <c r="F121" i="33"/>
  <c r="G121" i="33"/>
  <c r="H121" i="33"/>
  <c r="I121" i="33"/>
  <c r="J121" i="33"/>
  <c r="K121" i="33"/>
  <c r="L121" i="33"/>
  <c r="M121" i="33"/>
  <c r="U42" i="33"/>
  <c r="S42" i="33"/>
  <c r="F36" i="33"/>
  <c r="AA36" i="33"/>
  <c r="G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F91" i="33"/>
  <c r="H27" i="33"/>
  <c r="U27" i="33"/>
  <c r="F87" i="33"/>
  <c r="G87" i="33"/>
  <c r="H87" i="33"/>
  <c r="I87" i="33"/>
  <c r="J87" i="33"/>
  <c r="K87" i="33"/>
  <c r="L87" i="33"/>
  <c r="M87" i="33"/>
  <c r="H25" i="33"/>
  <c r="F25" i="33"/>
  <c r="S25" i="33"/>
  <c r="J23" i="33"/>
  <c r="AC23" i="33"/>
  <c r="H23" i="33"/>
  <c r="U23" i="33"/>
  <c r="F81" i="33"/>
  <c r="G81" i="33"/>
  <c r="F19" i="33"/>
  <c r="S19" i="33"/>
  <c r="W19" i="33"/>
  <c r="J17" i="33"/>
  <c r="W17" i="33"/>
  <c r="F79" i="33"/>
  <c r="G79" i="33"/>
  <c r="S15" i="33"/>
  <c r="W15" i="33"/>
  <c r="J10" i="33"/>
  <c r="W10" i="33"/>
  <c r="H10" i="33"/>
  <c r="U10" i="33"/>
  <c r="AC11" i="33"/>
  <c r="AB14" i="33"/>
  <c r="W41" i="21"/>
  <c r="J15" i="21"/>
  <c r="AC15" i="21"/>
  <c r="W15" i="21"/>
  <c r="F77" i="21"/>
  <c r="G77" i="21"/>
  <c r="F23" i="21"/>
  <c r="AA23" i="21"/>
  <c r="S23" i="21"/>
  <c r="E85" i="21"/>
  <c r="AA14" i="21"/>
  <c r="D120" i="9"/>
  <c r="D121" i="9"/>
  <c r="D7" i="52"/>
  <c r="F34" i="67"/>
  <c r="F62" i="67"/>
  <c r="M20" i="67"/>
  <c r="F34" i="15"/>
  <c r="F62" i="15"/>
  <c r="BL17" i="3"/>
  <c r="AZ17" i="3"/>
  <c r="BL13" i="3"/>
  <c r="J56" i="9"/>
  <c r="J57" i="9"/>
  <c r="J59" i="9"/>
  <c r="J61" i="9"/>
  <c r="A24" i="51"/>
  <c r="B18" i="72"/>
  <c r="U29" i="34"/>
  <c r="G1" i="68"/>
  <c r="K1" i="12"/>
  <c r="E19" i="69"/>
  <c r="E19" i="68"/>
  <c r="E19" i="11"/>
  <c r="C6" i="43"/>
  <c r="B19" i="53"/>
  <c r="B37" i="72"/>
  <c r="A4" i="51"/>
  <c r="B6" i="72"/>
  <c r="L20" i="6"/>
  <c r="B6" i="1"/>
  <c r="E6" i="1"/>
  <c r="K11" i="1"/>
  <c r="M11" i="1" s="1"/>
  <c r="O11" i="1"/>
  <c r="B9" i="1"/>
  <c r="E9" i="1"/>
  <c r="K7" i="1"/>
  <c r="M7" i="1"/>
  <c r="O7" i="1"/>
  <c r="P7" i="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F33" i="21"/>
  <c r="AA33" i="21" s="1"/>
  <c r="J33" i="21"/>
  <c r="AC33" i="21" s="1"/>
  <c r="H33" i="21"/>
  <c r="AB14" i="21"/>
  <c r="U40" i="21"/>
  <c r="U13" i="21"/>
  <c r="AB13" i="21"/>
  <c r="H15" i="21"/>
  <c r="U15" i="21"/>
  <c r="J17" i="21"/>
  <c r="AC17" i="21"/>
  <c r="AC19" i="21"/>
  <c r="AC14" i="21"/>
  <c r="W30" i="21"/>
  <c r="H45" i="21"/>
  <c r="U45" i="21" s="1"/>
  <c r="F29" i="21"/>
  <c r="AA29" i="21"/>
  <c r="F13" i="21"/>
  <c r="AA13" i="21"/>
  <c r="H9" i="21"/>
  <c r="AB9" i="21"/>
  <c r="J9" i="21"/>
  <c r="AC9" i="21"/>
  <c r="AA31" i="21"/>
  <c r="W29" i="21"/>
  <c r="S19" i="21"/>
  <c r="AA9" i="21"/>
  <c r="K141" i="21"/>
  <c r="K144" i="21"/>
  <c r="K143" i="21"/>
  <c r="AB25" i="21"/>
  <c r="W13" i="21"/>
  <c r="F10" i="21"/>
  <c r="AA10" i="2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c r="H32" i="39"/>
  <c r="AB32" i="39"/>
  <c r="AC17" i="37"/>
  <c r="J19" i="37"/>
  <c r="W19" i="37"/>
  <c r="J23" i="37"/>
  <c r="W23" i="37"/>
  <c r="J10" i="37"/>
  <c r="W10" i="37"/>
  <c r="G63" i="37"/>
  <c r="H63" i="37"/>
  <c r="I63" i="37"/>
  <c r="H11" i="37"/>
  <c r="AB11" i="37"/>
  <c r="G70" i="34"/>
  <c r="H11" i="34"/>
  <c r="U11" i="34"/>
  <c r="J10" i="34"/>
  <c r="AC10" i="34"/>
  <c r="W35" i="33"/>
  <c r="H111" i="33"/>
  <c r="I111" i="33"/>
  <c r="J111" i="33"/>
  <c r="K111" i="33"/>
  <c r="L111" i="33"/>
  <c r="M111" i="33"/>
  <c r="J36" i="33"/>
  <c r="W36" i="33"/>
  <c r="H36" i="33"/>
  <c r="U36" i="33"/>
  <c r="S36" i="33"/>
  <c r="G91" i="33"/>
  <c r="H91" i="33"/>
  <c r="I91" i="33"/>
  <c r="J91" i="33"/>
  <c r="K91" i="33"/>
  <c r="L91" i="33"/>
  <c r="M91" i="33"/>
  <c r="J27" i="33"/>
  <c r="W27" i="33"/>
  <c r="U25" i="33"/>
  <c r="AB25" i="33"/>
  <c r="AA25" i="33"/>
  <c r="J25" i="33"/>
  <c r="AC25" i="33"/>
  <c r="AB23" i="33"/>
  <c r="F23" i="33"/>
  <c r="H19" i="33"/>
  <c r="AB19" i="33"/>
  <c r="H17" i="33"/>
  <c r="U17" i="33"/>
  <c r="F17" i="33"/>
  <c r="S17" i="33"/>
  <c r="AC17" i="33"/>
  <c r="J23" i="21"/>
  <c r="AC23" i="21"/>
  <c r="F85" i="21"/>
  <c r="G85" i="21"/>
  <c r="H23" i="21"/>
  <c r="U23" i="21"/>
  <c r="S13" i="21"/>
  <c r="AP7" i="1"/>
  <c r="A18" i="62"/>
  <c r="B64" i="72"/>
  <c r="U32" i="39"/>
  <c r="J63" i="37"/>
  <c r="K63" i="37"/>
  <c r="L63" i="37"/>
  <c r="M63" i="37"/>
  <c r="J11" i="37"/>
  <c r="AC11" i="37"/>
  <c r="H70" i="34"/>
  <c r="I70" i="34"/>
  <c r="J70" i="34"/>
  <c r="K70" i="34"/>
  <c r="L70" i="34"/>
  <c r="M70" i="34"/>
  <c r="J11" i="34"/>
  <c r="W11" i="34"/>
  <c r="AB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J34" i="21"/>
  <c r="W34" i="21" s="1"/>
  <c r="F34" i="21"/>
  <c r="AA34" i="21" s="1"/>
  <c r="G22" i="69"/>
  <c r="G22" i="11"/>
  <c r="E1" i="73"/>
  <c r="G26" i="12"/>
  <c r="G22" i="68"/>
  <c r="W23" i="21"/>
  <c r="M47" i="9"/>
  <c r="H36" i="21"/>
  <c r="U36" i="21"/>
  <c r="F17" i="21"/>
  <c r="AA17" i="2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c r="F14" i="39"/>
  <c r="J29" i="33"/>
  <c r="F27" i="21"/>
  <c r="AA27" i="21" s="1"/>
  <c r="F30" i="21"/>
  <c r="AA42" i="34"/>
  <c r="AA12" i="36"/>
  <c r="S38" i="33"/>
  <c r="W31" i="40"/>
  <c r="AA41" i="21"/>
  <c r="F36" i="21"/>
  <c r="S36" i="21"/>
  <c r="F43" i="21"/>
  <c r="S43" i="21"/>
  <c r="G585" i="3"/>
  <c r="BL586" i="3"/>
  <c r="J43" i="21"/>
  <c r="H12" i="36"/>
  <c r="AA26" i="36"/>
  <c r="AZ326" i="3"/>
  <c r="AZ320" i="3"/>
  <c r="AC45" i="33"/>
  <c r="F31" i="40"/>
  <c r="H27" i="34"/>
  <c r="BL517" i="3"/>
  <c r="BL523" i="3"/>
  <c r="BL547" i="3"/>
  <c r="BL565" i="3"/>
  <c r="AZ565" i="3"/>
  <c r="BL581" i="3"/>
  <c r="H14" i="34"/>
  <c r="H27" i="21"/>
  <c r="AB27" i="21" s="1"/>
  <c r="AA34" i="37"/>
  <c r="W28" i="35"/>
  <c r="F35" i="39"/>
  <c r="J25" i="37"/>
  <c r="W8" i="34"/>
  <c r="J36" i="21"/>
  <c r="AC36" i="2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c r="BL105" i="3"/>
  <c r="BA110" i="3"/>
  <c r="AZ110" i="3"/>
  <c r="U29" i="39"/>
  <c r="P27" i="6"/>
  <c r="C87" i="71"/>
  <c r="Q68" i="71"/>
  <c r="F67" i="71"/>
  <c r="F66" i="71"/>
  <c r="G401" i="3"/>
  <c r="BA410" i="3"/>
  <c r="G413" i="3"/>
  <c r="G421" i="3"/>
  <c r="BA443" i="3"/>
  <c r="G445" i="3"/>
  <c r="G449" i="3"/>
  <c r="BL462" i="3"/>
  <c r="G467" i="3"/>
  <c r="BA476" i="3"/>
  <c r="G492" i="3"/>
  <c r="BL359" i="3"/>
  <c r="AZ359" i="3"/>
  <c r="BL367" i="3"/>
  <c r="G374" i="3"/>
  <c r="G382" i="3"/>
  <c r="BL383" i="3"/>
  <c r="AZ383" i="3"/>
  <c r="BA211" i="3"/>
  <c r="AZ211" i="3"/>
  <c r="BL215" i="3"/>
  <c r="G218" i="3"/>
  <c r="BL222" i="3"/>
  <c r="BA228" i="3"/>
  <c r="BA237" i="3"/>
  <c r="AZ237" i="3"/>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c r="G490" i="3"/>
  <c r="BA315" i="3"/>
  <c r="AZ315" i="3"/>
  <c r="BA331" i="3"/>
  <c r="AZ331" i="3"/>
  <c r="BA333" i="3"/>
  <c r="G364" i="3"/>
  <c r="G380" i="3"/>
  <c r="G384" i="3"/>
  <c r="G396" i="3"/>
  <c r="G210" i="3"/>
  <c r="G220" i="3"/>
  <c r="BL224" i="3"/>
  <c r="G228" i="3"/>
  <c r="G232" i="3"/>
  <c r="BA233" i="3"/>
  <c r="G236" i="3"/>
  <c r="BL242" i="3"/>
  <c r="G247" i="3"/>
  <c r="G268" i="3"/>
  <c r="G280" i="3"/>
  <c r="G284" i="3"/>
  <c r="G292" i="3"/>
  <c r="G302" i="3"/>
  <c r="G116" i="3"/>
  <c r="BA120" i="3"/>
  <c r="AZ120" i="3"/>
  <c r="G123" i="3"/>
  <c r="G127" i="3"/>
  <c r="BA128" i="3"/>
  <c r="AZ128" i="3"/>
  <c r="G158" i="3"/>
  <c r="G166" i="3"/>
  <c r="G167" i="3"/>
  <c r="BA177" i="3"/>
  <c r="G191" i="3"/>
  <c r="G195" i="3"/>
  <c r="BA201" i="3"/>
  <c r="G26" i="3"/>
  <c r="BA30" i="3"/>
  <c r="AZ30" i="3"/>
  <c r="BL34" i="3"/>
  <c r="G42" i="3"/>
  <c r="G45" i="3"/>
  <c r="BL64" i="3"/>
  <c r="G65" i="3"/>
  <c r="G69" i="3"/>
  <c r="BL82" i="3"/>
  <c r="BL83" i="3"/>
  <c r="G86" i="3"/>
  <c r="BA97" i="3"/>
  <c r="B77" i="43"/>
  <c r="C71" i="71"/>
  <c r="J1" i="73"/>
  <c r="C7" i="35"/>
  <c r="C48" i="35" s="1"/>
  <c r="D48" i="35" s="1"/>
  <c r="E48" i="35"/>
  <c r="F48" i="35" s="1"/>
  <c r="G48" i="35" s="1"/>
  <c r="H48" i="35" s="1"/>
  <c r="I48" i="35" s="1"/>
  <c r="J48" i="35" s="1"/>
  <c r="K48" i="35" s="1"/>
  <c r="L48" i="35" s="1"/>
  <c r="M48" i="35" s="1"/>
  <c r="N48" i="35" s="1"/>
  <c r="O48" i="35" s="1"/>
  <c r="C7" i="36"/>
  <c r="C46" i="36" s="1"/>
  <c r="E32" i="6"/>
  <c r="C18" i="9"/>
  <c r="D18" i="9"/>
  <c r="J37" i="21"/>
  <c r="W37" i="21"/>
  <c r="H37" i="21"/>
  <c r="U37" i="21" s="1"/>
  <c r="F37" i="21"/>
  <c r="AA37" i="21"/>
  <c r="AA19" i="33"/>
  <c r="AA19" i="37"/>
  <c r="AZ369" i="3"/>
  <c r="AZ390" i="3"/>
  <c r="AZ371" i="3"/>
  <c r="AZ351" i="3"/>
  <c r="AZ380" i="3"/>
  <c r="AZ325" i="3"/>
  <c r="AZ306" i="3"/>
  <c r="S14" i="33"/>
  <c r="E89" i="21"/>
  <c r="F89" i="21"/>
  <c r="F11" i="36"/>
  <c r="J11" i="36"/>
  <c r="AC11" i="36"/>
  <c r="H14" i="37"/>
  <c r="AB14" i="37"/>
  <c r="J14" i="37"/>
  <c r="F12" i="39"/>
  <c r="J12" i="39"/>
  <c r="BL576" i="3"/>
  <c r="AB35" i="33"/>
  <c r="U35" i="33"/>
  <c r="AC39" i="33"/>
  <c r="W39" i="33"/>
  <c r="AZ345" i="3"/>
  <c r="AZ342" i="3"/>
  <c r="AZ337" i="3"/>
  <c r="AZ376" i="3"/>
  <c r="AZ309" i="3"/>
  <c r="AZ561" i="3"/>
  <c r="AZ558" i="3"/>
  <c r="BA587" i="3"/>
  <c r="W28" i="21"/>
  <c r="AC28" i="21"/>
  <c r="J9" i="33"/>
  <c r="H9" i="33"/>
  <c r="F9" i="33"/>
  <c r="AA9" i="33"/>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c r="J9" i="36"/>
  <c r="AA34" i="40"/>
  <c r="BL567" i="3"/>
  <c r="AZ567" i="3"/>
  <c r="G583" i="3"/>
  <c r="BS5" i="3"/>
  <c r="G581" i="3"/>
  <c r="BA575" i="3"/>
  <c r="AZ575" i="3"/>
  <c r="BO5" i="3"/>
  <c r="G573" i="3"/>
  <c r="G572" i="3"/>
  <c r="G556" i="3"/>
  <c r="BL555" i="3"/>
  <c r="G549" i="3"/>
  <c r="G547" i="3"/>
  <c r="BA546" i="3"/>
  <c r="G546" i="3"/>
  <c r="BL545" i="3"/>
  <c r="BA543" i="3"/>
  <c r="G541" i="3"/>
  <c r="G539" i="3"/>
  <c r="G532" i="3"/>
  <c r="G525" i="3"/>
  <c r="G523" i="3"/>
  <c r="G522" i="3"/>
  <c r="G517" i="3"/>
  <c r="G511" i="3"/>
  <c r="G510" i="3"/>
  <c r="G496" i="3"/>
  <c r="C44" i="71"/>
  <c r="D44" i="71"/>
  <c r="D43" i="71"/>
  <c r="D60" i="71"/>
  <c r="T60" i="71"/>
  <c r="D83" i="71"/>
  <c r="C82" i="71"/>
  <c r="D82" i="71"/>
  <c r="P68" i="71"/>
  <c r="E67" i="71"/>
  <c r="F79" i="71"/>
  <c r="F78" i="71"/>
  <c r="V80" i="71"/>
  <c r="G574" i="3"/>
  <c r="BL399" i="3"/>
  <c r="BA406" i="3"/>
  <c r="AZ406" i="3"/>
  <c r="G410" i="3"/>
  <c r="BA413" i="3"/>
  <c r="AZ413" i="3"/>
  <c r="BL413" i="3"/>
  <c r="G415" i="3"/>
  <c r="G416" i="3"/>
  <c r="BL419" i="3"/>
  <c r="G425" i="3"/>
  <c r="BL425" i="3"/>
  <c r="BL426" i="3"/>
  <c r="AZ426" i="3"/>
  <c r="G429" i="3"/>
  <c r="G441" i="3"/>
  <c r="BA441" i="3"/>
  <c r="BL443" i="3"/>
  <c r="AZ443" i="3"/>
  <c r="G446" i="3"/>
  <c r="BA451" i="3"/>
  <c r="AZ451" i="3"/>
  <c r="BA454" i="3"/>
  <c r="BL458" i="3"/>
  <c r="BA466" i="3"/>
  <c r="BA469" i="3"/>
  <c r="AZ469" i="3"/>
  <c r="BL473" i="3"/>
  <c r="BL474" i="3"/>
  <c r="G475" i="3"/>
  <c r="BA487" i="3"/>
  <c r="BA489" i="3"/>
  <c r="BL489" i="3"/>
  <c r="AZ489" i="3"/>
  <c r="BL491" i="3"/>
  <c r="BL492" i="3"/>
  <c r="G307" i="3"/>
  <c r="G311" i="3"/>
  <c r="G315" i="3"/>
  <c r="G323" i="3"/>
  <c r="G339" i="3"/>
  <c r="BL386" i="3"/>
  <c r="BA208" i="3"/>
  <c r="AZ208" i="3"/>
  <c r="BA214" i="3"/>
  <c r="BA220" i="3"/>
  <c r="BA225" i="3"/>
  <c r="AZ225" i="3"/>
  <c r="BA245" i="3"/>
  <c r="AZ245" i="3"/>
  <c r="BL245" i="3"/>
  <c r="BA257" i="3"/>
  <c r="BL257" i="3"/>
  <c r="BL258" i="3"/>
  <c r="AB21" i="37"/>
  <c r="U21" i="37"/>
  <c r="G399" i="3"/>
  <c r="BA402" i="3"/>
  <c r="AZ402" i="3"/>
  <c r="BL409" i="3"/>
  <c r="BA419" i="3"/>
  <c r="BA437" i="3"/>
  <c r="AZ437" i="3"/>
  <c r="BL437" i="3"/>
  <c r="BA448" i="3"/>
  <c r="BA450" i="3"/>
  <c r="BL465" i="3"/>
  <c r="BL479" i="3"/>
  <c r="BL484" i="3"/>
  <c r="BA486" i="3"/>
  <c r="BL488" i="3"/>
  <c r="BA319" i="3"/>
  <c r="AZ319" i="3"/>
  <c r="BL381" i="3"/>
  <c r="AZ381" i="3"/>
  <c r="BA385" i="3"/>
  <c r="BA395" i="3"/>
  <c r="AZ395" i="3"/>
  <c r="BL213" i="3"/>
  <c r="BA222" i="3"/>
  <c r="BA224" i="3"/>
  <c r="AZ224" i="3"/>
  <c r="BA242" i="3"/>
  <c r="AZ242" i="3"/>
  <c r="BA255" i="3"/>
  <c r="BL255" i="3"/>
  <c r="BA260" i="3"/>
  <c r="BL269" i="3"/>
  <c r="BA278" i="3"/>
  <c r="AZ278" i="3"/>
  <c r="BL301" i="3"/>
  <c r="BL302" i="3"/>
  <c r="BA114" i="3"/>
  <c r="BA134" i="3"/>
  <c r="BL134" i="3"/>
  <c r="BA50" i="3"/>
  <c r="AA28" i="71"/>
  <c r="AA35" i="71"/>
  <c r="N67" i="71"/>
  <c r="B66" i="71"/>
  <c r="D79" i="71"/>
  <c r="C78" i="71"/>
  <c r="D78" i="71"/>
  <c r="Y27" i="71"/>
  <c r="Z27" i="71"/>
  <c r="BA400" i="3"/>
  <c r="BL400" i="3"/>
  <c r="G405" i="3"/>
  <c r="G408" i="3"/>
  <c r="BL408" i="3"/>
  <c r="BL412" i="3"/>
  <c r="G417" i="3"/>
  <c r="BL417" i="3"/>
  <c r="BL418" i="3"/>
  <c r="BA420" i="3"/>
  <c r="AZ420" i="3"/>
  <c r="BL420" i="3"/>
  <c r="G422" i="3"/>
  <c r="G423" i="3"/>
  <c r="BL423" i="3"/>
  <c r="G428" i="3"/>
  <c r="BA428" i="3"/>
  <c r="BA429" i="3"/>
  <c r="BA430" i="3"/>
  <c r="AZ430" i="3"/>
  <c r="BA433" i="3"/>
  <c r="AZ433" i="3"/>
  <c r="BA435" i="3"/>
  <c r="G442" i="3"/>
  <c r="G443" i="3"/>
  <c r="BL447" i="3"/>
  <c r="G450" i="3"/>
  <c r="G459" i="3"/>
  <c r="BA460" i="3"/>
  <c r="AZ460" i="3"/>
  <c r="BA461" i="3"/>
  <c r="G478" i="3"/>
  <c r="BL316" i="3"/>
  <c r="BL340" i="3"/>
  <c r="AZ340" i="3"/>
  <c r="BL346" i="3"/>
  <c r="AZ346" i="3"/>
  <c r="G349" i="3"/>
  <c r="BA384" i="3"/>
  <c r="AZ384" i="3"/>
  <c r="BA392" i="3"/>
  <c r="AZ392" i="3"/>
  <c r="G397" i="3"/>
  <c r="BA212" i="3"/>
  <c r="BL216" i="3"/>
  <c r="BL219" i="3"/>
  <c r="G222" i="3"/>
  <c r="G224" i="3"/>
  <c r="G226" i="3"/>
  <c r="BL227" i="3"/>
  <c r="BL230" i="3"/>
  <c r="G233" i="3"/>
  <c r="BA240" i="3"/>
  <c r="BL240" i="3"/>
  <c r="G244" i="3"/>
  <c r="BL262" i="3"/>
  <c r="BA293" i="3"/>
  <c r="BL181" i="3"/>
  <c r="BL205" i="3"/>
  <c r="AA21" i="33"/>
  <c r="D38" i="71"/>
  <c r="C39" i="71"/>
  <c r="C40" i="71"/>
  <c r="D40" i="71"/>
  <c r="D31" i="71"/>
  <c r="C32" i="71"/>
  <c r="BL267" i="3"/>
  <c r="G269" i="3"/>
  <c r="G271" i="3"/>
  <c r="G281" i="3"/>
  <c r="BL283" i="3"/>
  <c r="AZ283" i="3"/>
  <c r="BL284" i="3"/>
  <c r="G285" i="3"/>
  <c r="BL292" i="3"/>
  <c r="BA298" i="3"/>
  <c r="AZ298" i="3"/>
  <c r="BL127" i="3"/>
  <c r="AZ127" i="3"/>
  <c r="G130" i="3"/>
  <c r="G144" i="3"/>
  <c r="BA146" i="3"/>
  <c r="BL158" i="3"/>
  <c r="G159" i="3"/>
  <c r="BL163" i="3"/>
  <c r="AZ163" i="3"/>
  <c r="BA168" i="3"/>
  <c r="AZ168" i="3"/>
  <c r="G171" i="3"/>
  <c r="G178" i="3"/>
  <c r="BL178" i="3"/>
  <c r="BA180" i="3"/>
  <c r="AZ180" i="3"/>
  <c r="BL182" i="3"/>
  <c r="G183" i="3"/>
  <c r="G187" i="3"/>
  <c r="BL191" i="3"/>
  <c r="AZ191" i="3"/>
  <c r="G192" i="3"/>
  <c r="BA193" i="3"/>
  <c r="G202" i="3"/>
  <c r="G203" i="3"/>
  <c r="BA205" i="3"/>
  <c r="AZ205" i="3"/>
  <c r="G19" i="3"/>
  <c r="BL24" i="3"/>
  <c r="BA25" i="3"/>
  <c r="BA26" i="3"/>
  <c r="G28" i="3"/>
  <c r="BL28" i="3"/>
  <c r="BA29" i="3"/>
  <c r="BA33" i="3"/>
  <c r="G36" i="3"/>
  <c r="G40" i="3"/>
  <c r="G41" i="3"/>
  <c r="BA47" i="3"/>
  <c r="AZ47" i="3"/>
  <c r="BL47" i="3"/>
  <c r="G49" i="3"/>
  <c r="G50" i="3"/>
  <c r="G54" i="3"/>
  <c r="BA62" i="3"/>
  <c r="AZ62" i="3"/>
  <c r="BL62" i="3"/>
  <c r="BL63" i="3"/>
  <c r="BL69" i="3"/>
  <c r="G70" i="3"/>
  <c r="BA77" i="3"/>
  <c r="BL79" i="3"/>
  <c r="BL81" i="3"/>
  <c r="BA82" i="3"/>
  <c r="BA95" i="3"/>
  <c r="G99" i="3"/>
  <c r="BL100" i="3"/>
  <c r="BA102" i="3"/>
  <c r="BA108" i="3"/>
  <c r="G110" i="3"/>
  <c r="AA18" i="35"/>
  <c r="BA149" i="3"/>
  <c r="BA153" i="3"/>
  <c r="BL167" i="3"/>
  <c r="AZ167" i="3"/>
  <c r="BL175" i="3"/>
  <c r="AZ175" i="3"/>
  <c r="BA188" i="3"/>
  <c r="AZ188" i="3"/>
  <c r="BL195" i="3"/>
  <c r="AZ195" i="3"/>
  <c r="BA196" i="3"/>
  <c r="AZ196" i="3"/>
  <c r="BL23" i="3"/>
  <c r="BA40" i="3"/>
  <c r="BL44" i="3"/>
  <c r="BA55" i="3"/>
  <c r="BL57" i="3"/>
  <c r="BA67" i="3"/>
  <c r="AZ67" i="3"/>
  <c r="BL67" i="3"/>
  <c r="BL76" i="3"/>
  <c r="BA92" i="3"/>
  <c r="AZ92" i="3"/>
  <c r="BA94" i="3"/>
  <c r="AZ94" i="3"/>
  <c r="BL94" i="3"/>
  <c r="BL99" i="3"/>
  <c r="BA100" i="3"/>
  <c r="AZ100" i="3"/>
  <c r="Y35" i="71"/>
  <c r="Z35" i="71"/>
  <c r="G251" i="3"/>
  <c r="G255" i="3"/>
  <c r="BA262" i="3"/>
  <c r="AZ262" i="3"/>
  <c r="G265" i="3"/>
  <c r="BA273" i="3"/>
  <c r="BA280" i="3"/>
  <c r="AZ280" i="3"/>
  <c r="G282" i="3"/>
  <c r="BA294" i="3"/>
  <c r="G297" i="3"/>
  <c r="BL123" i="3"/>
  <c r="AZ123" i="3"/>
  <c r="G134" i="3"/>
  <c r="BA148" i="3"/>
  <c r="AZ148" i="3"/>
  <c r="BL154" i="3"/>
  <c r="G155" i="3"/>
  <c r="BA162" i="3"/>
  <c r="BL166" i="3"/>
  <c r="G170" i="3"/>
  <c r="G175" i="3"/>
  <c r="G180" i="3"/>
  <c r="BL186" i="3"/>
  <c r="G198" i="3"/>
  <c r="G204" i="3"/>
  <c r="BA207" i="3"/>
  <c r="AZ207" i="3"/>
  <c r="BA22" i="3"/>
  <c r="BL35" i="3"/>
  <c r="BA36" i="3"/>
  <c r="BL38" i="3"/>
  <c r="BA39" i="3"/>
  <c r="BA43" i="3"/>
  <c r="G46" i="3"/>
  <c r="BL52" i="3"/>
  <c r="AZ52" i="3"/>
  <c r="BA53" i="3"/>
  <c r="BA54" i="3"/>
  <c r="G57" i="3"/>
  <c r="G61" i="3"/>
  <c r="BA65" i="3"/>
  <c r="AZ65" i="3"/>
  <c r="BL65" i="3"/>
  <c r="BL66" i="3"/>
  <c r="BA72" i="3"/>
  <c r="AZ72" i="3"/>
  <c r="BL72" i="3"/>
  <c r="G74" i="3"/>
  <c r="BA75" i="3"/>
  <c r="BL86" i="3"/>
  <c r="G87" i="3"/>
  <c r="G88" i="3"/>
  <c r="BA91" i="3"/>
  <c r="AZ91" i="3"/>
  <c r="BL93" i="3"/>
  <c r="BA98" i="3"/>
  <c r="W29" i="39"/>
  <c r="C29" i="39"/>
  <c r="N68" i="71"/>
  <c r="B63" i="71"/>
  <c r="B64" i="71"/>
  <c r="S64" i="71"/>
  <c r="F75" i="71"/>
  <c r="F74" i="71"/>
  <c r="U17" i="21"/>
  <c r="S17" i="21"/>
  <c r="W44" i="21"/>
  <c r="AB44" i="21"/>
  <c r="S44" i="21"/>
  <c r="AA43" i="21"/>
  <c r="U43" i="21"/>
  <c r="AC40" i="21"/>
  <c r="AB39" i="21"/>
  <c r="W39" i="21"/>
  <c r="AC35" i="21"/>
  <c r="U35" i="21"/>
  <c r="AB34" i="21"/>
  <c r="S39" i="21"/>
  <c r="AC38" i="21"/>
  <c r="AA38" i="21"/>
  <c r="AB36" i="21"/>
  <c r="S35" i="21"/>
  <c r="W9" i="21"/>
  <c r="D93" i="9"/>
  <c r="B41" i="1"/>
  <c r="M18" i="67"/>
  <c r="F30" i="69"/>
  <c r="F48" i="69"/>
  <c r="A4" i="52"/>
  <c r="B41" i="72"/>
  <c r="A2" i="9"/>
  <c r="A118" i="9"/>
  <c r="C7" i="34"/>
  <c r="C59" i="34" s="1"/>
  <c r="C7" i="37"/>
  <c r="C52" i="37" s="1"/>
  <c r="G23" i="43"/>
  <c r="C23" i="43"/>
  <c r="W31" i="34"/>
  <c r="S26" i="33"/>
  <c r="AA26" i="33"/>
  <c r="BA586" i="3"/>
  <c r="AZ586" i="3"/>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S45" i="21" s="1"/>
  <c r="AA40" i="21"/>
  <c r="S40" i="21"/>
  <c r="B101" i="43"/>
  <c r="B79" i="43"/>
  <c r="AA28" i="34"/>
  <c r="S28" i="34"/>
  <c r="H12" i="35"/>
  <c r="J12" i="40"/>
  <c r="F12" i="40"/>
  <c r="BA569" i="3"/>
  <c r="AZ569" i="3"/>
  <c r="BL568" i="3"/>
  <c r="BA568" i="3"/>
  <c r="BA567" i="3"/>
  <c r="BL566" i="3"/>
  <c r="AZ566" i="3"/>
  <c r="AZ14" i="3"/>
  <c r="AZ503" i="3"/>
  <c r="S14" i="34"/>
  <c r="AA14" i="34"/>
  <c r="AA14" i="35"/>
  <c r="S14" i="35"/>
  <c r="BL587" i="3"/>
  <c r="AZ587" i="3"/>
  <c r="J46" i="21"/>
  <c r="W46" i="21"/>
  <c r="H46" i="21"/>
  <c r="W13" i="40"/>
  <c r="AC13" i="40"/>
  <c r="F36" i="39"/>
  <c r="H36" i="39"/>
  <c r="J36" i="39"/>
  <c r="AC36" i="39"/>
  <c r="BA584" i="3"/>
  <c r="AZ584" i="3"/>
  <c r="BL582" i="3"/>
  <c r="BA582" i="3"/>
  <c r="AZ582" i="3"/>
  <c r="BA581" i="3"/>
  <c r="BL580" i="3"/>
  <c r="AZ580" i="3"/>
  <c r="BL579" i="3"/>
  <c r="BA579" i="3"/>
  <c r="AZ579" i="3"/>
  <c r="BA577" i="3"/>
  <c r="BA576" i="3"/>
  <c r="AZ576" i="3"/>
  <c r="BL574" i="3"/>
  <c r="BA574" i="3"/>
  <c r="AZ574" i="3"/>
  <c r="BL572" i="3"/>
  <c r="BA572" i="3"/>
  <c r="BL571" i="3"/>
  <c r="BA571" i="3"/>
  <c r="AZ571" i="3"/>
  <c r="BL570" i="3"/>
  <c r="AZ570" i="3"/>
  <c r="BL554" i="3"/>
  <c r="AZ554" i="3"/>
  <c r="BL552" i="3"/>
  <c r="BA552" i="3"/>
  <c r="AZ552" i="3"/>
  <c r="BL551" i="3"/>
  <c r="BA551" i="3"/>
  <c r="BA550" i="3"/>
  <c r="BA549" i="3"/>
  <c r="AZ549" i="3"/>
  <c r="BL548" i="3"/>
  <c r="BA548" i="3"/>
  <c r="BA547" i="3"/>
  <c r="AZ547" i="3"/>
  <c r="BL546" i="3"/>
  <c r="AZ546" i="3"/>
  <c r="BA545" i="3"/>
  <c r="BL544" i="3"/>
  <c r="AZ544" i="3"/>
  <c r="BL542" i="3"/>
  <c r="BA542" i="3"/>
  <c r="AZ542" i="3"/>
  <c r="BL541" i="3"/>
  <c r="BA541" i="3"/>
  <c r="BL540" i="3"/>
  <c r="AZ540" i="3"/>
  <c r="BA538" i="3"/>
  <c r="AZ538" i="3"/>
  <c r="BL537" i="3"/>
  <c r="BA537" i="3"/>
  <c r="BA536" i="3"/>
  <c r="AZ536" i="3"/>
  <c r="BA535" i="3"/>
  <c r="BA534" i="3"/>
  <c r="AZ534" i="3"/>
  <c r="BL533" i="3"/>
  <c r="AZ533" i="3"/>
  <c r="BA533" i="3"/>
  <c r="BL532" i="3"/>
  <c r="AZ532" i="3"/>
  <c r="BL530" i="3"/>
  <c r="BA530" i="3"/>
  <c r="BL529" i="3"/>
  <c r="AZ529" i="3"/>
  <c r="BL528" i="3"/>
  <c r="BA528" i="3"/>
  <c r="BA527" i="3"/>
  <c r="BL526" i="3"/>
  <c r="BA525" i="3"/>
  <c r="AZ525" i="3"/>
  <c r="BL524" i="3"/>
  <c r="AZ524" i="3"/>
  <c r="BA523" i="3"/>
  <c r="AZ523" i="3"/>
  <c r="BL522" i="3"/>
  <c r="BA522" i="3"/>
  <c r="AZ522" i="3"/>
  <c r="BL521" i="3"/>
  <c r="BA521" i="3"/>
  <c r="BA520" i="3"/>
  <c r="AZ520" i="3"/>
  <c r="BA518" i="3"/>
  <c r="AZ518" i="3"/>
  <c r="BA515" i="3"/>
  <c r="BL514" i="3"/>
  <c r="BA514" i="3"/>
  <c r="BA513" i="3"/>
  <c r="AZ513" i="3"/>
  <c r="BA511" i="3"/>
  <c r="AZ511" i="3"/>
  <c r="BL510" i="3"/>
  <c r="BA510" i="3"/>
  <c r="BA509" i="3"/>
  <c r="AZ509" i="3"/>
  <c r="BL508" i="3"/>
  <c r="AZ508" i="3"/>
  <c r="BL506" i="3"/>
  <c r="AZ506" i="3"/>
  <c r="BA505" i="3"/>
  <c r="AZ505" i="3"/>
  <c r="BL504" i="3"/>
  <c r="BA504" i="3"/>
  <c r="BL502" i="3"/>
  <c r="AZ502" i="3"/>
  <c r="BA502" i="3"/>
  <c r="BA501" i="3"/>
  <c r="AZ501" i="3"/>
  <c r="BT5" i="3"/>
  <c r="BL499" i="3"/>
  <c r="BA499" i="3"/>
  <c r="BL498" i="3"/>
  <c r="AZ498" i="3"/>
  <c r="BL497" i="3"/>
  <c r="BA497" i="3"/>
  <c r="BN5" i="3"/>
  <c r="G29" i="6"/>
  <c r="BE5" i="3"/>
  <c r="BA496" i="3"/>
  <c r="AZ496" i="3"/>
  <c r="BL495" i="3"/>
  <c r="BM5" i="3"/>
  <c r="F29" i="6"/>
  <c r="BA494" i="3"/>
  <c r="AZ494" i="3"/>
  <c r="BD5" i="3"/>
  <c r="H5" i="3"/>
  <c r="BL493" i="3"/>
  <c r="AZ493" i="3"/>
  <c r="W17" i="21"/>
  <c r="AB36" i="33"/>
  <c r="F54" i="9"/>
  <c r="F30" i="68"/>
  <c r="F48" i="68"/>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c r="AA14" i="40"/>
  <c r="S14" i="40"/>
  <c r="U34" i="39"/>
  <c r="AB34" i="39"/>
  <c r="BL585" i="3"/>
  <c r="AZ585" i="3"/>
  <c r="AB33" i="33"/>
  <c r="U33" i="33"/>
  <c r="F9" i="34"/>
  <c r="AA9" i="34"/>
  <c r="H9" i="34"/>
  <c r="F38" i="40"/>
  <c r="J38" i="40"/>
  <c r="AZ391" i="3"/>
  <c r="AZ318" i="3"/>
  <c r="AZ364" i="3"/>
  <c r="AZ329" i="3"/>
  <c r="AZ304" i="3"/>
  <c r="W35" i="40"/>
  <c r="BL515" i="3"/>
  <c r="AZ515" i="3"/>
  <c r="BL527" i="3"/>
  <c r="BL539" i="3"/>
  <c r="AZ539" i="3"/>
  <c r="BL543" i="3"/>
  <c r="BL553" i="3"/>
  <c r="AZ553" i="3"/>
  <c r="AZ557" i="3"/>
  <c r="AZ556" i="3"/>
  <c r="W36" i="34"/>
  <c r="J28" i="34"/>
  <c r="C15" i="39"/>
  <c r="U38" i="21"/>
  <c r="G587" i="3"/>
  <c r="H23" i="36"/>
  <c r="J23" i="36"/>
  <c r="F33" i="36"/>
  <c r="J33" i="36"/>
  <c r="AC33" i="36"/>
  <c r="U27" i="37"/>
  <c r="AB27" i="37"/>
  <c r="AC40" i="39"/>
  <c r="W40" i="39"/>
  <c r="AC8" i="40"/>
  <c r="W8" i="40"/>
  <c r="H38" i="40"/>
  <c r="J37" i="39"/>
  <c r="F37" i="39"/>
  <c r="G566" i="3"/>
  <c r="G558" i="3"/>
  <c r="AZ419" i="3"/>
  <c r="AZ394" i="3"/>
  <c r="BL519" i="3"/>
  <c r="AZ519" i="3"/>
  <c r="BL531" i="3"/>
  <c r="AZ531" i="3"/>
  <c r="BL573" i="3"/>
  <c r="AZ573" i="3"/>
  <c r="BL583" i="3"/>
  <c r="AZ583" i="3"/>
  <c r="J12" i="34"/>
  <c r="F12" i="34"/>
  <c r="S12" i="34"/>
  <c r="J39" i="40"/>
  <c r="H39" i="40"/>
  <c r="C64" i="71"/>
  <c r="D63" i="71"/>
  <c r="Y26" i="71"/>
  <c r="Z26" i="71"/>
  <c r="Y25" i="71"/>
  <c r="Z25" i="71"/>
  <c r="G551" i="3"/>
  <c r="BL550" i="3"/>
  <c r="G542" i="3"/>
  <c r="BL398" i="3"/>
  <c r="G402" i="3"/>
  <c r="BL403" i="3"/>
  <c r="G406" i="3"/>
  <c r="BA408" i="3"/>
  <c r="AZ408" i="3"/>
  <c r="BA409" i="3"/>
  <c r="AZ409" i="3"/>
  <c r="BA411" i="3"/>
  <c r="AZ411" i="3"/>
  <c r="BL414" i="3"/>
  <c r="BL415" i="3"/>
  <c r="BA417" i="3"/>
  <c r="AZ417" i="3"/>
  <c r="BL421" i="3"/>
  <c r="BL422" i="3"/>
  <c r="BA425" i="3"/>
  <c r="AZ425" i="3"/>
  <c r="BA426" i="3"/>
  <c r="BA427" i="3"/>
  <c r="AZ427" i="3"/>
  <c r="BL431" i="3"/>
  <c r="BL434" i="3"/>
  <c r="G437" i="3"/>
  <c r="BL438" i="3"/>
  <c r="BL439" i="3"/>
  <c r="AZ439" i="3"/>
  <c r="BL448" i="3"/>
  <c r="AZ448" i="3"/>
  <c r="G451" i="3"/>
  <c r="BL452" i="3"/>
  <c r="G455" i="3"/>
  <c r="BA458" i="3"/>
  <c r="BA459" i="3"/>
  <c r="G463" i="3"/>
  <c r="BL463" i="3"/>
  <c r="AZ463" i="3"/>
  <c r="G465" i="3"/>
  <c r="BL466" i="3"/>
  <c r="AZ466" i="3"/>
  <c r="G468" i="3"/>
  <c r="G469" i="3"/>
  <c r="BL470" i="3"/>
  <c r="BA480" i="3"/>
  <c r="AZ480" i="3"/>
  <c r="BL487" i="3"/>
  <c r="BL308" i="3"/>
  <c r="AZ308" i="3"/>
  <c r="G387" i="3"/>
  <c r="G215" i="3"/>
  <c r="BA231" i="3"/>
  <c r="BL252" i="3"/>
  <c r="BA275" i="3"/>
  <c r="G295" i="3"/>
  <c r="BA125" i="3"/>
  <c r="BL15" i="3"/>
  <c r="AZ15" i="3"/>
  <c r="BA398" i="3"/>
  <c r="AZ398" i="3"/>
  <c r="BA399" i="3"/>
  <c r="AZ399" i="3"/>
  <c r="BL401" i="3"/>
  <c r="BL404" i="3"/>
  <c r="BL405" i="3"/>
  <c r="BL407" i="3"/>
  <c r="AZ407" i="3"/>
  <c r="BA412" i="3"/>
  <c r="BA414" i="3"/>
  <c r="BA415" i="3"/>
  <c r="AZ415" i="3"/>
  <c r="BA416" i="3"/>
  <c r="AZ416" i="3"/>
  <c r="BA418" i="3"/>
  <c r="AZ418" i="3"/>
  <c r="BA421" i="3"/>
  <c r="BA423" i="3"/>
  <c r="G430" i="3"/>
  <c r="BL440" i="3"/>
  <c r="BL444" i="3"/>
  <c r="AZ444" i="3"/>
  <c r="G447" i="3"/>
  <c r="BL449" i="3"/>
  <c r="BL450" i="3"/>
  <c r="BA456" i="3"/>
  <c r="AZ456" i="3"/>
  <c r="BL457" i="3"/>
  <c r="BA462" i="3"/>
  <c r="AZ462" i="3"/>
  <c r="BL467" i="3"/>
  <c r="BL468" i="3"/>
  <c r="AZ468" i="3"/>
  <c r="BA473" i="3"/>
  <c r="AZ473" i="3"/>
  <c r="BL16" i="3"/>
  <c r="AZ16" i="3"/>
  <c r="BA401" i="3"/>
  <c r="AZ401" i="3"/>
  <c r="BA403" i="3"/>
  <c r="BA404" i="3"/>
  <c r="BA405" i="3"/>
  <c r="G409" i="3"/>
  <c r="BL410" i="3"/>
  <c r="G412" i="3"/>
  <c r="G418" i="3"/>
  <c r="G419" i="3"/>
  <c r="BA422" i="3"/>
  <c r="BA431" i="3"/>
  <c r="BA432" i="3"/>
  <c r="BA434" i="3"/>
  <c r="AZ434" i="3"/>
  <c r="BA436" i="3"/>
  <c r="BA438" i="3"/>
  <c r="BL441" i="3"/>
  <c r="AZ441" i="3"/>
  <c r="BL442" i="3"/>
  <c r="AZ442" i="3"/>
  <c r="BL445" i="3"/>
  <c r="BL446" i="3"/>
  <c r="BA452" i="3"/>
  <c r="AZ452" i="3"/>
  <c r="BA453" i="3"/>
  <c r="BA455" i="3"/>
  <c r="AZ455" i="3"/>
  <c r="BA457" i="3"/>
  <c r="G460" i="3"/>
  <c r="BL460" i="3"/>
  <c r="BL461" i="3"/>
  <c r="AZ461" i="3"/>
  <c r="BA464" i="3"/>
  <c r="AZ464" i="3"/>
  <c r="BA470" i="3"/>
  <c r="AZ470" i="3"/>
  <c r="BA471" i="3"/>
  <c r="BL476" i="3"/>
  <c r="AZ476" i="3"/>
  <c r="BL477" i="3"/>
  <c r="BL478" i="3"/>
  <c r="G479" i="3"/>
  <c r="G480" i="3"/>
  <c r="G485" i="3"/>
  <c r="AZ487" i="3"/>
  <c r="BL350" i="3"/>
  <c r="G213" i="3"/>
  <c r="G217" i="3"/>
  <c r="BA235" i="3"/>
  <c r="BL254" i="3"/>
  <c r="BL272" i="3"/>
  <c r="BA301" i="3"/>
  <c r="AZ301" i="3"/>
  <c r="BL122" i="3"/>
  <c r="G128" i="3"/>
  <c r="BL146" i="3"/>
  <c r="AZ146" i="3"/>
  <c r="BA482" i="3"/>
  <c r="BA484" i="3"/>
  <c r="AZ484" i="3"/>
  <c r="BA303" i="3"/>
  <c r="AZ303" i="3"/>
  <c r="BA307" i="3"/>
  <c r="AZ307" i="3"/>
  <c r="BL314" i="3"/>
  <c r="AZ314" i="3"/>
  <c r="BA332" i="3"/>
  <c r="BL332" i="3"/>
  <c r="BA367" i="3"/>
  <c r="BA370" i="3"/>
  <c r="AZ370" i="3"/>
  <c r="BA386" i="3"/>
  <c r="BA216" i="3"/>
  <c r="AZ216" i="3"/>
  <c r="BA218" i="3"/>
  <c r="BL218" i="3"/>
  <c r="BL220" i="3"/>
  <c r="BL221" i="3"/>
  <c r="BL223" i="3"/>
  <c r="BA227" i="3"/>
  <c r="BA229" i="3"/>
  <c r="BL229" i="3"/>
  <c r="BL231" i="3"/>
  <c r="BL233" i="3"/>
  <c r="AZ233" i="3"/>
  <c r="BL235" i="3"/>
  <c r="BL236" i="3"/>
  <c r="BL238" i="3"/>
  <c r="BL243" i="3"/>
  <c r="BA247" i="3"/>
  <c r="BL247" i="3"/>
  <c r="BA249" i="3"/>
  <c r="BL249" i="3"/>
  <c r="BA251" i="3"/>
  <c r="BL251" i="3"/>
  <c r="BA253" i="3"/>
  <c r="BL260" i="3"/>
  <c r="BL263" i="3"/>
  <c r="BL270" i="3"/>
  <c r="AZ270" i="3"/>
  <c r="BA272" i="3"/>
  <c r="BL275" i="3"/>
  <c r="BL285" i="3"/>
  <c r="BL287" i="3"/>
  <c r="BA290" i="3"/>
  <c r="BL299" i="3"/>
  <c r="BL113" i="3"/>
  <c r="BL115" i="3"/>
  <c r="AZ115" i="3"/>
  <c r="BA118" i="3"/>
  <c r="BL118" i="3"/>
  <c r="BA122" i="3"/>
  <c r="AZ122" i="3"/>
  <c r="BL125" i="3"/>
  <c r="BL126" i="3"/>
  <c r="BA144" i="3"/>
  <c r="AZ144" i="3"/>
  <c r="T32" i="71"/>
  <c r="D32" i="71"/>
  <c r="X33" i="71"/>
  <c r="X34" i="71"/>
  <c r="X26" i="71"/>
  <c r="X36" i="71"/>
  <c r="X35" i="71"/>
  <c r="AB37" i="71"/>
  <c r="AB35" i="71"/>
  <c r="F38" i="71"/>
  <c r="F39" i="71"/>
  <c r="F40" i="71"/>
  <c r="V40" i="71"/>
  <c r="AB32" i="71"/>
  <c r="AB27" i="71"/>
  <c r="C47" i="71"/>
  <c r="D47" i="71"/>
  <c r="D46" i="71"/>
  <c r="BL424" i="3"/>
  <c r="G426" i="3"/>
  <c r="G427" i="3"/>
  <c r="BL428" i="3"/>
  <c r="AZ428" i="3"/>
  <c r="BL429" i="3"/>
  <c r="AZ429" i="3"/>
  <c r="BL432" i="3"/>
  <c r="BL435" i="3"/>
  <c r="AZ435" i="3"/>
  <c r="BL436" i="3"/>
  <c r="AZ436" i="3"/>
  <c r="BA439" i="3"/>
  <c r="BA440" i="3"/>
  <c r="BA442" i="3"/>
  <c r="BA445" i="3"/>
  <c r="AZ445" i="3"/>
  <c r="BA447" i="3"/>
  <c r="AZ447" i="3"/>
  <c r="BA449" i="3"/>
  <c r="BL453" i="3"/>
  <c r="BL454" i="3"/>
  <c r="AZ454" i="3"/>
  <c r="G458" i="3"/>
  <c r="BL459" i="3"/>
  <c r="G461" i="3"/>
  <c r="G462" i="3"/>
  <c r="BA465" i="3"/>
  <c r="BA467" i="3"/>
  <c r="BA468" i="3"/>
  <c r="BL471" i="3"/>
  <c r="BL475" i="3"/>
  <c r="BA477" i="3"/>
  <c r="BA478" i="3"/>
  <c r="BA481" i="3"/>
  <c r="G484" i="3"/>
  <c r="BA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BL241" i="3"/>
  <c r="BA244" i="3"/>
  <c r="BL244" i="3"/>
  <c r="BA246" i="3"/>
  <c r="BA252" i="3"/>
  <c r="AZ252" i="3"/>
  <c r="BA254" i="3"/>
  <c r="BA256" i="3"/>
  <c r="BL256" i="3"/>
  <c r="BA258" i="3"/>
  <c r="AZ258" i="3"/>
  <c r="BL264" i="3"/>
  <c r="BL266" i="3"/>
  <c r="BA268" i="3"/>
  <c r="BL273" i="3"/>
  <c r="AZ273" i="3"/>
  <c r="G274" i="3"/>
  <c r="BA277" i="3"/>
  <c r="BL277" i="3"/>
  <c r="BA282" i="3"/>
  <c r="AZ282" i="3"/>
  <c r="BL282" i="3"/>
  <c r="BA284" i="3"/>
  <c r="BL290" i="3"/>
  <c r="BL291" i="3"/>
  <c r="AZ291" i="3"/>
  <c r="BL293" i="3"/>
  <c r="BL294" i="3"/>
  <c r="AZ294" i="3"/>
  <c r="BA297" i="3"/>
  <c r="BL297" i="3"/>
  <c r="BL300" i="3"/>
  <c r="BA302" i="3"/>
  <c r="AZ302" i="3"/>
  <c r="G115" i="3"/>
  <c r="BA117" i="3"/>
  <c r="BA130" i="3"/>
  <c r="BL130" i="3"/>
  <c r="BA137" i="3"/>
  <c r="AZ137" i="3"/>
  <c r="BL138" i="3"/>
  <c r="BA140" i="3"/>
  <c r="AZ140" i="3"/>
  <c r="BA142" i="3"/>
  <c r="G150" i="3"/>
  <c r="BA189" i="3"/>
  <c r="B13" i="1"/>
  <c r="E13" i="1"/>
  <c r="K13" i="1"/>
  <c r="M13" i="1" s="1"/>
  <c r="O13" i="1"/>
  <c r="P13" i="1"/>
  <c r="C51" i="71"/>
  <c r="G486" i="3"/>
  <c r="G488" i="3"/>
  <c r="BL317" i="3"/>
  <c r="G318" i="3"/>
  <c r="BA349" i="3"/>
  <c r="AZ349" i="3"/>
  <c r="BA353" i="3"/>
  <c r="BL353" i="3"/>
  <c r="BA358" i="3"/>
  <c r="AZ358" i="3"/>
  <c r="G362" i="3"/>
  <c r="BL365" i="3"/>
  <c r="AZ365" i="3"/>
  <c r="G366" i="3"/>
  <c r="BA368" i="3"/>
  <c r="AZ368" i="3"/>
  <c r="BL368" i="3"/>
  <c r="BA374" i="3"/>
  <c r="AZ374" i="3"/>
  <c r="BA388" i="3"/>
  <c r="AZ388" i="3"/>
  <c r="BA396" i="3"/>
  <c r="BA209" i="3"/>
  <c r="BL217" i="3"/>
  <c r="AZ217" i="3"/>
  <c r="BA219" i="3"/>
  <c r="BA221" i="3"/>
  <c r="AZ221" i="3"/>
  <c r="BA223" i="3"/>
  <c r="BL228" i="3"/>
  <c r="BA230" i="3"/>
  <c r="AZ230" i="3"/>
  <c r="BL232" i="3"/>
  <c r="BL234" i="3"/>
  <c r="BA236" i="3"/>
  <c r="BA238" i="3"/>
  <c r="BA243" i="3"/>
  <c r="BL248" i="3"/>
  <c r="AZ248" i="3"/>
  <c r="G250" i="3"/>
  <c r="BL250" i="3"/>
  <c r="AZ250" i="3"/>
  <c r="G252" i="3"/>
  <c r="G254" i="3"/>
  <c r="BA259" i="3"/>
  <c r="BL261" i="3"/>
  <c r="BA263" i="3"/>
  <c r="AZ263" i="3"/>
  <c r="BA267" i="3"/>
  <c r="AZ267" i="3"/>
  <c r="BA269" i="3"/>
  <c r="BA271" i="3"/>
  <c r="BL271" i="3"/>
  <c r="BA274" i="3"/>
  <c r="BL274" i="3"/>
  <c r="BA276" i="3"/>
  <c r="BA279" i="3"/>
  <c r="BA281" i="3"/>
  <c r="G286" i="3"/>
  <c r="BL286" i="3"/>
  <c r="AZ286" i="3"/>
  <c r="G289" i="3"/>
  <c r="G290" i="3"/>
  <c r="BA296" i="3"/>
  <c r="BA116" i="3"/>
  <c r="AZ116" i="3"/>
  <c r="BA121" i="3"/>
  <c r="AZ121" i="3"/>
  <c r="BL121" i="3"/>
  <c r="BA124" i="3"/>
  <c r="AZ124" i="3"/>
  <c r="BA126" i="3"/>
  <c r="BA129" i="3"/>
  <c r="BL133" i="3"/>
  <c r="AZ133" i="3"/>
  <c r="BL139" i="3"/>
  <c r="AZ139" i="3"/>
  <c r="G140" i="3"/>
  <c r="BL141" i="3"/>
  <c r="BL143" i="3"/>
  <c r="AZ143" i="3"/>
  <c r="G146" i="3"/>
  <c r="G147" i="3"/>
  <c r="BA150" i="3"/>
  <c r="G163" i="3"/>
  <c r="G32" i="3"/>
  <c r="U21" i="33"/>
  <c r="AB21" i="33"/>
  <c r="C55" i="71"/>
  <c r="D54" i="71"/>
  <c r="BL155" i="3"/>
  <c r="AZ155" i="3"/>
  <c r="BA164" i="3"/>
  <c r="AZ164" i="3"/>
  <c r="BA166" i="3"/>
  <c r="AZ166" i="3"/>
  <c r="BA169" i="3"/>
  <c r="AZ169" i="3"/>
  <c r="BL171" i="3"/>
  <c r="AZ171" i="3"/>
  <c r="BA176" i="3"/>
  <c r="AZ176" i="3"/>
  <c r="BA178" i="3"/>
  <c r="AZ178" i="3"/>
  <c r="BA184" i="3"/>
  <c r="AZ184" i="3"/>
  <c r="BL187" i="3"/>
  <c r="AZ187" i="3"/>
  <c r="BL189" i="3"/>
  <c r="BL190" i="3"/>
  <c r="BA192" i="3"/>
  <c r="AZ192" i="3"/>
  <c r="BL197" i="3"/>
  <c r="BL199" i="3"/>
  <c r="AZ199" i="3"/>
  <c r="BA200" i="3"/>
  <c r="AZ200" i="3"/>
  <c r="BA202" i="3"/>
  <c r="BL207" i="3"/>
  <c r="BL18" i="3"/>
  <c r="BL19" i="3"/>
  <c r="BA20" i="3"/>
  <c r="AZ20" i="3"/>
  <c r="BL25" i="3"/>
  <c r="AZ25" i="3"/>
  <c r="BL27" i="3"/>
  <c r="BA28" i="3"/>
  <c r="AZ28" i="3"/>
  <c r="BA31" i="3"/>
  <c r="BA32" i="3"/>
  <c r="G38" i="3"/>
  <c r="BA38" i="3"/>
  <c r="BA41" i="3"/>
  <c r="BA42" i="3"/>
  <c r="G47" i="3"/>
  <c r="BL48" i="3"/>
  <c r="BL54" i="3"/>
  <c r="AZ54" i="3"/>
  <c r="BL55" i="3"/>
  <c r="AZ55" i="3"/>
  <c r="G58" i="3"/>
  <c r="BA59" i="3"/>
  <c r="BL61" i="3"/>
  <c r="G64" i="3"/>
  <c r="BA64" i="3"/>
  <c r="G67" i="3"/>
  <c r="BL68" i="3"/>
  <c r="BA69" i="3"/>
  <c r="G72" i="3"/>
  <c r="BL73" i="3"/>
  <c r="BA74" i="3"/>
  <c r="BA87" i="3"/>
  <c r="BA89" i="3"/>
  <c r="BL101" i="3"/>
  <c r="BL102" i="3"/>
  <c r="AZ102" i="3"/>
  <c r="G105" i="3"/>
  <c r="BL106" i="3"/>
  <c r="BL111" i="3"/>
  <c r="W21" i="37"/>
  <c r="AC21" i="37"/>
  <c r="AB21" i="34"/>
  <c r="U21" i="34"/>
  <c r="AB25" i="71"/>
  <c r="AB28" i="71"/>
  <c r="AB26" i="71"/>
  <c r="Y30" i="71"/>
  <c r="Z30" i="71"/>
  <c r="C34" i="71"/>
  <c r="Y28" i="71"/>
  <c r="Z28" i="71"/>
  <c r="C23" i="71"/>
  <c r="B22" i="71"/>
  <c r="B21" i="71"/>
  <c r="B20" i="71"/>
  <c r="AA3" i="71"/>
  <c r="BL149" i="3"/>
  <c r="AZ149" i="3"/>
  <c r="BL150" i="3"/>
  <c r="G151" i="3"/>
  <c r="BA152" i="3"/>
  <c r="AZ152" i="3"/>
  <c r="BA154" i="3"/>
  <c r="AZ154" i="3"/>
  <c r="BA160" i="3"/>
  <c r="AZ160" i="3"/>
  <c r="G162" i="3"/>
  <c r="BL162" i="3"/>
  <c r="BL165" i="3"/>
  <c r="BL170" i="3"/>
  <c r="BA173" i="3"/>
  <c r="AZ173" i="3"/>
  <c r="BA174" i="3"/>
  <c r="BL179" i="3"/>
  <c r="AZ179" i="3"/>
  <c r="BA181" i="3"/>
  <c r="BA182" i="3"/>
  <c r="AZ182" i="3"/>
  <c r="BL185" i="3"/>
  <c r="BL193" i="3"/>
  <c r="AZ193" i="3"/>
  <c r="G194" i="3"/>
  <c r="BL194" i="3"/>
  <c r="AZ194" i="3"/>
  <c r="BA198" i="3"/>
  <c r="G199" i="3"/>
  <c r="G205" i="3"/>
  <c r="BL206" i="3"/>
  <c r="BA19" i="3"/>
  <c r="G22" i="3"/>
  <c r="G24" i="3"/>
  <c r="G25" i="3"/>
  <c r="G27" i="3"/>
  <c r="BA27" i="3"/>
  <c r="G30" i="3"/>
  <c r="BL30" i="3"/>
  <c r="BL31" i="3"/>
  <c r="G37" i="3"/>
  <c r="BL40" i="3"/>
  <c r="AZ40" i="3"/>
  <c r="BL41" i="3"/>
  <c r="BL45" i="3"/>
  <c r="BA48" i="3"/>
  <c r="BA49" i="3"/>
  <c r="BA51" i="3"/>
  <c r="G55" i="3"/>
  <c r="BL56" i="3"/>
  <c r="BA58" i="3"/>
  <c r="BL59" i="3"/>
  <c r="BL60" i="3"/>
  <c r="BA61" i="3"/>
  <c r="BA68" i="3"/>
  <c r="BA73" i="3"/>
  <c r="G78" i="3"/>
  <c r="G79" i="3"/>
  <c r="G81" i="3"/>
  <c r="G85" i="3"/>
  <c r="BL85" i="3"/>
  <c r="BA86" i="3"/>
  <c r="BL97" i="3"/>
  <c r="AZ97" i="3"/>
  <c r="G103" i="3"/>
  <c r="BA103" i="3"/>
  <c r="AZ103" i="3"/>
  <c r="BA104" i="3"/>
  <c r="BA106" i="3"/>
  <c r="BL108" i="3"/>
  <c r="AZ108" i="3"/>
  <c r="W21" i="21"/>
  <c r="T44" i="71"/>
  <c r="F28" i="71"/>
  <c r="F27" i="71"/>
  <c r="F26" i="71"/>
  <c r="T40" i="71"/>
  <c r="E39" i="71"/>
  <c r="E40" i="71"/>
  <c r="U40" i="71"/>
  <c r="E59" i="71"/>
  <c r="E60" i="71"/>
  <c r="U60" i="71"/>
  <c r="T76" i="71"/>
  <c r="D76" i="71"/>
  <c r="C75" i="71"/>
  <c r="G154" i="3"/>
  <c r="G156" i="3"/>
  <c r="BL157" i="3"/>
  <c r="AZ157" i="3"/>
  <c r="BL159" i="3"/>
  <c r="AZ159" i="3"/>
  <c r="G160" i="3"/>
  <c r="BL177" i="3"/>
  <c r="AZ177" i="3"/>
  <c r="G179" i="3"/>
  <c r="BL183" i="3"/>
  <c r="AZ183" i="3"/>
  <c r="BA186" i="3"/>
  <c r="AZ186" i="3"/>
  <c r="BA190" i="3"/>
  <c r="G196" i="3"/>
  <c r="BA197" i="3"/>
  <c r="AZ197" i="3"/>
  <c r="BL201" i="3"/>
  <c r="AZ201" i="3"/>
  <c r="BL203" i="3"/>
  <c r="AZ203" i="3"/>
  <c r="BA204" i="3"/>
  <c r="AZ204" i="3"/>
  <c r="BA18" i="3"/>
  <c r="G21" i="3"/>
  <c r="BL21" i="3"/>
  <c r="AZ21" i="3"/>
  <c r="G29" i="3"/>
  <c r="BL29" i="3"/>
  <c r="AZ29" i="3"/>
  <c r="G33" i="3"/>
  <c r="G34" i="3"/>
  <c r="BA37" i="3"/>
  <c r="G39" i="3"/>
  <c r="BL39" i="3"/>
  <c r="AZ39" i="3"/>
  <c r="G43" i="3"/>
  <c r="G44" i="3"/>
  <c r="BA45" i="3"/>
  <c r="BA46" i="3"/>
  <c r="BL49" i="3"/>
  <c r="BL50" i="3"/>
  <c r="AZ50" i="3"/>
  <c r="BL51" i="3"/>
  <c r="G53" i="3"/>
  <c r="BL53" i="3"/>
  <c r="AZ53" i="3"/>
  <c r="BA56" i="3"/>
  <c r="BA57" i="3"/>
  <c r="BL58" i="3"/>
  <c r="G60" i="3"/>
  <c r="BA60" i="3"/>
  <c r="AZ60" i="3"/>
  <c r="BA63" i="3"/>
  <c r="AZ63" i="3"/>
  <c r="BA66" i="3"/>
  <c r="AZ66" i="3"/>
  <c r="BL74" i="3"/>
  <c r="G75" i="3"/>
  <c r="BL75" i="3"/>
  <c r="AZ75" i="3"/>
  <c r="BA80" i="3"/>
  <c r="BL84" i="3"/>
  <c r="G89" i="3"/>
  <c r="BA90" i="3"/>
  <c r="BA109" i="3"/>
  <c r="F3" i="35"/>
  <c r="C86" i="71"/>
  <c r="D86" i="71"/>
  <c r="D87" i="71"/>
  <c r="Y29" i="71"/>
  <c r="Z29" i="71"/>
  <c r="B35" i="71"/>
  <c r="B36" i="71"/>
  <c r="S36" i="71"/>
  <c r="B27" i="71"/>
  <c r="B26" i="71"/>
  <c r="S28" i="71"/>
  <c r="AB34" i="71"/>
  <c r="AA38" i="71"/>
  <c r="AA37" i="71"/>
  <c r="AA27" i="71"/>
  <c r="C67" i="71"/>
  <c r="T68" i="71"/>
  <c r="O68" i="71"/>
  <c r="S80" i="71"/>
  <c r="B79" i="71"/>
  <c r="B78" i="71"/>
  <c r="X25" i="71"/>
  <c r="V24" i="71"/>
  <c r="E23" i="71"/>
  <c r="E22" i="71"/>
  <c r="E21" i="71"/>
  <c r="E20" i="71"/>
  <c r="V20" i="71"/>
  <c r="X28" i="71"/>
  <c r="X32" i="71"/>
  <c r="BA71" i="3"/>
  <c r="AZ71" i="3"/>
  <c r="G76" i="3"/>
  <c r="BL77" i="3"/>
  <c r="AZ77" i="3"/>
  <c r="BA79" i="3"/>
  <c r="AZ79" i="3"/>
  <c r="G82" i="3"/>
  <c r="G83" i="3"/>
  <c r="BA84" i="3"/>
  <c r="BL88" i="3"/>
  <c r="AZ88" i="3"/>
  <c r="G90" i="3"/>
  <c r="BL90" i="3"/>
  <c r="BL92" i="3"/>
  <c r="G101" i="3"/>
  <c r="BA101" i="3"/>
  <c r="G108" i="3"/>
  <c r="G109" i="3"/>
  <c r="BL112" i="3"/>
  <c r="W18" i="35"/>
  <c r="U25" i="40"/>
  <c r="S21" i="34"/>
  <c r="B68" i="43"/>
  <c r="B88" i="43"/>
  <c r="C27" i="71"/>
  <c r="D62" i="71"/>
  <c r="U68" i="71"/>
  <c r="D30" i="71"/>
  <c r="X31" i="71"/>
  <c r="F35" i="71"/>
  <c r="F36" i="71"/>
  <c r="V36" i="71"/>
  <c r="AA34" i="71"/>
  <c r="B51" i="71"/>
  <c r="B52" i="71"/>
  <c r="S52" i="71"/>
  <c r="BL107" i="3"/>
  <c r="BA111" i="3"/>
  <c r="AZ111" i="3"/>
  <c r="W18" i="36"/>
  <c r="B57" i="43"/>
  <c r="D28" i="71"/>
  <c r="U28" i="71"/>
  <c r="Q67" i="71"/>
  <c r="AB33" i="71"/>
  <c r="AA30" i="71"/>
  <c r="F31" i="71"/>
  <c r="F32" i="71"/>
  <c r="V32" i="71"/>
  <c r="AB31" i="71"/>
  <c r="AB36" i="71"/>
  <c r="AA36" i="71"/>
  <c r="Y38" i="71"/>
  <c r="Z38" i="71"/>
  <c r="B47" i="71"/>
  <c r="B48" i="71"/>
  <c r="S48" i="71"/>
  <c r="E47" i="71"/>
  <c r="E48" i="71"/>
  <c r="U48" i="71"/>
  <c r="B55" i="71"/>
  <c r="B56" i="71"/>
  <c r="S56" i="71"/>
  <c r="F71" i="71"/>
  <c r="F70" i="71"/>
  <c r="S23" i="33"/>
  <c r="AA23" i="33"/>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c r="D16" i="53"/>
  <c r="B34" i="72"/>
  <c r="BL507" i="3"/>
  <c r="AZ507" i="3"/>
  <c r="BQ5" i="3"/>
  <c r="F28" i="6"/>
  <c r="F30" i="6"/>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c r="G31" i="6"/>
  <c r="W36" i="39"/>
  <c r="U23" i="40"/>
  <c r="AA39" i="37"/>
  <c r="AC16" i="36"/>
  <c r="AB12" i="33"/>
  <c r="C27" i="39"/>
  <c r="U40" i="40"/>
  <c r="AC9" i="40"/>
  <c r="W36" i="35"/>
  <c r="J12" i="21"/>
  <c r="B73" i="43"/>
  <c r="B76" i="43"/>
  <c r="F9" i="36"/>
  <c r="J40" i="40"/>
  <c r="G562" i="3"/>
  <c r="AZ385" i="3"/>
  <c r="AZ212" i="3"/>
  <c r="AZ220" i="3"/>
  <c r="AZ231" i="3"/>
  <c r="AZ255" i="3"/>
  <c r="AZ293" i="3"/>
  <c r="BA472" i="3"/>
  <c r="AZ472" i="3"/>
  <c r="G476" i="3"/>
  <c r="AZ477" i="3"/>
  <c r="AZ478" i="3"/>
  <c r="BA479" i="3"/>
  <c r="AZ479" i="3"/>
  <c r="BA490" i="3"/>
  <c r="AZ490" i="3"/>
  <c r="BL312" i="3"/>
  <c r="AZ312" i="3"/>
  <c r="G313" i="3"/>
  <c r="BA316" i="3"/>
  <c r="AZ316" i="3"/>
  <c r="BA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AZ260" i="3"/>
  <c r="BL268" i="3"/>
  <c r="AZ268" i="3"/>
  <c r="G278" i="3"/>
  <c r="BA474" i="3"/>
  <c r="BA475" i="3"/>
  <c r="AZ475" i="3"/>
  <c r="BL481" i="3"/>
  <c r="BL482" i="3"/>
  <c r="G483" i="3"/>
  <c r="BL485" i="3"/>
  <c r="AZ485" i="3"/>
  <c r="BL486" i="3"/>
  <c r="AZ486" i="3"/>
  <c r="G487" i="3"/>
  <c r="BA492" i="3"/>
  <c r="AZ492" i="3"/>
  <c r="BL363" i="3"/>
  <c r="AZ363" i="3"/>
  <c r="G369" i="3"/>
  <c r="BL393" i="3"/>
  <c r="AZ393" i="3"/>
  <c r="BL396" i="3"/>
  <c r="BL209" i="3"/>
  <c r="AZ209" i="3"/>
  <c r="AZ226" i="3"/>
  <c r="G240" i="3"/>
  <c r="G242" i="3"/>
  <c r="G245" i="3"/>
  <c r="BL246" i="3"/>
  <c r="AZ246" i="3"/>
  <c r="BL253" i="3"/>
  <c r="AZ253" i="3"/>
  <c r="BA261" i="3"/>
  <c r="AZ261" i="3"/>
  <c r="BA264" i="3"/>
  <c r="AZ264" i="3"/>
  <c r="BA266" i="3"/>
  <c r="AZ266" i="3"/>
  <c r="G272" i="3"/>
  <c r="G275" i="3"/>
  <c r="BL276" i="3"/>
  <c r="AZ276" i="3"/>
  <c r="BL279" i="3"/>
  <c r="BL281" i="3"/>
  <c r="AZ281" i="3"/>
  <c r="BA285" i="3"/>
  <c r="AZ285" i="3"/>
  <c r="BA287" i="3"/>
  <c r="AZ287" i="3"/>
  <c r="AZ290" i="3"/>
  <c r="AZ134" i="3"/>
  <c r="BA289" i="3"/>
  <c r="AZ289" i="3"/>
  <c r="G293" i="3"/>
  <c r="G296" i="3"/>
  <c r="BL296" i="3"/>
  <c r="AZ296" i="3"/>
  <c r="G301" i="3"/>
  <c r="G114" i="3"/>
  <c r="BL114" i="3"/>
  <c r="BL117" i="3"/>
  <c r="G118" i="3"/>
  <c r="BL119" i="3"/>
  <c r="AZ119" i="3"/>
  <c r="G120" i="3"/>
  <c r="G124" i="3"/>
  <c r="BL129" i="3"/>
  <c r="BL131" i="3"/>
  <c r="AZ131" i="3"/>
  <c r="G132" i="3"/>
  <c r="G139" i="3"/>
  <c r="G142" i="3"/>
  <c r="BL142" i="3"/>
  <c r="AZ142" i="3"/>
  <c r="BL153" i="3"/>
  <c r="AZ153" i="3"/>
  <c r="BA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BL145" i="3"/>
  <c r="BL147" i="3"/>
  <c r="AZ147" i="3"/>
  <c r="G148" i="3"/>
  <c r="BL151" i="3"/>
  <c r="AZ151" i="3"/>
  <c r="BA165" i="3"/>
  <c r="AZ165" i="3"/>
  <c r="G168" i="3"/>
  <c r="BA170" i="3"/>
  <c r="BL174" i="3"/>
  <c r="AZ174" i="3"/>
  <c r="AZ185" i="3"/>
  <c r="BL202" i="3"/>
  <c r="AZ202" i="3"/>
  <c r="BL36" i="3"/>
  <c r="AZ36" i="3"/>
  <c r="AZ106" i="3"/>
  <c r="G200" i="3"/>
  <c r="G207" i="3"/>
  <c r="BA23" i="3"/>
  <c r="BA24" i="3"/>
  <c r="AZ24" i="3"/>
  <c r="BL26" i="3"/>
  <c r="AZ26" i="3"/>
  <c r="BL32" i="3"/>
  <c r="AZ32" i="3"/>
  <c r="BA34" i="3"/>
  <c r="AZ34" i="3"/>
  <c r="BA35" i="3"/>
  <c r="AZ35" i="3"/>
  <c r="BL37" i="3"/>
  <c r="BL42" i="3"/>
  <c r="AZ42" i="3"/>
  <c r="BA44" i="3"/>
  <c r="AZ44" i="3"/>
  <c r="BA206" i="3"/>
  <c r="AZ206" i="3"/>
  <c r="BL22" i="3"/>
  <c r="AZ22" i="3"/>
  <c r="BL33" i="3"/>
  <c r="BL43" i="3"/>
  <c r="AZ43" i="3"/>
  <c r="BL46" i="3"/>
  <c r="AZ46" i="3"/>
  <c r="AZ90" i="3"/>
  <c r="BL78" i="3"/>
  <c r="AZ78" i="3"/>
  <c r="BA83" i="3"/>
  <c r="G91" i="3"/>
  <c r="BL95" i="3"/>
  <c r="AZ95" i="3"/>
  <c r="BL98" i="3"/>
  <c r="AZ98" i="3"/>
  <c r="BL109" i="3"/>
  <c r="AB21" i="21"/>
  <c r="G77" i="3"/>
  <c r="BA81" i="3"/>
  <c r="BA85" i="3"/>
  <c r="AZ85" i="3"/>
  <c r="BL89" i="3"/>
  <c r="AZ89" i="3"/>
  <c r="G94" i="3"/>
  <c r="G97" i="3"/>
  <c r="G100" i="3"/>
  <c r="BA107" i="3"/>
  <c r="AZ107" i="3"/>
  <c r="BA112" i="3"/>
  <c r="AC21" i="34"/>
  <c r="E27" i="71"/>
  <c r="E26" i="71"/>
  <c r="V28" i="71"/>
  <c r="BA76" i="3"/>
  <c r="AZ76" i="3"/>
  <c r="BL80" i="3"/>
  <c r="BL87" i="3"/>
  <c r="AZ87" i="3"/>
  <c r="BA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s="1"/>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G3" i="43"/>
  <c r="J26" i="43"/>
  <c r="E29" i="6"/>
  <c r="K15" i="1"/>
  <c r="E28" i="6"/>
  <c r="O6" i="1"/>
  <c r="T13" i="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21" i="69"/>
  <c r="J84" i="43"/>
  <c r="J85" i="43"/>
  <c r="J86" i="43"/>
  <c r="J87" i="43"/>
  <c r="J88" i="43"/>
  <c r="J89" i="43"/>
  <c r="J90" i="43"/>
  <c r="D83" i="43"/>
  <c r="E83" i="43"/>
  <c r="B81" i="43"/>
  <c r="D66" i="43"/>
  <c r="D64" i="43"/>
  <c r="D62" i="43"/>
  <c r="D67" i="43"/>
  <c r="D65" i="43"/>
  <c r="D63" i="43"/>
  <c r="D69" i="43"/>
  <c r="D73" i="43"/>
  <c r="D75" i="43"/>
  <c r="D79" i="43"/>
  <c r="D22" i="67"/>
  <c r="P11" i="1"/>
  <c r="K14" i="1"/>
  <c r="O9" i="1"/>
  <c r="P9" i="1"/>
  <c r="O12" i="1"/>
  <c r="P12" i="1"/>
  <c r="O8" i="1"/>
  <c r="P8" i="1"/>
  <c r="H73" i="43"/>
  <c r="H90" i="43"/>
  <c r="I18" i="43"/>
  <c r="E17" i="43"/>
  <c r="C17" i="43"/>
  <c r="H55" i="43"/>
  <c r="H86" i="43"/>
  <c r="H87" i="43"/>
  <c r="H89" i="43"/>
  <c r="H88" i="43"/>
  <c r="H84" i="43"/>
  <c r="T35" i="4"/>
  <c r="A19" i="51"/>
  <c r="B14" i="72"/>
  <c r="H110" i="9"/>
  <c r="D18" i="53"/>
  <c r="B35" i="72" s="1"/>
  <c r="H52" i="43"/>
  <c r="K5" i="4"/>
  <c r="B47" i="48" s="1"/>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AC34" i="21"/>
  <c r="AC37" i="21"/>
  <c r="W36" i="21"/>
  <c r="AA36" i="21"/>
  <c r="U31" i="40"/>
  <c r="AB31" i="40"/>
  <c r="AZ93" i="3"/>
  <c r="AZ145" i="3"/>
  <c r="AZ158" i="3"/>
  <c r="AZ117" i="3"/>
  <c r="AZ396" i="3"/>
  <c r="AZ474" i="3"/>
  <c r="AZ68" i="3"/>
  <c r="AZ58" i="3"/>
  <c r="AZ49" i="3"/>
  <c r="AZ181" i="3"/>
  <c r="AZ73" i="3"/>
  <c r="AZ59" i="3"/>
  <c r="AZ38" i="3"/>
  <c r="AZ219" i="3"/>
  <c r="AZ386" i="3"/>
  <c r="AZ412" i="3"/>
  <c r="AZ543" i="3"/>
  <c r="AZ240" i="3"/>
  <c r="AZ400" i="3"/>
  <c r="AZ257" i="3"/>
  <c r="AA35" i="39"/>
  <c r="S35" i="39"/>
  <c r="AA31" i="40"/>
  <c r="S31" i="40"/>
  <c r="AC43" i="21"/>
  <c r="W43" i="2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S37" i="21"/>
  <c r="AZ222" i="3"/>
  <c r="AZ265" i="3"/>
  <c r="U14" i="34"/>
  <c r="AB14" i="34"/>
  <c r="S14" i="39"/>
  <c r="AA14" i="39"/>
  <c r="C70" i="71"/>
  <c r="D70" i="71"/>
  <c r="D71" i="71"/>
  <c r="AC25" i="37"/>
  <c r="W25" i="37"/>
  <c r="AB27" i="34"/>
  <c r="U27" i="34"/>
  <c r="AZ80" i="3"/>
  <c r="AZ81" i="3"/>
  <c r="AZ109" i="3"/>
  <c r="AZ83" i="3"/>
  <c r="AZ138" i="3"/>
  <c r="AZ481" i="3"/>
  <c r="AZ101" i="3"/>
  <c r="AZ56" i="3"/>
  <c r="AZ198" i="3"/>
  <c r="AZ162" i="3"/>
  <c r="AZ69" i="3"/>
  <c r="AZ465" i="3"/>
  <c r="AZ367" i="3"/>
  <c r="AZ403" i="3"/>
  <c r="AZ423" i="3"/>
  <c r="AZ458" i="3"/>
  <c r="F32" i="15"/>
  <c r="F60" i="15"/>
  <c r="F32" i="67"/>
  <c r="F60" i="67"/>
  <c r="AZ82" i="3"/>
  <c r="U12" i="36"/>
  <c r="AB12" i="36"/>
  <c r="S30" i="21"/>
  <c r="AA30" i="21"/>
  <c r="N370" i="46"/>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F48" i="9"/>
  <c r="O52" i="9"/>
  <c r="F30" i="11"/>
  <c r="F31" i="12"/>
  <c r="M18" i="15"/>
  <c r="D68" i="9"/>
  <c r="E26" i="43"/>
  <c r="G26" i="43"/>
  <c r="N94" i="46"/>
  <c r="F26" i="43"/>
  <c r="P6" i="1"/>
  <c r="C32" i="67"/>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W32" i="34"/>
  <c r="AC32" i="34"/>
  <c r="G5" i="3"/>
  <c r="B3" i="3" s="1"/>
  <c r="C26" i="71"/>
  <c r="D26" i="7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c r="AZ51" i="3"/>
  <c r="B19" i="71"/>
  <c r="B18" i="71"/>
  <c r="B17" i="71"/>
  <c r="B16" i="71"/>
  <c r="B15" i="71"/>
  <c r="B14" i="71"/>
  <c r="B13" i="71"/>
  <c r="B12" i="7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AA26" i="37"/>
  <c r="S26" i="37"/>
  <c r="W40" i="40"/>
  <c r="AC40" i="40"/>
  <c r="AC12" i="21"/>
  <c r="W12" i="21"/>
  <c r="AB12" i="21"/>
  <c r="U12" i="21"/>
  <c r="AA27" i="34"/>
  <c r="S27" i="34"/>
  <c r="AC26" i="37"/>
  <c r="W26" i="37"/>
  <c r="BL5" i="3"/>
  <c r="AA9" i="36"/>
  <c r="S9" i="36"/>
  <c r="AA34" i="35"/>
  <c r="S34" i="35"/>
  <c r="E15" i="71"/>
  <c r="E14" i="71"/>
  <c r="E13" i="71"/>
  <c r="E12" i="71"/>
  <c r="V16" i="71"/>
  <c r="S40" i="40"/>
  <c r="AA40" i="40"/>
  <c r="AC34" i="35"/>
  <c r="W34" i="35"/>
  <c r="E61" i="43"/>
  <c r="B59" i="43"/>
  <c r="C28" i="43"/>
  <c r="B116" i="43"/>
  <c r="Z7" i="43"/>
  <c r="E30" i="6"/>
  <c r="AA26" i="35"/>
  <c r="S26" i="35"/>
  <c r="AC26" i="35"/>
  <c r="W26" i="35"/>
  <c r="AB26" i="35"/>
  <c r="U26" i="35"/>
  <c r="E72" i="43"/>
  <c r="B70" i="43"/>
  <c r="M14" i="1"/>
  <c r="C7" i="43"/>
  <c r="D10" i="52"/>
  <c r="D125" i="9"/>
  <c r="D11" i="52"/>
  <c r="B7" i="74"/>
  <c r="C7" i="74"/>
  <c r="P28" i="43"/>
  <c r="B66" i="40"/>
  <c r="P25" i="43"/>
  <c r="C32" i="15"/>
  <c r="AE11" i="1"/>
  <c r="AE9" i="1"/>
  <c r="AE7" i="1"/>
  <c r="AE8" i="1"/>
  <c r="AE12" i="1"/>
  <c r="AE10" i="1"/>
  <c r="S16" i="71"/>
  <c r="E208" i="3"/>
  <c r="E398" i="3"/>
  <c r="E569" i="3"/>
  <c r="E521" i="3"/>
  <c r="E293" i="3"/>
  <c r="E261" i="3"/>
  <c r="E13" i="3"/>
  <c r="H89" i="21"/>
  <c r="I89" i="21"/>
  <c r="J89" i="21"/>
  <c r="K89" i="21"/>
  <c r="L89" i="21"/>
  <c r="M89" i="21"/>
  <c r="F26" i="21"/>
  <c r="AA26" i="21" s="1"/>
  <c r="P65" i="71"/>
  <c r="P66" i="71"/>
  <c r="D26" i="43"/>
  <c r="C25" i="43" s="1"/>
  <c r="C48" i="11"/>
  <c r="C30" i="11"/>
  <c r="E539" i="3"/>
  <c r="C36" i="71"/>
  <c r="D35" i="71"/>
  <c r="O65" i="71"/>
  <c r="D66" i="71"/>
  <c r="O66" i="71"/>
  <c r="D56" i="71"/>
  <c r="T56" i="71"/>
  <c r="T52" i="71"/>
  <c r="D52" i="71"/>
  <c r="D22" i="71"/>
  <c r="C21" i="71"/>
  <c r="E281" i="3"/>
  <c r="B11" i="71"/>
  <c r="B10" i="71"/>
  <c r="B9" i="71"/>
  <c r="B8" i="71"/>
  <c r="B7" i="71"/>
  <c r="B6" i="71"/>
  <c r="B5" i="71"/>
  <c r="S12" i="71"/>
  <c r="E11" i="71"/>
  <c r="E10" i="71"/>
  <c r="E9" i="71"/>
  <c r="E8" i="71"/>
  <c r="E7" i="71"/>
  <c r="E6" i="71"/>
  <c r="E5" i="71"/>
  <c r="V12" i="71"/>
  <c r="I122" i="43"/>
  <c r="J122" i="43"/>
  <c r="K122" i="43"/>
  <c r="L122" i="43" s="1"/>
  <c r="M122" i="43" s="1"/>
  <c r="I121" i="43"/>
  <c r="J121" i="43" s="1"/>
  <c r="K121" i="43" s="1"/>
  <c r="L121" i="43" s="1"/>
  <c r="M121" i="43" s="1"/>
  <c r="D119" i="43"/>
  <c r="E119" i="43" s="1"/>
  <c r="F119" i="43" s="1"/>
  <c r="G119" i="43" s="1"/>
  <c r="H119" i="43" s="1"/>
  <c r="B119" i="43"/>
  <c r="C119" i="43" s="1"/>
  <c r="G121" i="43"/>
  <c r="H121" i="43"/>
  <c r="I120" i="43"/>
  <c r="J120" i="43" s="1"/>
  <c r="K120" i="43"/>
  <c r="L120" i="43" s="1"/>
  <c r="M120" i="43" s="1"/>
  <c r="D120" i="43"/>
  <c r="E120" i="43"/>
  <c r="F120" i="43" s="1"/>
  <c r="G120" i="43" s="1"/>
  <c r="H120" i="43" s="1"/>
  <c r="B120" i="43"/>
  <c r="C120" i="43"/>
  <c r="I119" i="43"/>
  <c r="J119" i="43" s="1"/>
  <c r="K119" i="43"/>
  <c r="L119" i="43" s="1"/>
  <c r="M119" i="43" s="1"/>
  <c r="I118" i="43"/>
  <c r="J118" i="43"/>
  <c r="K118" i="43" s="1"/>
  <c r="L118" i="43" s="1"/>
  <c r="M118" i="43" s="1"/>
  <c r="D121" i="43"/>
  <c r="E121" i="43"/>
  <c r="F121" i="43" s="1"/>
  <c r="B121" i="43"/>
  <c r="C121" i="43"/>
  <c r="D122" i="43"/>
  <c r="E122" i="43" s="1"/>
  <c r="F122" i="43" s="1"/>
  <c r="G122" i="43"/>
  <c r="H122" i="43" s="1"/>
  <c r="D118" i="43"/>
  <c r="E118" i="43" s="1"/>
  <c r="F118" i="43" s="1"/>
  <c r="G118" i="43" s="1"/>
  <c r="H118" i="43" s="1"/>
  <c r="B118" i="43"/>
  <c r="C118" i="43"/>
  <c r="B122" i="43"/>
  <c r="C122" i="43" s="1"/>
  <c r="AG11" i="1"/>
  <c r="AG9" i="1"/>
  <c r="AG10" i="1"/>
  <c r="AG8" i="1"/>
  <c r="AG12" i="1"/>
  <c r="AG7" i="1"/>
  <c r="AG6" i="1"/>
  <c r="S8" i="1"/>
  <c r="AQ8" i="1" s="1"/>
  <c r="E8" i="70"/>
  <c r="O14" i="1"/>
  <c r="D3" i="21"/>
  <c r="B2" i="74"/>
  <c r="H26" i="21"/>
  <c r="J26" i="21"/>
  <c r="AC26" i="21" s="1"/>
  <c r="D21" i="71"/>
  <c r="C20" i="71"/>
  <c r="D36" i="71"/>
  <c r="T36" i="71"/>
  <c r="S11" i="1"/>
  <c r="AQ11" i="1" s="1"/>
  <c r="E11" i="70"/>
  <c r="S9" i="1"/>
  <c r="T8" i="1"/>
  <c r="AR8" i="1"/>
  <c r="S7" i="1"/>
  <c r="T7" i="1" s="1"/>
  <c r="E7" i="70"/>
  <c r="S10" i="1"/>
  <c r="AR10" i="1" s="1"/>
  <c r="E10" i="70"/>
  <c r="S12" i="1"/>
  <c r="T12" i="1" s="1"/>
  <c r="P14" i="1"/>
  <c r="C60" i="15"/>
  <c r="C60" i="67"/>
  <c r="R9" i="1"/>
  <c r="AB26" i="21"/>
  <c r="U26" i="21"/>
  <c r="B1" i="74"/>
  <c r="R8" i="1"/>
  <c r="C19" i="71"/>
  <c r="T20" i="71"/>
  <c r="D20" i="71"/>
  <c r="U20" i="71"/>
  <c r="E12" i="70"/>
  <c r="F11" i="12"/>
  <c r="C23" i="12" s="1"/>
  <c r="E9" i="70"/>
  <c r="AR9" i="1"/>
  <c r="AQ9" i="1"/>
  <c r="T9" i="1"/>
  <c r="AR11" i="1"/>
  <c r="T11" i="1"/>
  <c r="AQ12" i="1"/>
  <c r="T10" i="1"/>
  <c r="AQ7" i="1"/>
  <c r="D8" i="74"/>
  <c r="D7" i="74"/>
  <c r="C8" i="69"/>
  <c r="C33" i="15"/>
  <c r="C33" i="67"/>
  <c r="R11" i="1"/>
  <c r="R7" i="1"/>
  <c r="R10" i="1"/>
  <c r="R12" i="1"/>
  <c r="D19" i="71"/>
  <c r="C18" i="71"/>
  <c r="C19" i="69"/>
  <c r="C17" i="71"/>
  <c r="D18" i="71"/>
  <c r="C16" i="71"/>
  <c r="D17" i="71"/>
  <c r="C61" i="67"/>
  <c r="D16" i="71"/>
  <c r="U16" i="71"/>
  <c r="T16" i="71"/>
  <c r="C15" i="71"/>
  <c r="C34" i="67"/>
  <c r="C62" i="67"/>
  <c r="C62" i="15"/>
  <c r="C34" i="15"/>
  <c r="C14" i="71"/>
  <c r="D15" i="71"/>
  <c r="C61" i="15"/>
  <c r="C13" i="71"/>
  <c r="D14" i="71"/>
  <c r="C12" i="71"/>
  <c r="D13" i="71"/>
  <c r="B2" i="33"/>
  <c r="T12" i="71"/>
  <c r="D12" i="71"/>
  <c r="U12" i="71"/>
  <c r="C11" i="71"/>
  <c r="B2" i="36"/>
  <c r="B3" i="36" s="1"/>
  <c r="B2" i="35"/>
  <c r="B3" i="35"/>
  <c r="B2" i="37"/>
  <c r="B2" i="34"/>
  <c r="C10" i="71"/>
  <c r="D11" i="71"/>
  <c r="D10" i="71"/>
  <c r="C9" i="71"/>
  <c r="D9" i="71"/>
  <c r="C8" i="71"/>
  <c r="C7" i="71"/>
  <c r="D8" i="71"/>
  <c r="D7" i="71"/>
  <c r="C6" i="71"/>
  <c r="D6" i="71"/>
  <c r="C5" i="71"/>
  <c r="D5" i="71"/>
  <c r="M24" i="43"/>
  <c r="B6" i="74"/>
  <c r="D6" i="74"/>
  <c r="C7" i="69"/>
  <c r="C5" i="69" s="1"/>
  <c r="E9" i="76"/>
  <c r="E11" i="76"/>
  <c r="F38" i="15"/>
  <c r="F36" i="15"/>
  <c r="F13" i="15"/>
  <c r="F4" i="73"/>
  <c r="B8" i="76"/>
  <c r="F9" i="15"/>
  <c r="D4" i="73"/>
  <c r="M21" i="67"/>
  <c r="E13" i="76"/>
  <c r="F16" i="67"/>
  <c r="F41" i="67"/>
  <c r="D2" i="36"/>
  <c r="B7" i="76"/>
  <c r="F6" i="67"/>
  <c r="F16" i="15"/>
  <c r="D35" i="9"/>
  <c r="M24" i="67"/>
  <c r="E12" i="76"/>
  <c r="M24" i="15"/>
  <c r="D2" i="34"/>
  <c r="F3" i="73"/>
  <c r="C76" i="67"/>
  <c r="M29" i="67"/>
  <c r="J15" i="67"/>
  <c r="E2" i="68"/>
  <c r="J15" i="15"/>
  <c r="M29" i="15"/>
  <c r="D6" i="73"/>
  <c r="M6" i="67"/>
  <c r="AO12" i="1"/>
  <c r="D5" i="73"/>
  <c r="D2" i="37"/>
  <c r="L47" i="67"/>
  <c r="M23" i="67"/>
  <c r="AO11" i="1"/>
  <c r="E10" i="76"/>
  <c r="F5" i="73"/>
  <c r="F8" i="15"/>
  <c r="F26" i="67"/>
  <c r="M26" i="15"/>
  <c r="M23" i="15"/>
  <c r="E8" i="76"/>
  <c r="M8" i="15"/>
  <c r="F43" i="67"/>
  <c r="M28" i="15"/>
  <c r="F38" i="67"/>
  <c r="F7" i="15"/>
  <c r="B11" i="76"/>
  <c r="L48" i="15"/>
  <c r="L48" i="67"/>
  <c r="AO10" i="1"/>
  <c r="B13" i="76"/>
  <c r="L47" i="15"/>
  <c r="F35" i="15"/>
  <c r="AO8" i="1"/>
  <c r="F7" i="73"/>
  <c r="M22" i="15"/>
  <c r="B10" i="76"/>
  <c r="F42" i="15"/>
  <c r="F36" i="67"/>
  <c r="M21" i="15"/>
  <c r="D3" i="73"/>
  <c r="D2" i="35"/>
  <c r="F27" i="69"/>
  <c r="B9" i="76"/>
  <c r="M22" i="67"/>
  <c r="C76" i="15"/>
  <c r="M9" i="15"/>
  <c r="M6" i="15"/>
  <c r="F41" i="15"/>
  <c r="F7" i="67"/>
  <c r="M8" i="67"/>
  <c r="F13" i="67"/>
  <c r="F6" i="15"/>
  <c r="D7" i="73"/>
  <c r="M27" i="15"/>
  <c r="B12" i="76"/>
  <c r="F40" i="67"/>
  <c r="F35" i="67"/>
  <c r="E7" i="76"/>
  <c r="M26" i="67"/>
  <c r="F37" i="67"/>
  <c r="D2" i="21"/>
  <c r="AO7" i="1"/>
  <c r="D34" i="9"/>
  <c r="F9" i="67"/>
  <c r="D2" i="33"/>
  <c r="F20" i="31"/>
  <c r="F8" i="67"/>
  <c r="F42" i="67"/>
  <c r="F43" i="15"/>
  <c r="C14" i="15"/>
  <c r="M9" i="67"/>
  <c r="F37" i="15"/>
  <c r="E2" i="69"/>
  <c r="M27" i="67"/>
  <c r="F6" i="73"/>
  <c r="M28" i="67"/>
  <c r="AO13" i="1"/>
  <c r="F40" i="15"/>
  <c r="AO9" i="1"/>
  <c r="F26" i="15"/>
  <c r="H42" i="21" l="1"/>
  <c r="U42" i="21" s="1"/>
  <c r="S26" i="21"/>
  <c r="AB45" i="21"/>
  <c r="J32" i="21"/>
  <c r="H32" i="21"/>
  <c r="F101" i="21"/>
  <c r="G101" i="21" s="1"/>
  <c r="H101" i="21" s="1"/>
  <c r="I101" i="21" s="1"/>
  <c r="J101" i="21" s="1"/>
  <c r="K101" i="21" s="1"/>
  <c r="L101" i="21" s="1"/>
  <c r="M101" i="21" s="1"/>
  <c r="F32" i="21"/>
  <c r="W27" i="21"/>
  <c r="AC27" i="21"/>
  <c r="S27" i="21"/>
  <c r="U27" i="21"/>
  <c r="W26" i="21"/>
  <c r="W33" i="21"/>
  <c r="G123" i="21"/>
  <c r="H123" i="21" s="1"/>
  <c r="I123" i="21" s="1"/>
  <c r="J123" i="21" s="1"/>
  <c r="K123" i="21" s="1"/>
  <c r="L123" i="21" s="1"/>
  <c r="M123" i="21" s="1"/>
  <c r="F42" i="21"/>
  <c r="J42" i="21"/>
  <c r="AB42" i="21"/>
  <c r="C5" i="43"/>
  <c r="D5" i="43"/>
  <c r="C33" i="43"/>
  <c r="C40" i="69"/>
  <c r="K1" i="73"/>
  <c r="F34" i="11"/>
  <c r="AB37" i="21"/>
  <c r="O16" i="1"/>
  <c r="E162" i="3"/>
  <c r="E227" i="3"/>
  <c r="E458" i="3"/>
  <c r="E400" i="3"/>
  <c r="E305" i="3"/>
  <c r="E128" i="3"/>
  <c r="E109" i="3"/>
  <c r="E439" i="3"/>
  <c r="E581" i="3"/>
  <c r="E296" i="3"/>
  <c r="E214" i="3"/>
  <c r="E505" i="3"/>
  <c r="O6" i="3"/>
  <c r="E132" i="3"/>
  <c r="E172" i="3"/>
  <c r="E579" i="3"/>
  <c r="E531" i="3"/>
  <c r="E171" i="3"/>
  <c r="E545" i="3"/>
  <c r="E183" i="3"/>
  <c r="E555" i="3"/>
  <c r="E478" i="3"/>
  <c r="E583" i="3"/>
  <c r="E553" i="3"/>
  <c r="E481" i="3"/>
  <c r="E501" i="3"/>
  <c r="E157" i="3"/>
  <c r="E48" i="3"/>
  <c r="E123" i="3"/>
  <c r="E507" i="3"/>
  <c r="E408" i="3"/>
  <c r="E56" i="3"/>
  <c r="E127" i="3"/>
  <c r="E520" i="3"/>
  <c r="E325" i="3"/>
  <c r="E105" i="3"/>
  <c r="E525" i="3"/>
  <c r="E510" i="3"/>
  <c r="E423" i="3"/>
  <c r="M6" i="3"/>
  <c r="E377" i="3"/>
  <c r="E89" i="3"/>
  <c r="E472" i="3"/>
  <c r="E350" i="3"/>
  <c r="E561" i="3"/>
  <c r="E331" i="3"/>
  <c r="E571" i="3"/>
  <c r="E294" i="3"/>
  <c r="E448" i="3"/>
  <c r="E565" i="3"/>
  <c r="E196" i="3"/>
  <c r="E163" i="3"/>
  <c r="E90" i="3"/>
  <c r="E372" i="3"/>
  <c r="E220" i="3"/>
  <c r="E174" i="3"/>
  <c r="I3" i="6"/>
  <c r="E67" i="3"/>
  <c r="E96" i="3"/>
  <c r="E435" i="3"/>
  <c r="E144" i="3"/>
  <c r="E129" i="3"/>
  <c r="E140" i="3"/>
  <c r="E452" i="3"/>
  <c r="E342" i="3"/>
  <c r="E493" i="3"/>
  <c r="E40" i="3"/>
  <c r="E211" i="3"/>
  <c r="E551" i="3"/>
  <c r="E191" i="3"/>
  <c r="E322" i="3"/>
  <c r="E269" i="3"/>
  <c r="E385" i="3"/>
  <c r="E495" i="3"/>
  <c r="E159" i="3"/>
  <c r="E431" i="3"/>
  <c r="E410" i="3"/>
  <c r="E142" i="3"/>
  <c r="AI6" i="3"/>
  <c r="E311" i="3"/>
  <c r="E485" i="3"/>
  <c r="E406" i="3"/>
  <c r="E91" i="3"/>
  <c r="E343" i="3"/>
  <c r="E450" i="3"/>
  <c r="E151" i="3"/>
  <c r="AA6" i="3"/>
  <c r="E207" i="3"/>
  <c r="E266" i="3"/>
  <c r="E194" i="3"/>
  <c r="E324" i="3"/>
  <c r="E381" i="3"/>
  <c r="E459" i="3"/>
  <c r="E141" i="3"/>
  <c r="E376" i="3"/>
  <c r="AF6" i="3"/>
  <c r="E119" i="3"/>
  <c r="E215" i="3"/>
  <c r="E70" i="3"/>
  <c r="E146" i="3"/>
  <c r="E399" i="3"/>
  <c r="E143" i="3"/>
  <c r="E515" i="3"/>
  <c r="E117" i="3"/>
  <c r="E256" i="3"/>
  <c r="E319" i="3"/>
  <c r="E413" i="3"/>
  <c r="E265" i="3"/>
  <c r="E427" i="3"/>
  <c r="E22" i="3"/>
  <c r="E192" i="3"/>
  <c r="E198" i="3"/>
  <c r="R6" i="3"/>
  <c r="E264" i="3"/>
  <c r="E251" i="3"/>
  <c r="E360" i="3"/>
  <c r="E370" i="3"/>
  <c r="E490" i="3"/>
  <c r="E43" i="3"/>
  <c r="E52" i="3"/>
  <c r="E101" i="3"/>
  <c r="E51" i="3"/>
  <c r="E19" i="3"/>
  <c r="E259" i="3"/>
  <c r="E98" i="3"/>
  <c r="E288" i="3"/>
  <c r="E379" i="3"/>
  <c r="E29" i="3"/>
  <c r="E418" i="3"/>
  <c r="AN6" i="3"/>
  <c r="E344" i="3"/>
  <c r="E576" i="3"/>
  <c r="E309" i="3"/>
  <c r="E197" i="3"/>
  <c r="E115" i="3"/>
  <c r="E188" i="3"/>
  <c r="E25" i="3"/>
  <c r="E234" i="3"/>
  <c r="E524" i="3"/>
  <c r="E416" i="3"/>
  <c r="E584" i="3"/>
  <c r="E504" i="3"/>
  <c r="E54" i="3"/>
  <c r="E92" i="3"/>
  <c r="E506" i="3"/>
  <c r="E238" i="3"/>
  <c r="E321" i="3"/>
  <c r="K6" i="3"/>
  <c r="E77" i="3"/>
  <c r="E291" i="3"/>
  <c r="E441" i="3"/>
  <c r="E487" i="3"/>
  <c r="E361" i="3"/>
  <c r="E240" i="3"/>
  <c r="E189" i="3"/>
  <c r="E182" i="3"/>
  <c r="E133" i="3"/>
  <c r="E538" i="3"/>
  <c r="E31" i="3"/>
  <c r="E166" i="3"/>
  <c r="E523" i="3"/>
  <c r="E66" i="3"/>
  <c r="L6" i="3"/>
  <c r="E205" i="3"/>
  <c r="E529" i="3"/>
  <c r="E364" i="3"/>
  <c r="E356" i="3"/>
  <c r="E242" i="3"/>
  <c r="E201" i="3"/>
  <c r="AO6" i="3"/>
  <c r="E181" i="3"/>
  <c r="E388" i="3"/>
  <c r="E45" i="3"/>
  <c r="E121" i="3"/>
  <c r="E403" i="3"/>
  <c r="E354" i="3"/>
  <c r="E401" i="3"/>
  <c r="E233" i="3"/>
  <c r="E267" i="3"/>
  <c r="E206" i="3"/>
  <c r="E332" i="3"/>
  <c r="E534" i="3"/>
  <c r="E78" i="3"/>
  <c r="E498" i="3"/>
  <c r="E137" i="3"/>
  <c r="E218" i="3"/>
  <c r="E421" i="3"/>
  <c r="E47" i="3"/>
  <c r="E167" i="3"/>
  <c r="E475" i="3"/>
  <c r="E546" i="3"/>
  <c r="E390" i="3"/>
  <c r="E156" i="3"/>
  <c r="E274" i="3"/>
  <c r="E310" i="3"/>
  <c r="E405" i="3"/>
  <c r="E35" i="3"/>
  <c r="J6" i="3"/>
  <c r="AQ6" i="3"/>
  <c r="E58" i="3"/>
  <c r="E436" i="3"/>
  <c r="E461" i="3"/>
  <c r="E145" i="3"/>
  <c r="E285" i="3"/>
  <c r="E177" i="3"/>
  <c r="E164" i="3"/>
  <c r="E480" i="3"/>
  <c r="E407" i="3"/>
  <c r="E518" i="3"/>
  <c r="E457" i="3"/>
  <c r="E107" i="3"/>
  <c r="E44" i="3"/>
  <c r="E21" i="3"/>
  <c r="E173" i="3"/>
  <c r="E225" i="3"/>
  <c r="E116" i="3"/>
  <c r="E108" i="3"/>
  <c r="E299" i="3"/>
  <c r="E165" i="3"/>
  <c r="E500" i="3"/>
  <c r="E341" i="3"/>
  <c r="E307" i="3"/>
  <c r="E168" i="3"/>
  <c r="E126" i="3"/>
  <c r="E338" i="3"/>
  <c r="E434" i="3"/>
  <c r="E32" i="3"/>
  <c r="E316" i="3"/>
  <c r="E559" i="3"/>
  <c r="E245" i="3"/>
  <c r="E573" i="3"/>
  <c r="E549" i="3"/>
  <c r="E248" i="3"/>
  <c r="E94" i="3"/>
  <c r="E246" i="3"/>
  <c r="E335" i="3"/>
  <c r="E217" i="3"/>
  <c r="Z6" i="3"/>
  <c r="E587" i="3"/>
  <c r="E124" i="3"/>
  <c r="E380" i="3"/>
  <c r="E175" i="3"/>
  <c r="E150" i="3"/>
  <c r="E395" i="3"/>
  <c r="E444" i="3"/>
  <c r="E303" i="3"/>
  <c r="E548" i="3"/>
  <c r="E195" i="3"/>
  <c r="E24" i="3"/>
  <c r="E15" i="3"/>
  <c r="E80" i="3"/>
  <c r="E102" i="3"/>
  <c r="E389" i="3"/>
  <c r="E536" i="3"/>
  <c r="E184" i="3"/>
  <c r="E467" i="3"/>
  <c r="E37" i="3"/>
  <c r="E502" i="3"/>
  <c r="E81" i="3"/>
  <c r="E249" i="3"/>
  <c r="E292" i="3"/>
  <c r="E255" i="3"/>
  <c r="E417" i="3"/>
  <c r="E514" i="3"/>
  <c r="E185" i="3"/>
  <c r="E327" i="3"/>
  <c r="E118" i="3"/>
  <c r="E85" i="3"/>
  <c r="E100" i="3"/>
  <c r="E572" i="3"/>
  <c r="E347" i="3"/>
  <c r="E384" i="3"/>
  <c r="E230" i="3"/>
  <c r="E71" i="3"/>
  <c r="E348" i="3"/>
  <c r="E41" i="3"/>
  <c r="E542" i="3"/>
  <c r="E178" i="3"/>
  <c r="E64" i="3"/>
  <c r="E509" i="3"/>
  <c r="E577" i="3"/>
  <c r="E231" i="3"/>
  <c r="E336" i="3"/>
  <c r="E280" i="3"/>
  <c r="E375" i="3"/>
  <c r="E329" i="3"/>
  <c r="E575" i="3"/>
  <c r="E383" i="3"/>
  <c r="E75" i="3"/>
  <c r="E104" i="3"/>
  <c r="E486" i="3"/>
  <c r="E339" i="3"/>
  <c r="E155" i="3"/>
  <c r="E582" i="3"/>
  <c r="E122" i="3"/>
  <c r="E397" i="3"/>
  <c r="E574" i="3"/>
  <c r="E262" i="3"/>
  <c r="E541" i="3"/>
  <c r="E113" i="3"/>
  <c r="E158" i="3"/>
  <c r="E60" i="3"/>
  <c r="E566" i="3"/>
  <c r="E39" i="3"/>
  <c r="E438" i="3"/>
  <c r="E426" i="3"/>
  <c r="E424" i="3"/>
  <c r="E404" i="3"/>
  <c r="E358" i="3"/>
  <c r="E253" i="3"/>
  <c r="E279" i="3"/>
  <c r="E186" i="3"/>
  <c r="E18" i="3"/>
  <c r="E556" i="3"/>
  <c r="E326" i="3"/>
  <c r="E346" i="3"/>
  <c r="E340" i="3"/>
  <c r="E222" i="3"/>
  <c r="E462" i="3"/>
  <c r="E313" i="3"/>
  <c r="E547" i="3"/>
  <c r="E304" i="3"/>
  <c r="AE6" i="3"/>
  <c r="E88" i="3"/>
  <c r="E320" i="3"/>
  <c r="E453" i="3"/>
  <c r="E351" i="3"/>
  <c r="E131" i="3"/>
  <c r="E275" i="3"/>
  <c r="E278" i="3"/>
  <c r="E273" i="3"/>
  <c r="E315" i="3"/>
  <c r="E568" i="3"/>
  <c r="AR6" i="3"/>
  <c r="AS6" i="3"/>
  <c r="E578" i="3"/>
  <c r="E252" i="3"/>
  <c r="E359" i="3"/>
  <c r="E82" i="3"/>
  <c r="E552" i="3"/>
  <c r="AH6" i="3"/>
  <c r="T6" i="3"/>
  <c r="E554" i="3"/>
  <c r="E68" i="3"/>
  <c r="E59" i="3"/>
  <c r="AP6" i="3"/>
  <c r="E513" i="3"/>
  <c r="E46" i="3"/>
  <c r="E479" i="3"/>
  <c r="E533" i="3"/>
  <c r="E200" i="3"/>
  <c r="E382" i="3"/>
  <c r="E465" i="3"/>
  <c r="E445" i="3"/>
  <c r="E239" i="3"/>
  <c r="E135" i="3"/>
  <c r="E204" i="3"/>
  <c r="E586" i="3"/>
  <c r="E27" i="3"/>
  <c r="P6" i="3"/>
  <c r="E471" i="3"/>
  <c r="E365" i="3"/>
  <c r="E235" i="3"/>
  <c r="E149" i="3"/>
  <c r="E232" i="3"/>
  <c r="X6" i="3"/>
  <c r="E526" i="3"/>
  <c r="E277" i="3"/>
  <c r="E530" i="3"/>
  <c r="E229" i="3"/>
  <c r="S6" i="3"/>
  <c r="E244" i="3"/>
  <c r="E26" i="3"/>
  <c r="E409" i="3"/>
  <c r="E241" i="3"/>
  <c r="E522" i="3"/>
  <c r="E243" i="3"/>
  <c r="E202" i="3"/>
  <c r="E147" i="3"/>
  <c r="E65" i="3"/>
  <c r="E373" i="3"/>
  <c r="E306" i="3"/>
  <c r="E432" i="3"/>
  <c r="E169" i="3"/>
  <c r="Q6" i="3"/>
  <c r="E363" i="3"/>
  <c r="E451" i="3"/>
  <c r="E564" i="3"/>
  <c r="E79" i="3"/>
  <c r="E250" i="3"/>
  <c r="E179" i="3"/>
  <c r="E14" i="3"/>
  <c r="E237" i="3"/>
  <c r="E73" i="3"/>
  <c r="E295" i="3"/>
  <c r="E130" i="3"/>
  <c r="E511" i="3"/>
  <c r="E134" i="3"/>
  <c r="E69" i="3"/>
  <c r="E334" i="3"/>
  <c r="E111" i="3"/>
  <c r="E489" i="3"/>
  <c r="E429" i="3"/>
  <c r="AB6" i="3"/>
  <c r="E74" i="3"/>
  <c r="E216" i="3"/>
  <c r="E193" i="3"/>
  <c r="E394" i="3"/>
  <c r="E187" i="3"/>
  <c r="E463" i="3"/>
  <c r="E411" i="3"/>
  <c r="E386" i="3"/>
  <c r="E497" i="3"/>
  <c r="E161" i="3"/>
  <c r="E557" i="3"/>
  <c r="E180" i="3"/>
  <c r="E447" i="3"/>
  <c r="E366" i="3"/>
  <c r="E537" i="3"/>
  <c r="E112" i="3"/>
  <c r="E512" i="3"/>
  <c r="E63" i="3"/>
  <c r="E425" i="3"/>
  <c r="E287" i="3"/>
  <c r="E83" i="3"/>
  <c r="E333" i="3"/>
  <c r="E50" i="3"/>
  <c r="E57" i="3"/>
  <c r="Y6" i="3"/>
  <c r="E532" i="3"/>
  <c r="E272" i="3"/>
  <c r="E213" i="3"/>
  <c r="E55" i="3"/>
  <c r="E482" i="3"/>
  <c r="E470" i="3"/>
  <c r="E422" i="3"/>
  <c r="E289" i="3"/>
  <c r="E446" i="3"/>
  <c r="E87" i="3"/>
  <c r="E367" i="3"/>
  <c r="E302" i="3"/>
  <c r="E580" i="3"/>
  <c r="E282" i="3"/>
  <c r="E260" i="3"/>
  <c r="E519" i="3"/>
  <c r="E414" i="3"/>
  <c r="E76" i="3"/>
  <c r="E308" i="3"/>
  <c r="E190" i="3"/>
  <c r="E440" i="3"/>
  <c r="E38" i="3"/>
  <c r="E460" i="3"/>
  <c r="E323" i="3"/>
  <c r="E154" i="3"/>
  <c r="E93" i="3"/>
  <c r="E328" i="3"/>
  <c r="E353" i="3"/>
  <c r="AG6" i="3"/>
  <c r="N6" i="3"/>
  <c r="E550" i="3"/>
  <c r="E562" i="3"/>
  <c r="E477" i="3"/>
  <c r="E369" i="3"/>
  <c r="E263" i="3"/>
  <c r="E247" i="3"/>
  <c r="E345" i="3"/>
  <c r="E560" i="3"/>
  <c r="E503" i="3"/>
  <c r="E508" i="3"/>
  <c r="E527" i="3"/>
  <c r="E516" i="3"/>
  <c r="E120" i="3"/>
  <c r="E357" i="3"/>
  <c r="E464" i="3"/>
  <c r="E392" i="3"/>
  <c r="E428" i="3"/>
  <c r="E103" i="3"/>
  <c r="E494" i="3"/>
  <c r="E371" i="3"/>
  <c r="E258" i="3"/>
  <c r="E286" i="3"/>
  <c r="E33" i="3"/>
  <c r="E544" i="3"/>
  <c r="E466" i="3"/>
  <c r="E387" i="3"/>
  <c r="E268" i="3"/>
  <c r="E17" i="3"/>
  <c r="E473" i="3"/>
  <c r="E528" i="3"/>
  <c r="E170" i="3"/>
  <c r="E469" i="3"/>
  <c r="E209" i="3"/>
  <c r="E254" i="3"/>
  <c r="E276" i="3"/>
  <c r="AM6" i="3"/>
  <c r="E61" i="3"/>
  <c r="E449" i="3"/>
  <c r="E420" i="3"/>
  <c r="E540" i="3"/>
  <c r="E138" i="3"/>
  <c r="W6" i="3"/>
  <c r="E221" i="3"/>
  <c r="E125" i="3"/>
  <c r="E99" i="3"/>
  <c r="E139" i="3"/>
  <c r="E570" i="3"/>
  <c r="E106" i="3"/>
  <c r="E337" i="3"/>
  <c r="V6" i="3"/>
  <c r="E317" i="3"/>
  <c r="E20" i="3"/>
  <c r="AL6" i="3"/>
  <c r="E442" i="3"/>
  <c r="E349" i="3"/>
  <c r="E355" i="3"/>
  <c r="E517" i="3"/>
  <c r="E236" i="3"/>
  <c r="E415" i="3"/>
  <c r="E468" i="3"/>
  <c r="E312" i="3"/>
  <c r="E391" i="3"/>
  <c r="E318" i="3"/>
  <c r="E212" i="3"/>
  <c r="E223" i="3"/>
  <c r="E488" i="3"/>
  <c r="E62" i="3"/>
  <c r="E402" i="3"/>
  <c r="E433" i="3"/>
  <c r="E23" i="3"/>
  <c r="E49" i="3"/>
  <c r="E36" i="3"/>
  <c r="E297" i="3"/>
  <c r="U6" i="3"/>
  <c r="E330" i="3"/>
  <c r="E396" i="3"/>
  <c r="E72" i="3"/>
  <c r="E219" i="3"/>
  <c r="AJ6" i="3"/>
  <c r="E228" i="3"/>
  <c r="E210" i="3"/>
  <c r="E30" i="3"/>
  <c r="E474" i="3"/>
  <c r="E226" i="3"/>
  <c r="E199" i="3"/>
  <c r="E283" i="3"/>
  <c r="E491" i="3"/>
  <c r="E492" i="3"/>
  <c r="E499" i="3"/>
  <c r="AK6" i="3"/>
  <c r="E270" i="3"/>
  <c r="E16" i="3"/>
  <c r="E563" i="3"/>
  <c r="E437" i="3"/>
  <c r="E42" i="3"/>
  <c r="E455" i="3"/>
  <c r="E257" i="3"/>
  <c r="E86" i="3"/>
  <c r="E284" i="3"/>
  <c r="E443" i="3"/>
  <c r="E567" i="3"/>
  <c r="E34" i="3"/>
  <c r="E543" i="3"/>
  <c r="E176" i="3"/>
  <c r="AD6" i="3"/>
  <c r="E53" i="3"/>
  <c r="E203" i="3"/>
  <c r="E114" i="3"/>
  <c r="E585" i="3"/>
  <c r="E148" i="3"/>
  <c r="E28" i="3"/>
  <c r="E301" i="3"/>
  <c r="E271" i="3"/>
  <c r="E496" i="3"/>
  <c r="E374" i="3"/>
  <c r="E393" i="3"/>
  <c r="E84" i="3"/>
  <c r="E430" i="3"/>
  <c r="E484" i="3"/>
  <c r="I4" i="6"/>
  <c r="I6" i="3"/>
  <c r="H6" i="3" s="1"/>
  <c r="BB5" i="3"/>
  <c r="BA13" i="3"/>
  <c r="P16" i="1"/>
  <c r="C11" i="12" s="1"/>
  <c r="C15" i="12" s="1"/>
  <c r="AR7" i="1"/>
  <c r="AR12" i="1"/>
  <c r="E160" i="3"/>
  <c r="E110" i="3"/>
  <c r="E368" i="3"/>
  <c r="E558" i="3"/>
  <c r="E419" i="3"/>
  <c r="E224" i="3"/>
  <c r="E300" i="3"/>
  <c r="E290" i="3"/>
  <c r="E95" i="3"/>
  <c r="E298" i="3"/>
  <c r="E535" i="3"/>
  <c r="E97" i="3"/>
  <c r="E456" i="3"/>
  <c r="E412" i="3"/>
  <c r="E352" i="3"/>
  <c r="E483" i="3"/>
  <c r="AQ10" i="1"/>
  <c r="D116" i="43"/>
  <c r="E152" i="3"/>
  <c r="E314" i="3"/>
  <c r="E378" i="3"/>
  <c r="E136" i="3"/>
  <c r="E476" i="3"/>
  <c r="E153" i="3"/>
  <c r="E362" i="3"/>
  <c r="E454" i="3"/>
  <c r="AR13" i="1"/>
  <c r="AQ13" i="1"/>
  <c r="K6" i="1"/>
  <c r="C7" i="12"/>
  <c r="L19" i="6"/>
  <c r="L27" i="6" s="1"/>
  <c r="AB33" i="21"/>
  <c r="U33" i="21"/>
  <c r="J7" i="35"/>
  <c r="D59" i="34"/>
  <c r="G16" i="1"/>
  <c r="C37" i="43"/>
  <c r="C38" i="43"/>
  <c r="T13" i="43"/>
  <c r="V13" i="43" s="1"/>
  <c r="T7" i="43"/>
  <c r="V7" i="43" s="1"/>
  <c r="T8" i="43"/>
  <c r="V8" i="43" s="1"/>
  <c r="T2" i="43"/>
  <c r="V2" i="43" s="1"/>
  <c r="T11" i="43"/>
  <c r="V11" i="43" s="1"/>
  <c r="T12" i="43"/>
  <c r="V12" i="43" s="1"/>
  <c r="T4" i="43"/>
  <c r="V4" i="43" s="1"/>
  <c r="C40" i="43"/>
  <c r="F7" i="35"/>
  <c r="H7" i="35"/>
  <c r="O23" i="43"/>
  <c r="P29" i="43"/>
  <c r="P27" i="43"/>
  <c r="B70" i="39" s="1"/>
  <c r="P26" i="43"/>
  <c r="A1" i="79"/>
  <c r="D52" i="37"/>
  <c r="E52" i="37" s="1"/>
  <c r="F52" i="37" s="1"/>
  <c r="G52" i="37" s="1"/>
  <c r="H52" i="37" s="1"/>
  <c r="I52" i="37" s="1"/>
  <c r="J52" i="37" s="1"/>
  <c r="K52" i="37" s="1"/>
  <c r="L52" i="37" s="1"/>
  <c r="M52" i="37" s="1"/>
  <c r="N52" i="37" s="1"/>
  <c r="O52" i="37" s="1"/>
  <c r="J7" i="37"/>
  <c r="D46" i="36"/>
  <c r="C7" i="33"/>
  <c r="C58" i="33" s="1"/>
  <c r="C7" i="39"/>
  <c r="C67" i="39" s="1"/>
  <c r="C42" i="1"/>
  <c r="C7" i="21"/>
  <c r="C58" i="21" s="1"/>
  <c r="C7" i="40"/>
  <c r="C63" i="40" s="1"/>
  <c r="F12" i="49"/>
  <c r="H12" i="49" s="1"/>
  <c r="F8" i="49"/>
  <c r="H8" i="49" s="1"/>
  <c r="F4" i="49"/>
  <c r="H4" i="49" s="1"/>
  <c r="B8" i="49"/>
  <c r="D8" i="49" s="1"/>
  <c r="B11" i="49"/>
  <c r="D11" i="49" s="1"/>
  <c r="F15" i="49"/>
  <c r="H15" i="49" s="1"/>
  <c r="F14" i="49"/>
  <c r="H14" i="49" s="1"/>
  <c r="F10" i="49"/>
  <c r="H10" i="49" s="1"/>
  <c r="F6" i="49"/>
  <c r="H6" i="49" s="1"/>
  <c r="B12" i="49"/>
  <c r="D12" i="49" s="1"/>
  <c r="B4" i="49"/>
  <c r="D4" i="49" s="1"/>
  <c r="B7" i="49"/>
  <c r="D7" i="49" s="1"/>
  <c r="B11" i="70"/>
  <c r="J20" i="15"/>
  <c r="C29" i="69"/>
  <c r="D27" i="69" s="1"/>
  <c r="F45" i="69"/>
  <c r="C47" i="69"/>
  <c r="D45" i="69" s="1"/>
  <c r="F64" i="67"/>
  <c r="C27" i="15"/>
  <c r="F51" i="67"/>
  <c r="B20" i="31"/>
  <c r="B21" i="31" s="1"/>
  <c r="B9" i="70"/>
  <c r="N59" i="67"/>
  <c r="L58" i="67"/>
  <c r="L59" i="67"/>
  <c r="M59" i="67"/>
  <c r="F68" i="15"/>
  <c r="B13" i="70"/>
  <c r="B7" i="70"/>
  <c r="B8" i="70"/>
  <c r="F63" i="15"/>
  <c r="F65" i="67"/>
  <c r="L59" i="15"/>
  <c r="M59" i="15"/>
  <c r="L58" i="15"/>
  <c r="N59" i="15"/>
  <c r="C6" i="67"/>
  <c r="F31" i="67"/>
  <c r="B10" i="70"/>
  <c r="B12" i="70"/>
  <c r="F63" i="67"/>
  <c r="F69" i="67"/>
  <c r="I54" i="67"/>
  <c r="J53" i="67"/>
  <c r="J57" i="67"/>
  <c r="J55" i="67" s="1"/>
  <c r="J58" i="67" s="1"/>
  <c r="Q50" i="67" s="1"/>
  <c r="L56" i="67"/>
  <c r="F68" i="67"/>
  <c r="J53" i="15"/>
  <c r="L56" i="15" s="1"/>
  <c r="J57" i="15"/>
  <c r="J55" i="15" s="1"/>
  <c r="J58" i="15" s="1"/>
  <c r="Q50" i="15" s="1"/>
  <c r="I54" i="15"/>
  <c r="J20" i="67"/>
  <c r="M7" i="15"/>
  <c r="J6" i="15" s="1"/>
  <c r="F50" i="15"/>
  <c r="F66" i="67"/>
  <c r="F65" i="15"/>
  <c r="F31" i="15"/>
  <c r="C6" i="15"/>
  <c r="F71" i="67"/>
  <c r="I1" i="73"/>
  <c r="B39" i="1" s="1"/>
  <c r="M7" i="67"/>
  <c r="M17" i="67" s="1"/>
  <c r="F50" i="67"/>
  <c r="C15" i="15"/>
  <c r="C18" i="15"/>
  <c r="F69" i="15"/>
  <c r="F64" i="15"/>
  <c r="C27" i="67"/>
  <c r="F71" i="15"/>
  <c r="F66" i="15"/>
  <c r="Q71" i="15"/>
  <c r="F51" i="15"/>
  <c r="Q71" i="67"/>
  <c r="C20" i="69"/>
  <c r="C28" i="69" s="1"/>
  <c r="C27" i="69" s="1"/>
  <c r="F13" i="49"/>
  <c r="H13" i="49" s="1"/>
  <c r="F11" i="49"/>
  <c r="H11" i="49" s="1"/>
  <c r="F9" i="49"/>
  <c r="H9" i="49" s="1"/>
  <c r="F7" i="49"/>
  <c r="H7" i="49" s="1"/>
  <c r="F5" i="49"/>
  <c r="H5" i="49" s="1"/>
  <c r="B14" i="49"/>
  <c r="D14" i="49" s="1"/>
  <c r="B10" i="49"/>
  <c r="D10" i="49" s="1"/>
  <c r="B6" i="49"/>
  <c r="D6" i="49" s="1"/>
  <c r="B13" i="49"/>
  <c r="D13" i="49" s="1"/>
  <c r="B9" i="49"/>
  <c r="D9" i="49" s="1"/>
  <c r="D9" i="69"/>
  <c r="C36" i="69"/>
  <c r="AE6" i="1"/>
  <c r="C14" i="67"/>
  <c r="G1" i="73"/>
  <c r="C17" i="15"/>
  <c r="C16" i="15"/>
  <c r="C17" i="67"/>
  <c r="C16" i="67"/>
  <c r="AA32" i="21" l="1"/>
  <c r="S32" i="21"/>
  <c r="U32" i="21"/>
  <c r="AB32" i="21"/>
  <c r="T48" i="21" s="1"/>
  <c r="W32" i="21"/>
  <c r="AC32" i="21"/>
  <c r="V48" i="21" s="1"/>
  <c r="I48" i="21" s="1"/>
  <c r="I52" i="21" s="1"/>
  <c r="J52" i="21" s="1"/>
  <c r="AC42" i="21"/>
  <c r="W42" i="21"/>
  <c r="AA42" i="21"/>
  <c r="S42" i="21"/>
  <c r="C12" i="12"/>
  <c r="C34" i="43"/>
  <c r="E34" i="43" s="1"/>
  <c r="E33" i="43"/>
  <c r="C41" i="43"/>
  <c r="C39" i="43"/>
  <c r="C42" i="43"/>
  <c r="T15" i="43"/>
  <c r="V15" i="43" s="1"/>
  <c r="T10" i="43"/>
  <c r="V10" i="43" s="1"/>
  <c r="T9" i="43"/>
  <c r="V9" i="43" s="1"/>
  <c r="T3" i="43"/>
  <c r="V3" i="43" s="1"/>
  <c r="T16" i="43"/>
  <c r="V16" i="43" s="1"/>
  <c r="T6" i="43"/>
  <c r="V6" i="43" s="1"/>
  <c r="T14" i="43"/>
  <c r="V14" i="43" s="1"/>
  <c r="T5" i="43"/>
  <c r="V5" i="43" s="1"/>
  <c r="C9" i="69"/>
  <c r="BA5" i="3"/>
  <c r="E27" i="6" s="1"/>
  <c r="AZ13" i="3"/>
  <c r="AZ5" i="3" s="1"/>
  <c r="E8" i="6"/>
  <c r="E11" i="6"/>
  <c r="E15" i="6"/>
  <c r="E5" i="6"/>
  <c r="E12" i="6"/>
  <c r="E14" i="6"/>
  <c r="E13" i="6"/>
  <c r="E10" i="6"/>
  <c r="AC6" i="3"/>
  <c r="E6" i="3" s="1"/>
  <c r="K16" i="1"/>
  <c r="H16" i="1"/>
  <c r="M6" i="1"/>
  <c r="Q16" i="1"/>
  <c r="AP6" i="1"/>
  <c r="J7" i="21"/>
  <c r="D58" i="21"/>
  <c r="E58" i="21" s="1"/>
  <c r="F58" i="21" s="1"/>
  <c r="G58" i="21" s="1"/>
  <c r="H58" i="21" s="1"/>
  <c r="I58" i="21" s="1"/>
  <c r="J58" i="21" s="1"/>
  <c r="K58" i="21" s="1"/>
  <c r="L58" i="21" s="1"/>
  <c r="M58" i="21" s="1"/>
  <c r="N58" i="21" s="1"/>
  <c r="O58" i="21" s="1"/>
  <c r="W7" i="37"/>
  <c r="AC7" i="37"/>
  <c r="V42" i="37" s="1"/>
  <c r="I42" i="37" s="1"/>
  <c r="AB7" i="35"/>
  <c r="T38" i="35" s="1"/>
  <c r="G38" i="35" s="1"/>
  <c r="U7" i="35"/>
  <c r="F10" i="39"/>
  <c r="F10" i="40"/>
  <c r="H10" i="39"/>
  <c r="J10" i="40"/>
  <c r="J10" i="39"/>
  <c r="H10" i="40"/>
  <c r="E37" i="43"/>
  <c r="C30" i="43" s="1"/>
  <c r="G37" i="43"/>
  <c r="I37" i="43" s="1"/>
  <c r="C31" i="43" s="1"/>
  <c r="C77" i="9"/>
  <c r="C74" i="9" s="1"/>
  <c r="C48" i="68"/>
  <c r="C24" i="12"/>
  <c r="C28" i="15"/>
  <c r="C30" i="69"/>
  <c r="C31" i="12"/>
  <c r="C13" i="12"/>
  <c r="C36" i="11"/>
  <c r="C48" i="69"/>
  <c r="C28" i="67"/>
  <c r="C30" i="68"/>
  <c r="H7" i="37"/>
  <c r="AA7" i="35"/>
  <c r="R38" i="35" s="1"/>
  <c r="S7" i="35"/>
  <c r="E59" i="34"/>
  <c r="E46" i="36"/>
  <c r="D67" i="39"/>
  <c r="C69" i="39"/>
  <c r="D63" i="40"/>
  <c r="C65" i="40"/>
  <c r="D58" i="33"/>
  <c r="E58" i="33" s="1"/>
  <c r="F58" i="33" s="1"/>
  <c r="G58" i="33" s="1"/>
  <c r="H58" i="33" s="1"/>
  <c r="I58" i="33" s="1"/>
  <c r="J58" i="33" s="1"/>
  <c r="K58" i="33" s="1"/>
  <c r="L58" i="33" s="1"/>
  <c r="M58" i="33" s="1"/>
  <c r="N58" i="33" s="1"/>
  <c r="O58" i="33" s="1"/>
  <c r="F7" i="33"/>
  <c r="F7" i="37"/>
  <c r="E40" i="43"/>
  <c r="G40" i="43"/>
  <c r="I40" i="43" s="1"/>
  <c r="E38" i="43"/>
  <c r="G38" i="43"/>
  <c r="I38" i="43" s="1"/>
  <c r="AC7" i="35"/>
  <c r="V38" i="35" s="1"/>
  <c r="I38" i="35" s="1"/>
  <c r="W7" i="35"/>
  <c r="B40" i="1"/>
  <c r="F24" i="15" s="1"/>
  <c r="C24" i="15" s="1"/>
  <c r="F59" i="67"/>
  <c r="M17" i="15"/>
  <c r="J17" i="15" s="1"/>
  <c r="F59" i="15"/>
  <c r="J6" i="67"/>
  <c r="J17" i="67" s="1"/>
  <c r="C18" i="67"/>
  <c r="C15" i="67"/>
  <c r="C19" i="15"/>
  <c r="C31" i="15"/>
  <c r="C31" i="67"/>
  <c r="C49" i="15"/>
  <c r="J18" i="15"/>
  <c r="J19" i="15"/>
  <c r="Q74" i="15"/>
  <c r="Q61" i="15"/>
  <c r="C49" i="67"/>
  <c r="Q52" i="67"/>
  <c r="F1" i="67"/>
  <c r="Q74" i="67"/>
  <c r="Q61" i="67"/>
  <c r="F11" i="67"/>
  <c r="F11" i="15"/>
  <c r="M11" i="67"/>
  <c r="J10" i="67" s="1"/>
  <c r="M11" i="15"/>
  <c r="J10" i="15" s="1"/>
  <c r="J5" i="15" s="1"/>
  <c r="Q52" i="15"/>
  <c r="F1" i="15"/>
  <c r="Q60" i="15"/>
  <c r="Q73" i="15"/>
  <c r="Q60" i="67"/>
  <c r="Q73" i="67"/>
  <c r="E6" i="76"/>
  <c r="R48" i="21" l="1"/>
  <c r="E48" i="21" s="1"/>
  <c r="E52" i="21" s="1"/>
  <c r="F52" i="21" s="1"/>
  <c r="G48" i="21"/>
  <c r="R49" i="21"/>
  <c r="C48" i="21" s="1"/>
  <c r="G39" i="43"/>
  <c r="I39" i="43" s="1"/>
  <c r="E39" i="43"/>
  <c r="G41" i="43"/>
  <c r="I41" i="43" s="1"/>
  <c r="E41" i="43"/>
  <c r="E42" i="43"/>
  <c r="G42" i="43"/>
  <c r="I42" i="43" s="1"/>
  <c r="F22" i="69"/>
  <c r="C25" i="69" s="1"/>
  <c r="F25" i="12"/>
  <c r="C26" i="12" s="1"/>
  <c r="D25" i="12" s="1"/>
  <c r="E58" i="40"/>
  <c r="E62" i="39"/>
  <c r="E60" i="40"/>
  <c r="E64" i="39"/>
  <c r="K21" i="6"/>
  <c r="M21" i="6" s="1"/>
  <c r="I21" i="6" s="1"/>
  <c r="S21" i="6" s="1"/>
  <c r="K20" i="6"/>
  <c r="M20" i="6" s="1"/>
  <c r="I20" i="6" s="1"/>
  <c r="S20" i="6" s="1"/>
  <c r="K24" i="6"/>
  <c r="M24" i="6" s="1"/>
  <c r="I24" i="6" s="1"/>
  <c r="S24" i="6" s="1"/>
  <c r="K26" i="6"/>
  <c r="M26" i="6" s="1"/>
  <c r="I26" i="6" s="1"/>
  <c r="S26" i="6" s="1"/>
  <c r="E31" i="6"/>
  <c r="K23" i="6"/>
  <c r="M23" i="6" s="1"/>
  <c r="I23" i="6" s="1"/>
  <c r="S23" i="6" s="1"/>
  <c r="K22" i="6"/>
  <c r="M22" i="6" s="1"/>
  <c r="I22" i="6" s="1"/>
  <c r="S22" i="6" s="1"/>
  <c r="K19" i="6"/>
  <c r="K25" i="6"/>
  <c r="M25" i="6" s="1"/>
  <c r="I25" i="6" s="1"/>
  <c r="S25" i="6" s="1"/>
  <c r="AY6" i="3"/>
  <c r="E3" i="6"/>
  <c r="F27" i="11"/>
  <c r="F27" i="68"/>
  <c r="F28" i="12"/>
  <c r="C29" i="12" s="1"/>
  <c r="D28" i="12" s="1"/>
  <c r="E63" i="39"/>
  <c r="E59" i="40"/>
  <c r="E60" i="39"/>
  <c r="E56" i="40"/>
  <c r="D9" i="68"/>
  <c r="D19" i="12"/>
  <c r="C19" i="12" s="1"/>
  <c r="D9" i="11"/>
  <c r="C9" i="11" s="1"/>
  <c r="M16" i="1"/>
  <c r="C36" i="68"/>
  <c r="E57" i="40"/>
  <c r="E61" i="39"/>
  <c r="E56" i="39"/>
  <c r="E65" i="39" s="1"/>
  <c r="E51" i="40"/>
  <c r="F27" i="6"/>
  <c r="F31" i="6" s="1"/>
  <c r="E16" i="6"/>
  <c r="E2" i="76"/>
  <c r="F46" i="36"/>
  <c r="G46" i="36" s="1"/>
  <c r="H46" i="36" s="1"/>
  <c r="I46" i="36" s="1"/>
  <c r="J46" i="36" s="1"/>
  <c r="K46" i="36" s="1"/>
  <c r="L46" i="36" s="1"/>
  <c r="M46" i="36" s="1"/>
  <c r="N46" i="36" s="1"/>
  <c r="O46" i="36" s="1"/>
  <c r="J7" i="36"/>
  <c r="B2" i="43"/>
  <c r="U10" i="39"/>
  <c r="AB10" i="39"/>
  <c r="G43" i="35"/>
  <c r="H43" i="35" s="1"/>
  <c r="G42" i="35"/>
  <c r="H42" i="35" s="1"/>
  <c r="AC7" i="21"/>
  <c r="W7" i="21"/>
  <c r="F24" i="67"/>
  <c r="C24" i="67" s="1"/>
  <c r="L36" i="43"/>
  <c r="O36" i="43" s="1"/>
  <c r="I42" i="35"/>
  <c r="J42" i="35" s="1"/>
  <c r="I43" i="35"/>
  <c r="J43" i="35" s="1"/>
  <c r="J7" i="33"/>
  <c r="E38" i="35"/>
  <c r="R39" i="35"/>
  <c r="U10" i="40"/>
  <c r="AB10" i="40"/>
  <c r="AA10" i="40"/>
  <c r="S10" i="40"/>
  <c r="I46" i="37"/>
  <c r="J46" i="37" s="1"/>
  <c r="F7" i="21"/>
  <c r="F59" i="34"/>
  <c r="G59" i="34" s="1"/>
  <c r="H59" i="34" s="1"/>
  <c r="I59" i="34" s="1"/>
  <c r="J59" i="34" s="1"/>
  <c r="K59" i="34" s="1"/>
  <c r="L59" i="34" s="1"/>
  <c r="M59" i="34" s="1"/>
  <c r="N59" i="34" s="1"/>
  <c r="O59" i="34" s="1"/>
  <c r="F22" i="11"/>
  <c r="C44" i="11" s="1"/>
  <c r="D41" i="11" s="1"/>
  <c r="F22" i="68"/>
  <c r="C44" i="68" s="1"/>
  <c r="D41" i="68" s="1"/>
  <c r="D65" i="40"/>
  <c r="E63" i="40"/>
  <c r="AA7" i="37"/>
  <c r="R42" i="37" s="1"/>
  <c r="S7" i="37"/>
  <c r="H7" i="33"/>
  <c r="E67" i="39"/>
  <c r="D69" i="39"/>
  <c r="H7" i="34"/>
  <c r="AB7" i="37"/>
  <c r="T42" i="37" s="1"/>
  <c r="G42" i="37" s="1"/>
  <c r="U7" i="37"/>
  <c r="AC10" i="39"/>
  <c r="W10" i="39"/>
  <c r="S10" i="39"/>
  <c r="AA10" i="39"/>
  <c r="H7" i="21"/>
  <c r="S7" i="33"/>
  <c r="AA7" i="33"/>
  <c r="R48" i="33" s="1"/>
  <c r="AC10" i="40"/>
  <c r="W10" i="40"/>
  <c r="F7" i="36"/>
  <c r="J19" i="67"/>
  <c r="J18" i="67"/>
  <c r="J5" i="67"/>
  <c r="J24" i="67" s="1"/>
  <c r="C19" i="67"/>
  <c r="C20" i="67" s="1"/>
  <c r="C53" i="15"/>
  <c r="C48" i="15" s="1"/>
  <c r="C10" i="15"/>
  <c r="C5" i="15" s="1"/>
  <c r="J26" i="15"/>
  <c r="J29" i="15" s="1"/>
  <c r="J24" i="15"/>
  <c r="C20" i="15"/>
  <c r="C26" i="15" s="1"/>
  <c r="C10" i="67"/>
  <c r="C5" i="67" s="1"/>
  <c r="C53" i="67"/>
  <c r="C48" i="67" s="1"/>
  <c r="C59" i="15"/>
  <c r="C59" i="67"/>
  <c r="B6" i="76"/>
  <c r="I53" i="21" l="1"/>
  <c r="J53" i="21" s="1"/>
  <c r="Q36" i="43"/>
  <c r="C49" i="21"/>
  <c r="G53" i="21"/>
  <c r="H53" i="21" s="1"/>
  <c r="G52" i="21"/>
  <c r="H52" i="21" s="1"/>
  <c r="E53" i="21"/>
  <c r="F53" i="21" s="1"/>
  <c r="B3" i="21"/>
  <c r="B2" i="21"/>
  <c r="C24" i="69"/>
  <c r="C26" i="69"/>
  <c r="D22" i="69" s="1"/>
  <c r="C44" i="69"/>
  <c r="D41" i="69" s="1"/>
  <c r="C23" i="69"/>
  <c r="F41" i="69"/>
  <c r="L37" i="43"/>
  <c r="N37" i="43" s="1"/>
  <c r="M36" i="43"/>
  <c r="P36" i="43"/>
  <c r="N36" i="43"/>
  <c r="C26" i="68"/>
  <c r="D22" i="68" s="1"/>
  <c r="N16" i="1"/>
  <c r="L16" i="1"/>
  <c r="C34" i="68"/>
  <c r="C34" i="11"/>
  <c r="D14" i="12"/>
  <c r="L18" i="9"/>
  <c r="C17" i="4"/>
  <c r="B4" i="52" s="1"/>
  <c r="B43" i="72" s="1"/>
  <c r="D3" i="33"/>
  <c r="B3" i="33" s="1"/>
  <c r="D37" i="11"/>
  <c r="C37" i="11" s="1"/>
  <c r="M18" i="9"/>
  <c r="B118" i="9" s="1"/>
  <c r="E6" i="6"/>
  <c r="D19" i="11"/>
  <c r="C19" i="11" s="1"/>
  <c r="C24" i="11" s="1"/>
  <c r="D3" i="37"/>
  <c r="B3" i="37" s="1"/>
  <c r="D3" i="34"/>
  <c r="B3" i="34" s="1"/>
  <c r="C29" i="11"/>
  <c r="D27" i="11" s="1"/>
  <c r="C47" i="11"/>
  <c r="D45" i="11" s="1"/>
  <c r="S6" i="1"/>
  <c r="K27" i="6"/>
  <c r="M19" i="6"/>
  <c r="C9" i="68"/>
  <c r="F41" i="68"/>
  <c r="C23" i="11"/>
  <c r="AY297" i="3"/>
  <c r="AY533" i="3"/>
  <c r="AY247" i="3"/>
  <c r="AY242" i="3"/>
  <c r="AY495" i="3"/>
  <c r="AY89" i="3"/>
  <c r="AY356" i="3"/>
  <c r="AY350" i="3"/>
  <c r="AY286" i="3"/>
  <c r="AY536" i="3"/>
  <c r="AY313" i="3"/>
  <c r="AY94" i="3"/>
  <c r="AY512" i="3"/>
  <c r="AY550" i="3"/>
  <c r="AY110" i="3"/>
  <c r="AY413" i="3"/>
  <c r="AY19" i="3"/>
  <c r="BT6" i="3"/>
  <c r="AY26" i="3"/>
  <c r="AY170" i="3"/>
  <c r="AY41" i="3"/>
  <c r="AY414" i="3"/>
  <c r="AY269" i="3"/>
  <c r="AY365" i="3"/>
  <c r="AY496" i="3"/>
  <c r="AY105" i="3"/>
  <c r="AY370" i="3"/>
  <c r="AY137" i="3"/>
  <c r="AY14" i="3"/>
  <c r="AY362" i="3"/>
  <c r="AY224" i="3"/>
  <c r="AY492" i="3"/>
  <c r="AY39" i="3"/>
  <c r="AY434" i="3"/>
  <c r="AY441" i="3"/>
  <c r="AY133" i="3"/>
  <c r="AY348" i="3"/>
  <c r="AY425" i="3"/>
  <c r="AY40" i="3"/>
  <c r="AY212" i="3"/>
  <c r="AY275" i="3"/>
  <c r="AY266" i="3"/>
  <c r="AY167" i="3"/>
  <c r="AY273" i="3"/>
  <c r="AY399" i="3"/>
  <c r="AY113" i="3"/>
  <c r="AY71" i="3"/>
  <c r="AY261" i="3"/>
  <c r="AY299" i="3"/>
  <c r="AY377" i="3"/>
  <c r="AY237" i="3"/>
  <c r="AY130" i="3"/>
  <c r="AY412" i="3"/>
  <c r="AY72" i="3"/>
  <c r="AY380" i="3"/>
  <c r="AY46" i="3"/>
  <c r="AY148" i="3"/>
  <c r="AY575" i="3"/>
  <c r="AY567" i="3"/>
  <c r="AY408" i="3"/>
  <c r="AY50" i="3"/>
  <c r="AY77" i="3"/>
  <c r="AY392" i="3"/>
  <c r="AY457" i="3"/>
  <c r="AY335" i="3"/>
  <c r="AY97" i="3"/>
  <c r="AY230" i="3"/>
  <c r="AY353" i="3"/>
  <c r="AY501" i="3"/>
  <c r="AY36" i="3"/>
  <c r="AY467" i="3"/>
  <c r="AY497" i="3"/>
  <c r="AY227" i="3"/>
  <c r="AY584" i="3"/>
  <c r="AY487" i="3"/>
  <c r="AY280" i="3"/>
  <c r="AY159" i="3"/>
  <c r="AY235" i="3"/>
  <c r="AY482" i="3"/>
  <c r="AY361" i="3"/>
  <c r="AY500" i="3"/>
  <c r="AY171" i="3"/>
  <c r="AY572" i="3"/>
  <c r="AY359" i="3"/>
  <c r="AY368" i="3"/>
  <c r="AY136" i="3"/>
  <c r="AY565" i="3"/>
  <c r="AY81" i="3"/>
  <c r="AY32" i="3"/>
  <c r="AY178" i="3"/>
  <c r="AY560" i="3"/>
  <c r="AY320" i="3"/>
  <c r="AY232" i="3"/>
  <c r="AY557" i="3"/>
  <c r="AY87" i="3"/>
  <c r="AY152" i="3"/>
  <c r="AY303" i="3"/>
  <c r="AY363" i="3"/>
  <c r="AY228" i="3"/>
  <c r="BK6" i="3"/>
  <c r="AY28" i="3"/>
  <c r="AY294"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400" i="3"/>
  <c r="AY23" i="3"/>
  <c r="AY58" i="3"/>
  <c r="AY160" i="3"/>
  <c r="AY460" i="3"/>
  <c r="AY327" i="3"/>
  <c r="BE6" i="3"/>
  <c r="AY185" i="3"/>
  <c r="AY262"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51" i="3"/>
  <c r="AY281" i="3"/>
  <c r="AY139" i="3"/>
  <c r="AY106" i="3"/>
  <c r="AY569" i="3"/>
  <c r="AY176" i="3"/>
  <c r="AY61" i="3"/>
  <c r="AY109" i="3"/>
  <c r="BQ6" i="3"/>
  <c r="AY146" i="3"/>
  <c r="AY508" i="3"/>
  <c r="AY20" i="3"/>
  <c r="AY519" i="3"/>
  <c r="AY579" i="3"/>
  <c r="AY466" i="3"/>
  <c r="AY205" i="3"/>
  <c r="AY528" i="3"/>
  <c r="AY522" i="3"/>
  <c r="AY115" i="3"/>
  <c r="AY553" i="3"/>
  <c r="AY357" i="3"/>
  <c r="AY561" i="3"/>
  <c r="AY68" i="3"/>
  <c r="AY516" i="3"/>
  <c r="AY162" i="3"/>
  <c r="AY543" i="3"/>
  <c r="AY426" i="3"/>
  <c r="AY437" i="3"/>
  <c r="AY511" i="3"/>
  <c r="AY330" i="3"/>
  <c r="AY545" i="3"/>
  <c r="AY477" i="3"/>
  <c r="AY372" i="3"/>
  <c r="AY149" i="3"/>
  <c r="AY274" i="3"/>
  <c r="AY546" i="3"/>
  <c r="AY260" i="3"/>
  <c r="AY154" i="3"/>
  <c r="AY56" i="3"/>
  <c r="AY398" i="3"/>
  <c r="AY244" i="3"/>
  <c r="BS6" i="3"/>
  <c r="AY577" i="3"/>
  <c r="AY100" i="3"/>
  <c r="AY341" i="3"/>
  <c r="AY129" i="3"/>
  <c r="D3" i="6"/>
  <c r="AY531" i="3"/>
  <c r="AY405" i="3"/>
  <c r="AY459" i="3"/>
  <c r="AY537" i="3"/>
  <c r="AY339" i="3"/>
  <c r="BP6" i="3"/>
  <c r="AY443" i="3"/>
  <c r="AY563" i="3"/>
  <c r="AY393" i="3"/>
  <c r="AY38" i="3"/>
  <c r="AY240" i="3"/>
  <c r="AY354" i="3"/>
  <c r="AY483" i="3"/>
  <c r="AY311" i="3"/>
  <c r="AY582" i="3"/>
  <c r="AY432" i="3"/>
  <c r="AY220" i="3"/>
  <c r="AY352" i="3"/>
  <c r="AY194" i="3"/>
  <c r="AY254" i="3"/>
  <c r="AY144" i="3"/>
  <c r="AY253" i="3"/>
  <c r="AY74" i="3"/>
  <c r="AY409" i="3"/>
  <c r="AY465" i="3"/>
  <c r="AY108" i="3"/>
  <c r="AY342" i="3"/>
  <c r="AY462" i="3"/>
  <c r="AY435" i="3"/>
  <c r="AY480" i="3"/>
  <c r="AY221" i="3"/>
  <c r="AY216" i="3"/>
  <c r="AY386" i="3"/>
  <c r="AY246" i="3"/>
  <c r="AY535" i="3"/>
  <c r="AY326" i="3"/>
  <c r="AY312" i="3"/>
  <c r="AY490" i="3"/>
  <c r="AY396" i="3"/>
  <c r="AY473" i="3"/>
  <c r="BJ6" i="3"/>
  <c r="AY209" i="3"/>
  <c r="AY360" i="3"/>
  <c r="AY387" i="3"/>
  <c r="BN6" i="3"/>
  <c r="AY29" i="3"/>
  <c r="AY410" i="3"/>
  <c r="AY331" i="3"/>
  <c r="AY461" i="3"/>
  <c r="AY402" i="3"/>
  <c r="AY566" i="3"/>
  <c r="AY233" i="3"/>
  <c r="AY431" i="3"/>
  <c r="AY57" i="3"/>
  <c r="AY62" i="3"/>
  <c r="AY13" i="3"/>
  <c r="AY559" i="3"/>
  <c r="AY382" i="3"/>
  <c r="AY180" i="3"/>
  <c r="AY45" i="3"/>
  <c r="AY231" i="3"/>
  <c r="AY24" i="3"/>
  <c r="AY332" i="3"/>
  <c r="AY510" i="3"/>
  <c r="AY390" i="3"/>
  <c r="AY157" i="3"/>
  <c r="AY325" i="3"/>
  <c r="AY523" i="3"/>
  <c r="AY379" i="3"/>
  <c r="AY255" i="3"/>
  <c r="AY309" i="3"/>
  <c r="AY101" i="3"/>
  <c r="AY344" i="3"/>
  <c r="AY524" i="3"/>
  <c r="AY135" i="3"/>
  <c r="BL6" i="3"/>
  <c r="AY391" i="3"/>
  <c r="AY142" i="3"/>
  <c r="AY47" i="3"/>
  <c r="AY195" i="3"/>
  <c r="AY267" i="3"/>
  <c r="AY172" i="3"/>
  <c r="AY293" i="3"/>
  <c r="AY83" i="3"/>
  <c r="AY268" i="3"/>
  <c r="AY284" i="3"/>
  <c r="AY217" i="3"/>
  <c r="AY92" i="3"/>
  <c r="AY125" i="3"/>
  <c r="BH6" i="3"/>
  <c r="AY333" i="3"/>
  <c r="AY585" i="3"/>
  <c r="AY486" i="3"/>
  <c r="AY182" i="3"/>
  <c r="AY150" i="3"/>
  <c r="AY518" i="3"/>
  <c r="AY116" i="3"/>
  <c r="AY193" i="3"/>
  <c r="AY161" i="3"/>
  <c r="AY514" i="3"/>
  <c r="AY223" i="3"/>
  <c r="AY423" i="3"/>
  <c r="AY187" i="3"/>
  <c r="AY424" i="3"/>
  <c r="AY119" i="3"/>
  <c r="AY498" i="3"/>
  <c r="AY564" i="3"/>
  <c r="AY421" i="3"/>
  <c r="AY174" i="3"/>
  <c r="AY551" i="3"/>
  <c r="AY568" i="3"/>
  <c r="AY207" i="3"/>
  <c r="AY236" i="3"/>
  <c r="AY428" i="3"/>
  <c r="AY366" i="3"/>
  <c r="AY190" i="3"/>
  <c r="AY90" i="3"/>
  <c r="AY49" i="3"/>
  <c r="AY189" i="3"/>
  <c r="AY27" i="3"/>
  <c r="AY288" i="3"/>
  <c r="AY225" i="3"/>
  <c r="AY114" i="3"/>
  <c r="AY117" i="3"/>
  <c r="AY238" i="3"/>
  <c r="AY570" i="3"/>
  <c r="AY298" i="3"/>
  <c r="AY301" i="3"/>
  <c r="AY549" i="3"/>
  <c r="AY317" i="3"/>
  <c r="AY420" i="3"/>
  <c r="AY295" i="3"/>
  <c r="AY562" i="3"/>
  <c r="AY31" i="3"/>
  <c r="AY419" i="3"/>
  <c r="AY86" i="3"/>
  <c r="AY140" i="3"/>
  <c r="AY265" i="3"/>
  <c r="AY99" i="3"/>
  <c r="AY468" i="3"/>
  <c r="AY469" i="3"/>
  <c r="AY153" i="3"/>
  <c r="AY429" i="3"/>
  <c r="AY277" i="3"/>
  <c r="AY444" i="3"/>
  <c r="AY34" i="3"/>
  <c r="AY196" i="3"/>
  <c r="AY358" i="3"/>
  <c r="AY201" i="3"/>
  <c r="AY214" i="3"/>
  <c r="AY177" i="3"/>
  <c r="AY446" i="3"/>
  <c r="AY98" i="3"/>
  <c r="AY447" i="3"/>
  <c r="AY211" i="3"/>
  <c r="AY464" i="3"/>
  <c r="AY82" i="3"/>
  <c r="AY540" i="3"/>
  <c r="AY384" i="3"/>
  <c r="AY449" i="3"/>
  <c r="AY158" i="3"/>
  <c r="AY471" i="3"/>
  <c r="AY397" i="3"/>
  <c r="AY481" i="3"/>
  <c r="AY573" i="3"/>
  <c r="AY453" i="3"/>
  <c r="AY323" i="3"/>
  <c r="AY479" i="3"/>
  <c r="AY310" i="3"/>
  <c r="AY491" i="3"/>
  <c r="AY308" i="3"/>
  <c r="AY406" i="3"/>
  <c r="AY285" i="3"/>
  <c r="AY203" i="3"/>
  <c r="AY164" i="3"/>
  <c r="AY206" i="3"/>
  <c r="AY581" i="3"/>
  <c r="AY44" i="3"/>
  <c r="AY475" i="3"/>
  <c r="AY302" i="3"/>
  <c r="AY478" i="3"/>
  <c r="AY80" i="3"/>
  <c r="AY213" i="3"/>
  <c r="AY22" i="3"/>
  <c r="AY143" i="3"/>
  <c r="AY291" i="3"/>
  <c r="AY422" i="3"/>
  <c r="AY251" i="3"/>
  <c r="AY156" i="3"/>
  <c r="AY329" i="3"/>
  <c r="AY407" i="3"/>
  <c r="AY95" i="3"/>
  <c r="AY204" i="3"/>
  <c r="AY433" i="3"/>
  <c r="AY138" i="3"/>
  <c r="AY381" i="3"/>
  <c r="AY210" i="3"/>
  <c r="AY427" i="3"/>
  <c r="AY163" i="3"/>
  <c r="AY85" i="3"/>
  <c r="BI6" i="3"/>
  <c r="AY403" i="3"/>
  <c r="AY489" i="3"/>
  <c r="AY69" i="3"/>
  <c r="BB6" i="3"/>
  <c r="AY520" i="3"/>
  <c r="AY287" i="3"/>
  <c r="AY458" i="3"/>
  <c r="AY63" i="3"/>
  <c r="AY346" i="3"/>
  <c r="AY184" i="3"/>
  <c r="BD6" i="3"/>
  <c r="AY450" i="3"/>
  <c r="AY383" i="3"/>
  <c r="AY15" i="3"/>
  <c r="AY415" i="3"/>
  <c r="AY485" i="3"/>
  <c r="AY318" i="3"/>
  <c r="AY59" i="3"/>
  <c r="AY103" i="3"/>
  <c r="AY529" i="3"/>
  <c r="AY401" i="3"/>
  <c r="AY33" i="3"/>
  <c r="AY219" i="3"/>
  <c r="AY145" i="3"/>
  <c r="AY472" i="3"/>
  <c r="AY18" i="3"/>
  <c r="AY404" i="3"/>
  <c r="AY239" i="3"/>
  <c r="AY454" i="3"/>
  <c r="AY191" i="3"/>
  <c r="AY417" i="3"/>
  <c r="AY373" i="3"/>
  <c r="AY438" i="3"/>
  <c r="AY37" i="3"/>
  <c r="AY484" i="3"/>
  <c r="BR6" i="3"/>
  <c r="AY264" i="3"/>
  <c r="AY70" i="3"/>
  <c r="AY306" i="3"/>
  <c r="AY385" i="3"/>
  <c r="AY296" i="3"/>
  <c r="AY208" i="3"/>
  <c r="AY305" i="3"/>
  <c r="AY394" i="3"/>
  <c r="AY307" i="3"/>
  <c r="AY42" i="3"/>
  <c r="AY123" i="3"/>
  <c r="AY395" i="3"/>
  <c r="AY289" i="3"/>
  <c r="AY509" i="3"/>
  <c r="AY16" i="3"/>
  <c r="AY375" i="3"/>
  <c r="AY283" i="3"/>
  <c r="AY369" i="3"/>
  <c r="AY64" i="3"/>
  <c r="AY52" i="3"/>
  <c r="AY541" i="3"/>
  <c r="BM6" i="3"/>
  <c r="AY532" i="3"/>
  <c r="AY494" i="3"/>
  <c r="AY192" i="3"/>
  <c r="AY241" i="3"/>
  <c r="AY17" i="3"/>
  <c r="AY21" i="3"/>
  <c r="AY54" i="3"/>
  <c r="AY131" i="3"/>
  <c r="AY300" i="3"/>
  <c r="AY165" i="3"/>
  <c r="AY259" i="3"/>
  <c r="AY75" i="3"/>
  <c r="AY93" i="3"/>
  <c r="AY147" i="3"/>
  <c r="AY88" i="3"/>
  <c r="AY282" i="3"/>
  <c r="BA6" i="3"/>
  <c r="AY179" i="3"/>
  <c r="AY418" i="3"/>
  <c r="AY474" i="3"/>
  <c r="AY451" i="3"/>
  <c r="AY168" i="3"/>
  <c r="AY452" i="3"/>
  <c r="AY166" i="3"/>
  <c r="AY321" i="3"/>
  <c r="AY132" i="3"/>
  <c r="AY276" i="3"/>
  <c r="AY534" i="3"/>
  <c r="AY197" i="3"/>
  <c r="AY229" i="3"/>
  <c r="AY118" i="3"/>
  <c r="AY526" i="3"/>
  <c r="AY43" i="3"/>
  <c r="AY234" i="3"/>
  <c r="AY378" i="3"/>
  <c r="AY338" i="3"/>
  <c r="AY120" i="3"/>
  <c r="AY476" i="3"/>
  <c r="AY351" i="3"/>
  <c r="AY371" i="3"/>
  <c r="AY463" i="3"/>
  <c r="AY278" i="3"/>
  <c r="AY316" i="3"/>
  <c r="AY355" i="3"/>
  <c r="AY226" i="3"/>
  <c r="AY343" i="3"/>
  <c r="AY324" i="3"/>
  <c r="AY345" i="3"/>
  <c r="AY127" i="3"/>
  <c r="AY367" i="3"/>
  <c r="AY548" i="3"/>
  <c r="AY250" i="3"/>
  <c r="AY257" i="3"/>
  <c r="AY67" i="3"/>
  <c r="AY66" i="3"/>
  <c r="AY222" i="3"/>
  <c r="AY315" i="3"/>
  <c r="AY65" i="3"/>
  <c r="AY263" i="3"/>
  <c r="AY279" i="3"/>
  <c r="AY35" i="3"/>
  <c r="AY555" i="3"/>
  <c r="AY107" i="3"/>
  <c r="AY111" i="3"/>
  <c r="AY104" i="3"/>
  <c r="AY25" i="3"/>
  <c r="AY198" i="3"/>
  <c r="AY506" i="3"/>
  <c r="AY456" i="3"/>
  <c r="AY586" i="3"/>
  <c r="AY576" i="3"/>
  <c r="AY515" i="3"/>
  <c r="AY513" i="3"/>
  <c r="AY183" i="3"/>
  <c r="AY544" i="3"/>
  <c r="AY374" i="3"/>
  <c r="AY411" i="3"/>
  <c r="BO6" i="3"/>
  <c r="AY525" i="3"/>
  <c r="AY84" i="3"/>
  <c r="AY580" i="3"/>
  <c r="AY442" i="3"/>
  <c r="AY314" i="3"/>
  <c r="AY416" i="3"/>
  <c r="AY347" i="3"/>
  <c r="AY505" i="3"/>
  <c r="AY521" i="3"/>
  <c r="AY252" i="3"/>
  <c r="AY507" i="3"/>
  <c r="AY60" i="3"/>
  <c r="AY91" i="3"/>
  <c r="AY188" i="3"/>
  <c r="AY173" i="3"/>
  <c r="AY504" i="3"/>
  <c r="AY538" i="3"/>
  <c r="AY121" i="3"/>
  <c r="AY470" i="3"/>
  <c r="AY349" i="3"/>
  <c r="AY186" i="3"/>
  <c r="AY258" i="3"/>
  <c r="AY542" i="3"/>
  <c r="AY55" i="3"/>
  <c r="AY336" i="3"/>
  <c r="AY272" i="3"/>
  <c r="AY248" i="3"/>
  <c r="AY155" i="3"/>
  <c r="AY319" i="3"/>
  <c r="AY76" i="3"/>
  <c r="AY202" i="3"/>
  <c r="AY571" i="3"/>
  <c r="AY126" i="3"/>
  <c r="AY112" i="3"/>
  <c r="AY134" i="3"/>
  <c r="AY96" i="3"/>
  <c r="AY502" i="3"/>
  <c r="AY517" i="3"/>
  <c r="AY122" i="3"/>
  <c r="AY175" i="3"/>
  <c r="AY79" i="3"/>
  <c r="AY124" i="3"/>
  <c r="AY245" i="3"/>
  <c r="C26" i="11"/>
  <c r="D22" i="11" s="1"/>
  <c r="C47" i="68"/>
  <c r="D45" i="68" s="1"/>
  <c r="C29" i="68"/>
  <c r="D27" i="68" s="1"/>
  <c r="F45" i="68"/>
  <c r="B2" i="76"/>
  <c r="B3" i="76" s="1"/>
  <c r="R49" i="33"/>
  <c r="E48" i="33"/>
  <c r="G47" i="37"/>
  <c r="H47" i="37" s="1"/>
  <c r="G46" i="37"/>
  <c r="H46" i="37" s="1"/>
  <c r="S7" i="36"/>
  <c r="AA7" i="36"/>
  <c r="R36" i="36" s="1"/>
  <c r="U7" i="21"/>
  <c r="AB7" i="21"/>
  <c r="E42" i="37"/>
  <c r="R43" i="37"/>
  <c r="U7" i="34"/>
  <c r="AB7" i="34"/>
  <c r="T49" i="34" s="1"/>
  <c r="G49" i="34" s="1"/>
  <c r="AC7" i="36"/>
  <c r="V36" i="36" s="1"/>
  <c r="I36" i="36" s="1"/>
  <c r="W7" i="36"/>
  <c r="C23" i="68"/>
  <c r="J26" i="67"/>
  <c r="J29" i="67" s="1"/>
  <c r="E69" i="39"/>
  <c r="F67" i="39"/>
  <c r="F63" i="40"/>
  <c r="E65" i="40"/>
  <c r="J7" i="34"/>
  <c r="C39" i="35"/>
  <c r="M3" i="35" s="1"/>
  <c r="C38" i="35"/>
  <c r="B3" i="43"/>
  <c r="F7" i="34"/>
  <c r="U7" i="33"/>
  <c r="AB7" i="33"/>
  <c r="T48" i="33" s="1"/>
  <c r="G48" i="33" s="1"/>
  <c r="S7" i="21"/>
  <c r="AA7" i="21"/>
  <c r="E43" i="35"/>
  <c r="F43" i="35" s="1"/>
  <c r="E42" i="35"/>
  <c r="F42" i="35" s="1"/>
  <c r="AC7" i="33"/>
  <c r="V48" i="33" s="1"/>
  <c r="I48" i="33" s="1"/>
  <c r="W7" i="33"/>
  <c r="H7" i="36"/>
  <c r="C26" i="67"/>
  <c r="C23" i="67"/>
  <c r="C23" i="15"/>
  <c r="C29" i="15" s="1"/>
  <c r="Q49" i="15" s="1"/>
  <c r="C66" i="15"/>
  <c r="C66" i="67"/>
  <c r="C38" i="67"/>
  <c r="C38" i="15"/>
  <c r="C20" i="9"/>
  <c r="C19" i="9"/>
  <c r="C34" i="69"/>
  <c r="D10" i="69"/>
  <c r="C22" i="69" l="1"/>
  <c r="C102" i="9"/>
  <c r="C103" i="9"/>
  <c r="C31" i="69"/>
  <c r="P37" i="43"/>
  <c r="M37" i="43"/>
  <c r="O37" i="43"/>
  <c r="Q37" i="43"/>
  <c r="C10" i="69"/>
  <c r="D19" i="69"/>
  <c r="D37" i="69" s="1"/>
  <c r="C37" i="69" s="1"/>
  <c r="C38" i="69"/>
  <c r="C35" i="69"/>
  <c r="C38" i="68"/>
  <c r="C35" i="68"/>
  <c r="AQ6" i="1"/>
  <c r="T6" i="1"/>
  <c r="T16" i="1" s="1"/>
  <c r="AR6" i="1"/>
  <c r="S16" i="1"/>
  <c r="E6" i="70"/>
  <c r="E2" i="70" s="1"/>
  <c r="M19" i="9"/>
  <c r="C118" i="9" s="1"/>
  <c r="L19" i="9"/>
  <c r="C21" i="9" s="1"/>
  <c r="D5" i="6"/>
  <c r="D29" i="6"/>
  <c r="D15" i="6"/>
  <c r="D24" i="6"/>
  <c r="D10" i="6"/>
  <c r="H25" i="6"/>
  <c r="D28" i="6"/>
  <c r="D30" i="6" s="1"/>
  <c r="H24" i="6"/>
  <c r="D14" i="6"/>
  <c r="D8" i="6"/>
  <c r="D26" i="6"/>
  <c r="D6" i="6"/>
  <c r="C18" i="4"/>
  <c r="D21" i="6"/>
  <c r="R21" i="6" s="1"/>
  <c r="D22" i="6"/>
  <c r="D13" i="6"/>
  <c r="D20" i="6"/>
  <c r="D25" i="6"/>
  <c r="R25" i="6" s="1"/>
  <c r="H22" i="6"/>
  <c r="E61" i="40"/>
  <c r="D23" i="6"/>
  <c r="H26" i="6"/>
  <c r="D12" i="6"/>
  <c r="H23" i="6"/>
  <c r="D9" i="6"/>
  <c r="D11" i="6"/>
  <c r="D19" i="6"/>
  <c r="H21" i="6"/>
  <c r="H20" i="6"/>
  <c r="H19" i="6"/>
  <c r="H27" i="6" s="1"/>
  <c r="D17" i="12"/>
  <c r="C17" i="12" s="1"/>
  <c r="C14" i="12"/>
  <c r="C16" i="12" s="1"/>
  <c r="F50" i="69"/>
  <c r="F50" i="11"/>
  <c r="F50" i="68"/>
  <c r="D10" i="11"/>
  <c r="C10" i="11" s="1"/>
  <c r="D10" i="68"/>
  <c r="D20" i="12"/>
  <c r="C20" i="12" s="1"/>
  <c r="C18" i="12" s="1"/>
  <c r="M27" i="6"/>
  <c r="I19" i="6"/>
  <c r="C20" i="11"/>
  <c r="C25" i="11" s="1"/>
  <c r="C22" i="11" s="1"/>
  <c r="C28" i="11"/>
  <c r="C27" i="11" s="1"/>
  <c r="C35" i="11"/>
  <c r="C38" i="11"/>
  <c r="AA7" i="34"/>
  <c r="R49" i="34" s="1"/>
  <c r="S7" i="34"/>
  <c r="I41" i="36"/>
  <c r="J41" i="36" s="1"/>
  <c r="I40" i="36"/>
  <c r="J40" i="36" s="1"/>
  <c r="C43" i="37"/>
  <c r="C42" i="37"/>
  <c r="R37" i="36"/>
  <c r="E36" i="36"/>
  <c r="E53" i="33"/>
  <c r="F53" i="33" s="1"/>
  <c r="E52" i="33"/>
  <c r="F52" i="33" s="1"/>
  <c r="C29" i="67"/>
  <c r="Q49" i="67" s="1"/>
  <c r="I53" i="33"/>
  <c r="J53" i="33" s="1"/>
  <c r="I52" i="33"/>
  <c r="J52" i="33" s="1"/>
  <c r="G53" i="34"/>
  <c r="H53" i="34" s="1"/>
  <c r="E47" i="37"/>
  <c r="F47" i="37" s="1"/>
  <c r="E46" i="37"/>
  <c r="F46" i="37" s="1"/>
  <c r="I47" i="37"/>
  <c r="J47" i="37" s="1"/>
  <c r="C48" i="33"/>
  <c r="C49" i="33"/>
  <c r="W7" i="34"/>
  <c r="AC7" i="34"/>
  <c r="V49" i="34" s="1"/>
  <c r="I49" i="34" s="1"/>
  <c r="G53" i="33"/>
  <c r="H53" i="33" s="1"/>
  <c r="G52" i="33"/>
  <c r="H52" i="33" s="1"/>
  <c r="F65" i="40"/>
  <c r="G63" i="40"/>
  <c r="U7" i="36"/>
  <c r="AB7" i="36"/>
  <c r="T36" i="36" s="1"/>
  <c r="G36" i="36" s="1"/>
  <c r="G67" i="39"/>
  <c r="F69" i="39"/>
  <c r="C13" i="15"/>
  <c r="C37" i="15" s="1"/>
  <c r="C36" i="15"/>
  <c r="J14" i="15"/>
  <c r="J22" i="15" s="1"/>
  <c r="J59" i="15"/>
  <c r="J60" i="15" s="1"/>
  <c r="Q48" i="15" s="1"/>
  <c r="C57" i="15"/>
  <c r="C64" i="15" s="1"/>
  <c r="C33" i="69" l="1"/>
  <c r="C31" i="11"/>
  <c r="C39" i="69"/>
  <c r="C43" i="69" s="1"/>
  <c r="C42" i="69"/>
  <c r="R26" i="6"/>
  <c r="C13" i="67"/>
  <c r="C37" i="67" s="1"/>
  <c r="C10" i="68"/>
  <c r="D19" i="68"/>
  <c r="R23" i="6"/>
  <c r="R20" i="6"/>
  <c r="C4" i="52"/>
  <c r="B45" i="72" s="1"/>
  <c r="A10" i="51"/>
  <c r="B9" i="72" s="1"/>
  <c r="A7" i="51"/>
  <c r="B7" i="72" s="1"/>
  <c r="D16" i="6"/>
  <c r="C33" i="11"/>
  <c r="S19" i="6"/>
  <c r="S27" i="6" s="1"/>
  <c r="I27" i="6"/>
  <c r="C21" i="12"/>
  <c r="D27" i="6"/>
  <c r="D31" i="6" s="1"/>
  <c r="R19" i="6"/>
  <c r="R22" i="6"/>
  <c r="R24" i="6"/>
  <c r="C57" i="67"/>
  <c r="C64" i="67" s="1"/>
  <c r="C36" i="67"/>
  <c r="H67" i="39"/>
  <c r="G69" i="39"/>
  <c r="C36" i="36"/>
  <c r="C37" i="36"/>
  <c r="J14" i="67"/>
  <c r="J13" i="67" s="1"/>
  <c r="J23" i="67" s="1"/>
  <c r="G40" i="36"/>
  <c r="H40" i="36" s="1"/>
  <c r="G41" i="36"/>
  <c r="H41" i="36" s="1"/>
  <c r="J59" i="67"/>
  <c r="J60" i="67" s="1"/>
  <c r="L46" i="67" s="1"/>
  <c r="H63" i="40"/>
  <c r="G65" i="40"/>
  <c r="I54" i="34"/>
  <c r="J54" i="34" s="1"/>
  <c r="I53" i="34"/>
  <c r="J53" i="34" s="1"/>
  <c r="G54" i="34"/>
  <c r="H54" i="34" s="1"/>
  <c r="E40" i="36"/>
  <c r="F40" i="36" s="1"/>
  <c r="E41" i="36"/>
  <c r="F41" i="36" s="1"/>
  <c r="R50" i="34"/>
  <c r="E49" i="34"/>
  <c r="C75" i="67"/>
  <c r="J13" i="15"/>
  <c r="J23" i="15" s="1"/>
  <c r="J16" i="15" s="1"/>
  <c r="J25" i="15" s="1"/>
  <c r="C75" i="15"/>
  <c r="C30" i="15"/>
  <c r="C39" i="15" s="1"/>
  <c r="C40" i="15" s="1"/>
  <c r="C56" i="15"/>
  <c r="C65" i="15" s="1"/>
  <c r="C58" i="15" s="1"/>
  <c r="C67" i="15" s="1"/>
  <c r="C68" i="15" s="1"/>
  <c r="C71" i="15" s="1"/>
  <c r="Q70" i="15"/>
  <c r="L46" i="15"/>
  <c r="C46" i="69" l="1"/>
  <c r="C45" i="69" s="1"/>
  <c r="C56" i="67"/>
  <c r="C65" i="67" s="1"/>
  <c r="C58" i="67" s="1"/>
  <c r="C67" i="67" s="1"/>
  <c r="C68" i="67" s="1"/>
  <c r="C71" i="67" s="1"/>
  <c r="C30" i="67"/>
  <c r="C39" i="67" s="1"/>
  <c r="C41" i="69"/>
  <c r="C49" i="69" s="1"/>
  <c r="C51" i="69" s="1"/>
  <c r="C52" i="69" s="1"/>
  <c r="B2" i="69" s="1"/>
  <c r="Q70" i="67"/>
  <c r="Q48" i="67"/>
  <c r="J22" i="67"/>
  <c r="J16" i="67" s="1"/>
  <c r="J25" i="67" s="1"/>
  <c r="R6" i="1"/>
  <c r="R16" i="1" s="1"/>
  <c r="R27" i="6"/>
  <c r="D37" i="68"/>
  <c r="C37" i="68" s="1"/>
  <c r="C33" i="68" s="1"/>
  <c r="C19" i="68"/>
  <c r="I5" i="6"/>
  <c r="I6" i="6"/>
  <c r="C39" i="11"/>
  <c r="C43" i="11" s="1"/>
  <c r="C42" i="11"/>
  <c r="C22" i="12"/>
  <c r="C30" i="12" s="1"/>
  <c r="C28" i="12" s="1"/>
  <c r="E54" i="34"/>
  <c r="F54" i="34" s="1"/>
  <c r="E53" i="34"/>
  <c r="F53" i="34" s="1"/>
  <c r="H65" i="40"/>
  <c r="I63" i="40"/>
  <c r="C50" i="34"/>
  <c r="C49" i="34"/>
  <c r="H69" i="39"/>
  <c r="I67" i="39"/>
  <c r="Q69" i="15"/>
  <c r="Q68" i="15" s="1"/>
  <c r="C80" i="15"/>
  <c r="C79" i="15" s="1"/>
  <c r="C40" i="67"/>
  <c r="Q56" i="67" s="1"/>
  <c r="Q47" i="15"/>
  <c r="Q53" i="15" s="1"/>
  <c r="B2" i="15"/>
  <c r="B3" i="15" s="1"/>
  <c r="C43" i="15"/>
  <c r="Q56" i="15"/>
  <c r="Q65" i="15"/>
  <c r="C83" i="15"/>
  <c r="C82" i="15" s="1"/>
  <c r="C46" i="15"/>
  <c r="L51" i="67"/>
  <c r="B3" i="69"/>
  <c r="D20" i="9" s="1"/>
  <c r="D19" i="9"/>
  <c r="AO6" i="1"/>
  <c r="L51" i="15"/>
  <c r="Q67" i="67" l="1"/>
  <c r="L57" i="67"/>
  <c r="L60" i="67" s="1"/>
  <c r="Q66" i="67" s="1"/>
  <c r="Q69" i="67"/>
  <c r="Q68" i="67" s="1"/>
  <c r="C80" i="67"/>
  <c r="C79" i="67" s="1"/>
  <c r="C27" i="12"/>
  <c r="C25" i="12" s="1"/>
  <c r="C32" i="12" s="1"/>
  <c r="B2" i="12" s="1"/>
  <c r="B3" i="12" s="1"/>
  <c r="B6" i="70"/>
  <c r="B2" i="70" s="1"/>
  <c r="B3" i="70" s="1"/>
  <c r="D22" i="9"/>
  <c r="D102" i="9"/>
  <c r="G19" i="9"/>
  <c r="D21" i="9"/>
  <c r="G20" i="9"/>
  <c r="C27" i="9" s="1"/>
  <c r="D27" i="9" s="1"/>
  <c r="D103" i="9"/>
  <c r="C46" i="11"/>
  <c r="C45" i="11" s="1"/>
  <c r="C57" i="69"/>
  <c r="C56" i="69" s="1"/>
  <c r="C41" i="11"/>
  <c r="C20" i="68"/>
  <c r="C25" i="68" s="1"/>
  <c r="C24" i="68"/>
  <c r="C42" i="68"/>
  <c r="C39" i="68"/>
  <c r="C43" i="68" s="1"/>
  <c r="J63" i="40"/>
  <c r="I65" i="40"/>
  <c r="I69" i="39"/>
  <c r="J67" i="39"/>
  <c r="C45" i="67"/>
  <c r="C46" i="67" s="1"/>
  <c r="L57" i="15"/>
  <c r="L60" i="15" s="1"/>
  <c r="Q57" i="15" s="1"/>
  <c r="Q62" i="15" s="1"/>
  <c r="Q67" i="15"/>
  <c r="Q65" i="67"/>
  <c r="C43" i="67"/>
  <c r="Q47" i="67"/>
  <c r="Q53" i="67" s="1"/>
  <c r="D2" i="67"/>
  <c r="B3" i="67" s="1"/>
  <c r="C83" i="67"/>
  <c r="C82" i="67" s="1"/>
  <c r="C32" i="9" l="1"/>
  <c r="C35" i="9" s="1"/>
  <c r="C34" i="9" s="1"/>
  <c r="Q57" i="67"/>
  <c r="Q62" i="67" s="1"/>
  <c r="C41" i="68"/>
  <c r="Q75" i="67"/>
  <c r="C28" i="68"/>
  <c r="C27" i="68" s="1"/>
  <c r="C22" i="68"/>
  <c r="G21" i="9"/>
  <c r="D14" i="74"/>
  <c r="Q66" i="15"/>
  <c r="Q75" i="15" s="1"/>
  <c r="C49" i="11"/>
  <c r="C51" i="11" s="1"/>
  <c r="C46" i="68"/>
  <c r="C45" i="68" s="1"/>
  <c r="C49" i="68" s="1"/>
  <c r="C51" i="68" s="1"/>
  <c r="K67" i="39"/>
  <c r="J69" i="39"/>
  <c r="K63" i="40"/>
  <c r="J65" i="40"/>
  <c r="B2" i="67"/>
  <c r="C31" i="68" l="1"/>
  <c r="B5" i="74"/>
  <c r="E14" i="74"/>
  <c r="F14" i="74"/>
  <c r="C52" i="11"/>
  <c r="B2" i="11" s="1"/>
  <c r="B3" i="11" s="1"/>
  <c r="C52" i="68"/>
  <c r="B2" i="68" s="1"/>
  <c r="B3" i="68" s="1"/>
  <c r="L63" i="40"/>
  <c r="K65" i="40"/>
  <c r="L67" i="39"/>
  <c r="K69" i="39"/>
  <c r="C56" i="11" l="1"/>
  <c r="C57" i="11" s="1"/>
  <c r="D5" i="74"/>
  <c r="C57" i="68"/>
  <c r="C56" i="68" s="1"/>
  <c r="L69" i="39"/>
  <c r="M67" i="39"/>
  <c r="M63" i="40"/>
  <c r="L65" i="40"/>
  <c r="M69" i="39" l="1"/>
  <c r="N67" i="39"/>
  <c r="M65" i="40"/>
  <c r="N63" i="40"/>
  <c r="O63" i="40" l="1"/>
  <c r="O65" i="40" s="1"/>
  <c r="N65" i="40"/>
  <c r="O67" i="39"/>
  <c r="O69" i="39" s="1"/>
  <c r="N69" i="39"/>
  <c r="H7" i="39" l="1"/>
  <c r="F7" i="39"/>
  <c r="J7" i="39"/>
  <c r="J7" i="40"/>
  <c r="H7" i="40"/>
  <c r="F7" i="40"/>
  <c r="W7" i="40" l="1"/>
  <c r="AC7" i="40"/>
  <c r="V42" i="40" s="1"/>
  <c r="I42" i="40" s="1"/>
  <c r="AC7" i="39"/>
  <c r="V47" i="39" s="1"/>
  <c r="I47" i="39" s="1"/>
  <c r="W7" i="39"/>
  <c r="AA7" i="40"/>
  <c r="R42" i="40" s="1"/>
  <c r="S7" i="40"/>
  <c r="S7" i="39"/>
  <c r="AA7" i="39"/>
  <c r="R47" i="39" s="1"/>
  <c r="U7" i="40"/>
  <c r="AB7" i="40"/>
  <c r="T42" i="40" s="1"/>
  <c r="G42" i="40" s="1"/>
  <c r="U7" i="39"/>
  <c r="AB7" i="39"/>
  <c r="T47" i="39" s="1"/>
  <c r="G47" i="39" s="1"/>
  <c r="I51" i="39" l="1"/>
  <c r="J51" i="39" s="1"/>
  <c r="G52" i="39"/>
  <c r="H52" i="39" s="1"/>
  <c r="G51" i="39"/>
  <c r="H51" i="39" s="1"/>
  <c r="I46" i="40"/>
  <c r="J46" i="40" s="1"/>
  <c r="R48" i="39"/>
  <c r="E47" i="39"/>
  <c r="G47" i="40"/>
  <c r="H47" i="40" s="1"/>
  <c r="G46" i="40"/>
  <c r="H46" i="40" s="1"/>
  <c r="E42" i="40"/>
  <c r="I47" i="40" s="1"/>
  <c r="J47" i="40" s="1"/>
  <c r="R43" i="40"/>
  <c r="E52" i="39" l="1"/>
  <c r="F52" i="39" s="1"/>
  <c r="E51" i="39"/>
  <c r="F51" i="39" s="1"/>
  <c r="C43" i="40"/>
  <c r="C42" i="40"/>
  <c r="C47" i="39"/>
  <c r="C48" i="39"/>
  <c r="E46" i="40"/>
  <c r="F46" i="40" s="1"/>
  <c r="E47" i="40"/>
  <c r="F47" i="40" s="1"/>
  <c r="I52" i="39"/>
  <c r="J52" i="39" s="1"/>
  <c r="B54" i="40" l="1"/>
  <c r="F54" i="40" s="1"/>
  <c r="B52" i="40"/>
  <c r="F52" i="40" s="1"/>
  <c r="F61" i="40"/>
  <c r="B2" i="40" s="1"/>
  <c r="B3" i="40" s="1"/>
  <c r="B59" i="40"/>
  <c r="F59" i="40" s="1"/>
  <c r="B53" i="40"/>
  <c r="F53" i="40" s="1"/>
  <c r="B57" i="40"/>
  <c r="F57" i="40" s="1"/>
  <c r="B60" i="40"/>
  <c r="F60" i="40" s="1"/>
  <c r="B58" i="40"/>
  <c r="F58" i="40" s="1"/>
  <c r="B56" i="40"/>
  <c r="F56" i="40" s="1"/>
  <c r="B51" i="40"/>
  <c r="F51" i="40" s="1"/>
  <c r="B56" i="39"/>
  <c r="F56" i="39" s="1"/>
  <c r="F65" i="39" s="1"/>
  <c r="B2" i="39" s="1"/>
  <c r="B3" i="39" s="1"/>
  <c r="B64" i="39"/>
  <c r="F64" i="39" s="1"/>
  <c r="B57" i="39"/>
  <c r="F57" i="39" s="1"/>
  <c r="B60" i="39"/>
  <c r="F60" i="39" s="1"/>
  <c r="B59" i="39"/>
  <c r="F59" i="39" s="1"/>
  <c r="B61" i="39"/>
  <c r="F61" i="39" s="1"/>
  <c r="B62" i="39"/>
  <c r="F62" i="39" s="1"/>
  <c r="B63" i="39"/>
  <c r="F63" i="39" s="1"/>
  <c r="B58" i="39"/>
  <c r="F58" i="39" s="1"/>
  <c r="N61" i="9"/>
  <c r="N60" i="9"/>
  <c r="D52" i="9"/>
  <c r="D53" i="9"/>
  <c r="H4" i="52"/>
  <c r="C104" i="9"/>
  <c r="B21" i="72"/>
  <c r="I4" i="52"/>
  <c r="C105" i="9"/>
  <c r="D9" i="52"/>
  <c r="C6" i="74"/>
  <c r="N58" i="9"/>
  <c r="N59" i="9"/>
  <c r="P57" i="9"/>
  <c r="M48" i="9"/>
  <c r="M54" i="9"/>
  <c r="B47" i="72"/>
  <c r="N57" i="9"/>
  <c r="E81" i="9"/>
  <c r="D8" i="52"/>
  <c r="D122" i="9"/>
  <c r="D123" i="9"/>
  <c r="C93" i="9"/>
  <c r="C86" i="9"/>
  <c r="C5" i="74"/>
  <c r="H102" i="9"/>
  <c r="D7" i="53"/>
  <c r="B20" i="72"/>
  <c r="C78" i="9"/>
  <c r="C73" i="9"/>
  <c r="C68" i="9"/>
  <c r="D54" i="9"/>
  <c r="D5" i="52"/>
  <c r="B49" i="72"/>
  <c r="B48" i="72"/>
  <c r="B30" i="72"/>
  <c r="D59" i="9"/>
  <c r="M55" i="9"/>
  <c r="D5" i="53"/>
  <c r="D6" i="53"/>
  <c r="B22" i="72"/>
  <c r="G4" i="52"/>
  <c r="B52" i="72"/>
  <c r="H108" i="9"/>
  <c r="D15" i="53"/>
  <c r="B31" i="72"/>
  <c r="C81" i="9"/>
  <c r="H119" i="9"/>
  <c r="H5" i="52"/>
  <c r="F119" i="9"/>
  <c r="F5" i="52"/>
  <c r="B53" i="72"/>
  <c r="E4" i="52"/>
  <c r="H107" i="9"/>
  <c r="D13" i="53"/>
  <c r="D14" i="53"/>
  <c r="B32" i="72"/>
  <c r="G118" i="9"/>
  <c r="F118" i="9"/>
  <c r="F4" i="52"/>
  <c r="B51" i="72"/>
  <c r="C97" i="9"/>
  <c r="D58" i="9"/>
  <c r="D56" i="9"/>
  <c r="D4" i="52"/>
  <c r="E118" i="9"/>
  <c r="D118" i="9"/>
  <c r="D119" i="9"/>
  <c r="C85" i="9"/>
  <c r="C95" i="9"/>
  <c r="C96" i="9"/>
  <c r="E96" i="9"/>
  <c r="E97" i="9"/>
  <c r="D55" i="9"/>
  <c r="M53" i="9"/>
  <c r="C64" i="9"/>
  <c r="C63" i="9"/>
  <c r="C67"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<sst xmlns="http://schemas.openxmlformats.org/spreadsheetml/2006/main" count="8469" uniqueCount="3597">
  <si>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</si>
  <si>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</si>
  <si>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</si>
  <si>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</si>
  <si>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</si>
  <si>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</si>
  <si>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</si>
  <si>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</si>
  <si>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</si>
  <si>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</si>
  <si>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</si>
  <si>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</si>
  <si>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</si>
  <si>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</si>
  <si>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</si>
  <si>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</si>
  <si>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</si>
  <si>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</si>
  <si>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</si>
  <si>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</si>
  <si>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</si>
  <si>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</si>
  <si>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</si>
  <si>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</si>
  <si>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</si>
  <si>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</si>
  <si>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</si>
  <si>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</si>
  <si>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</si>
  <si>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</si>
  <si>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</si>
  <si>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</si>
  <si>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</si>
  <si>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</si>
  <si>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</si>
  <si>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</si>
  <si>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</si>
  <si>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</si>
  <si>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</si>
  <si>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</si>
  <si>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</si>
  <si>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</si>
  <si>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</si>
  <si>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</si>
  <si>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</si>
  <si>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</si>
  <si>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</si>
  <si>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</si>
  <si>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</si>
  <si>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</si>
  <si>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</si>
  <si>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</si>
  <si>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</si>
  <si>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</si>
  <si>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</si>
  <si>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</si>
  <si>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</si>
  <si>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</si>
  <si>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</si>
  <si>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</si>
  <si>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</si>
  <si>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</si>
  <si>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</si>
  <si>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</si>
  <si>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</si>
  <si>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</si>
  <si>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</si>
  <si>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</si>
  <si>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</si>
  <si>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</si>
  <si>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</si>
  <si>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</si>
  <si>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</si>
  <si>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</si>
  <si>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</si>
  <si>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</si>
  <si>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</si>
  <si>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</si>
  <si>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</si>
  <si>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</si>
  <si>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</si>
  <si>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</si>
  <si>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</si>
  <si>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</si>
  <si>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</si>
  <si>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</si>
  <si>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</si>
  <si>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</si>
  <si>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</si>
  <si>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</si>
  <si>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</si>
  <si>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</si>
  <si>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</si>
  <si>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</si>
  <si>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</si>
  <si>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</si>
  <si>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</si>
  <si>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</si>
  <si>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</si>
  <si>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</si>
  <si>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</si>
  <si>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</si>
  <si>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</si>
  <si>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</si>
  <si>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</si>
  <si>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</si>
  <si>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</si>
  <si>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</si>
  <si>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</si>
  <si>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</si>
  <si>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</si>
  <si>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</si>
  <si>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</si>
  <si>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</si>
  <si>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</si>
  <si>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</si>
  <si>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</si>
  <si>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</si>
  <si>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</si>
  <si>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</si>
  <si>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</si>
  <si>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</si>
  <si>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</si>
  <si>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</si>
  <si>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</si>
  <si>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</si>
  <si>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</si>
  <si>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</si>
  <si>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</si>
  <si>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</si>
  <si>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</si>
  <si>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</si>
  <si>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</si>
  <si>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</si>
  <si>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</si>
  <si>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</si>
  <si>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</si>
  <si>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</si>
  <si>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</si>
  <si>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</si>
  <si>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</si>
  <si>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</si>
  <si>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</si>
  <si>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</si>
  <si>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</si>
  <si>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</si>
  <si>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</si>
  <si>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</si>
  <si>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</si>
  <si>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</si>
  <si>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</si>
  <si>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</si>
  <si>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</si>
  <si>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</si>
  <si>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</si>
  <si>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</si>
  <si>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</si>
  <si>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</si>
  <si>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</si>
  <si>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</si>
  <si>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</si>
  <si>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</si>
  <si>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</si>
  <si>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</si>
  <si>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</si>
  <si>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</si>
  <si>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</si>
  <si>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</si>
  <si>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</si>
  <si>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</si>
  <si>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</si>
  <si>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</si>
  <si>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</si>
  <si>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</si>
  <si>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</si>
  <si>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</si>
  <si>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</si>
  <si>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</si>
  <si>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</si>
  <si>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</si>
  <si>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</si>
  <si>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</si>
  <si>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</si>
  <si>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</si>
  <si>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</si>
  <si>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</si>
  <si>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</si>
  <si>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</si>
  <si>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</si>
  <si>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</si>
  <si>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</si>
  <si>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</si>
  <si>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</si>
  <si>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</si>
  <si>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</si>
  <si>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</si>
  <si>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</si>
  <si>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</si>
  <si>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</si>
  <si>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</si>
  <si>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</si>
  <si>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</si>
  <si>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</si>
  <si>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</si>
  <si>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</si>
  <si>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</si>
  <si>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</si>
  <si>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</si>
  <si>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</si>
  <si>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</si>
  <si>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</si>
  <si>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</si>
  <si>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</si>
  <si>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</si>
  <si>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</si>
  <si>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</si>
  <si>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</si>
  <si>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</si>
  <si>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</si>
  <si>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</si>
  <si>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</si>
  <si>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</si>
  <si>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</si>
  <si>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</si>
  <si>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</si>
  <si>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</si>
  <si>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</si>
  <si>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</si>
  <si>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</si>
  <si>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</si>
  <si>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</si>
  <si>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</si>
  <si>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</si>
  <si>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</si>
  <si>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</si>
  <si>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</si>
  <si>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</si>
  <si>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</si>
  <si>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</si>
  <si>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</si>
  <si>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</si>
  <si>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</si>
  <si>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</si>
  <si>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</si>
  <si>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</si>
  <si>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</si>
  <si>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</si>
  <si>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</si>
  <si>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</si>
  <si>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</si>
  <si>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</si>
  <si>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</si>
  <si>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</si>
  <si>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</si>
  <si>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</si>
  <si>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</si>
  <si>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</si>
  <si>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</si>
  <si>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</si>
  <si>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</si>
  <si>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</si>
  <si>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</si>
  <si>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</si>
  <si>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</si>
  <si>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</si>
  <si>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</si>
  <si>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</si>
  <si>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</si>
  <si>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</si>
  <si>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</si>
  <si>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</si>
  <si>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</si>
  <si>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</si>
  <si>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</si>
  <si>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</si>
  <si>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</si>
  <si>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</si>
  <si>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</si>
  <si>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</si>
  <si>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</si>
  <si>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</si>
  <si>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</si>
  <si>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</si>
  <si>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</si>
  <si>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</si>
  <si>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</si>
  <si>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</si>
  <si>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</si>
  <si>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</si>
  <si>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</si>
  <si>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</si>
  <si>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</si>
  <si>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</si>
  <si>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</si>
  <si>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</si>
  <si>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</si>
  <si>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</si>
  <si>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</si>
  <si>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</si>
  <si>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</si>
  <si>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</si>
  <si>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</si>
  <si>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</si>
  <si>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</si>
  <si>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</si>
  <si>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</si>
  <si>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</si>
  <si>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</si>
  <si>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</si>
  <si>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</si>
  <si>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</si>
  <si>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</si>
  <si>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</si>
  <si>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</si>
  <si>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</si>
  <si>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</si>
  <si>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</si>
  <si>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</si>
  <si>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</si>
  <si>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</si>
  <si>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</si>
  <si>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</si>
  <si>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</si>
  <si>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</si>
  <si>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</si>
  <si>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</si>
  <si>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</si>
  <si>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</si>
  <si>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</si>
  <si>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</si>
  <si>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</si>
  <si>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</si>
  <si>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</si>
  <si>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</si>
  <si>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</si>
  <si>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</si>
  <si>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</si>
  <si>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</si>
  <si>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</si>
  <si>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</si>
  <si>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</si>
  <si>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</si>
  <si>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</si>
  <si>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</si>
  <si>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</si>
  <si>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</si>
  <si>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</si>
  <si>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</si>
  <si>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</si>
  <si>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</si>
  <si>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</si>
  <si>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</si>
  <si>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</si>
  <si>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</si>
  <si>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</si>
  <si>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</si>
  <si>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</si>
  <si>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</si>
  <si>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</si>
  <si>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</si>
  <si>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</si>
  <si>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</si>
  <si>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</si>
  <si>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</si>
  <si>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</si>
  <si>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</si>
  <si>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</si>
  <si>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</si>
  <si>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</si>
  <si>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</si>
  <si>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</si>
  <si>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</si>
  <si>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</si>
  <si>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</si>
  <si>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</si>
  <si>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</si>
  <si>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</si>
  <si>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</si>
  <si>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</si>
  <si>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</si>
  <si>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</si>
  <si>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</si>
  <si>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</si>
  <si>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</si>
  <si>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</si>
  <si>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</si>
  <si>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</si>
  <si>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</si>
  <si>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</si>
  <si>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</si>
  <si>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</si>
  <si>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</si>
  <si>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</si>
  <si>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</si>
  <si>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</si>
  <si>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</si>
  <si>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</si>
  <si>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</si>
  <si>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</si>
  <si>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</si>
  <si>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</si>
  <si>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</si>
  <si>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</si>
  <si>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</si>
  <si>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</si>
  <si>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</si>
  <si>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</si>
  <si>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</si>
  <si>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</si>
  <si>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</si>
  <si>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</si>
  <si>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</si>
  <si>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</si>
  <si>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</si>
  <si>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</si>
  <si>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</si>
  <si>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</si>
  <si>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</si>
  <si>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</si>
  <si>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</si>
  <si>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</si>
  <si>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</si>
  <si>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</si>
  <si>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</si>
  <si>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</si>
  <si>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</si>
  <si>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</si>
  <si>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</si>
  <si>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</si>
  <si>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</si>
  <si>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</si>
  <si>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</si>
  <si>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</si>
  <si>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</si>
  <si>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</si>
  <si>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</si>
  <si>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</si>
  <si>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</si>
  <si>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</si>
  <si>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</si>
  <si>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</si>
  <si>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</si>
  <si>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</si>
  <si>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</si>
  <si>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</si>
  <si>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</si>
  <si>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</si>
  <si>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</si>
  <si>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</si>
  <si>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</si>
  <si>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</si>
  <si>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</si>
  <si>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</si>
  <si>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</si>
  <si>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</si>
  <si>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</si>
  <si>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</si>
  <si>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</si>
  <si>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</si>
  <si>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</si>
  <si>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</si>
  <si>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</si>
  <si>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</si>
  <si>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</si>
  <si>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</si>
  <si>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</si>
  <si>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</si>
  <si>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</si>
  <si>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</si>
  <si>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</si>
  <si>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</si>
  <si>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</si>
  <si>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</si>
  <si>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</si>
  <si>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</si>
  <si>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</si>
  <si>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</si>
  <si>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</si>
  <si>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</si>
  <si>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</si>
  <si>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</si>
  <si>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</si>
  <si>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</si>
  <si>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</si>
  <si>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</si>
  <si>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</si>
  <si>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</si>
  <si>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</si>
  <si>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</si>
  <si>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</si>
  <si>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</si>
  <si>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</si>
  <si>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</si>
  <si>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</si>
  <si>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</si>
  <si>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</si>
  <si>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</si>
  <si>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</si>
  <si>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</si>
  <si>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</si>
  <si>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</si>
  <si>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</si>
  <si>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</si>
  <si>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</si>
  <si>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</si>
  <si>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</si>
  <si>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</si>
  <si>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</si>
  <si>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</si>
  <si>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</si>
  <si>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</si>
  <si>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</si>
  <si>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</si>
  <si>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</si>
  <si>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</si>
  <si>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</si>
  <si>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</si>
  <si>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</si>
  <si>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</si>
  <si>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</si>
  <si>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</si>
  <si>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</si>
  <si>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</si>
  <si>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</si>
  <si>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</si>
  <si>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</si>
  <si>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</si>
  <si>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</si>
  <si>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</si>
  <si>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</si>
  <si>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</si>
  <si>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</si>
  <si>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</si>
  <si>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</si>
  <si>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</si>
  <si>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</si>
  <si>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</si>
  <si>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</si>
  <si>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</si>
  <si>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</si>
  <si>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</si>
  <si>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</si>
  <si>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</si>
  <si>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</si>
  <si>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</si>
  <si>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</si>
  <si>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</si>
  <si>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</si>
  <si>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</si>
  <si>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</si>
  <si>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</si>
  <si>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</si>
  <si>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</si>
  <si>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</si>
  <si>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</si>
  <si>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</si>
  <si>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</si>
  <si>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</si>
  <si>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</si>
  <si>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</si>
  <si>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</si>
  <si>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</si>
  <si>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</si>
  <si>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</si>
  <si>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</si>
  <si>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</si>
  <si>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</si>
  <si>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</si>
  <si>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</si>
  <si>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</si>
  <si>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</si>
  <si>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</si>
  <si>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</si>
  <si>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</si>
  <si>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</si>
  <si>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</si>
  <si>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</si>
  <si>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</si>
  <si>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</si>
  <si>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</si>
  <si>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</si>
  <si>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</si>
  <si>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</si>
  <si>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</si>
  <si>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</si>
  <si>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</si>
  <si>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</si>
  <si>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</si>
  <si>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</si>
  <si>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</si>
  <si>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</si>
  <si>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</si>
  <si>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</si>
  <si>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</si>
  <si>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</si>
  <si>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</si>
  <si>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</si>
  <si>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</si>
  <si>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</si>
  <si>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</si>
  <si>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</si>
  <si>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</si>
  <si>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</si>
  <si>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</si>
  <si>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</si>
  <si>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</si>
  <si>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</si>
  <si>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</si>
  <si>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</si>
  <si>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</si>
  <si>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</si>
  <si>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</si>
  <si>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</si>
  <si>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</si>
  <si>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</si>
  <si>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</si>
  <si>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</si>
  <si>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</si>
  <si>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</si>
  <si>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</si>
  <si>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</si>
  <si>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</si>
  <si>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</si>
  <si>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</si>
  <si>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</si>
  <si>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</si>
  <si>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</si>
  <si>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</si>
  <si>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</si>
  <si>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</si>
  <si>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</si>
  <si>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</si>
  <si>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</si>
  <si>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</si>
  <si>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</si>
  <si>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</si>
  <si>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</si>
  <si>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</si>
  <si>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</si>
  <si>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</si>
  <si>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</si>
  <si>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</si>
  <si>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</si>
  <si>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</si>
  <si>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</si>
  <si>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</si>
  <si>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</si>
  <si>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</si>
  <si>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</si>
  <si>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</si>
  <si>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</si>
  <si>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</si>
  <si>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</si>
  <si>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</si>
  <si>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</si>
  <si>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</si>
  <si>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</si>
  <si>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</si>
  <si>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</si>
  <si>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</si>
  <si>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</si>
  <si>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</si>
  <si>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</si>
  <si>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</si>
  <si>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</si>
  <si>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</si>
  <si>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</si>
  <si>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</si>
  <si>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</si>
  <si>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</si>
  <si>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</si>
  <si>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</si>
  <si>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</si>
  <si>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</si>
  <si>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</si>
  <si>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</si>
  <si>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</si>
  <si>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</si>
  <si>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</si>
  <si>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</si>
  <si>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</si>
  <si>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</si>
  <si>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</si>
  <si>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</si>
  <si>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</si>
  <si>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</si>
  <si>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</si>
  <si>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</si>
  <si>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</si>
  <si>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</si>
  <si>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</si>
  <si>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</si>
  <si>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</si>
  <si>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</si>
  <si>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</si>
  <si>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</si>
  <si>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</si>
  <si>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</si>
  <si>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</si>
  <si>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</si>
  <si>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</si>
  <si>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</si>
  <si>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</si>
  <si>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</si>
  <si>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</si>
  <si>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</si>
  <si>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</si>
  <si>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</si>
  <si>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</si>
  <si>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</si>
  <si>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</si>
  <si>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</si>
  <si>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</si>
  <si>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</si>
  <si>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</si>
  <si>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</si>
  <si>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</si>
  <si>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</si>
  <si>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</si>
  <si>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</si>
  <si>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</si>
  <si>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</si>
  <si>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</si>
  <si>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</si>
  <si>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</si>
  <si>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</si>
  <si>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</si>
  <si>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</si>
  <si>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</si>
  <si>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</si>
  <si>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</si>
  <si>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</si>
  <si>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</si>
  <si>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</si>
  <si>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</si>
  <si>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</si>
  <si>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</si>
  <si>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</si>
  <si>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</si>
  <si>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</si>
  <si>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</si>
  <si>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</si>
  <si>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</si>
  <si>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</si>
  <si>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</si>
  <si>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</si>
  <si>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</si>
  <si>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</si>
  <si>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</si>
  <si>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</si>
  <si>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</si>
  <si>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</si>
  <si>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</si>
  <si>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</si>
  <si>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</si>
  <si>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</si>
  <si>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</si>
  <si>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</si>
  <si>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</si>
  <si>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</si>
  <si>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</si>
  <si>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</si>
  <si>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</si>
  <si>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</si>
  <si>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</si>
  <si>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</si>
  <si>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</si>
  <si>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</si>
  <si>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</si>
  <si>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</si>
  <si>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</si>
  <si>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</si>
  <si>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</si>
  <si>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</si>
  <si>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</si>
  <si>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</si>
  <si>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</si>
  <si>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</si>
  <si>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</si>
  <si>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</si>
  <si>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</si>
  <si>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</si>
  <si>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</si>
  <si>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</si>
  <si>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</si>
  <si>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</si>
  <si>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</si>
  <si>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</si>
  <si>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</si>
  <si>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</si>
  <si>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</si>
  <si>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</si>
  <si>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</si>
  <si>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</si>
  <si>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</si>
  <si>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</si>
  <si>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</si>
  <si>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</si>
  <si>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</si>
  <si>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</si>
  <si>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</si>
  <si>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</si>
  <si>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</si>
  <si>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</si>
  <si>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</si>
  <si>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</si>
  <si>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</si>
  <si>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</si>
  <si>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</si>
  <si>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</si>
  <si>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</si>
  <si>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</si>
  <si>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</si>
  <si>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</si>
  <si>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</si>
  <si>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</si>
  <si>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</si>
  <si>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</si>
  <si>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</si>
  <si>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</si>
  <si>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</si>
  <si>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</si>
  <si>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</si>
  <si>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</si>
  <si>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</si>
  <si>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</si>
  <si>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</si>
  <si>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</si>
  <si>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</si>
  <si>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</si>
  <si>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</si>
  <si>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</si>
  <si>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</si>
  <si>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</si>
  <si>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</si>
  <si>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</si>
  <si>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</si>
  <si>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</si>
  <si>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</si>
  <si>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</si>
  <si>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</si>
  <si>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</si>
  <si>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</si>
  <si>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</si>
  <si>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</si>
  <si>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</si>
  <si>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</si>
  <si>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</si>
  <si>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</si>
  <si>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</si>
  <si>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</si>
  <si>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</si>
  <si>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</si>
  <si>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</si>
  <si>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</si>
  <si>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</si>
  <si>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</si>
  <si>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</si>
  <si>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</si>
  <si>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</si>
  <si>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</si>
  <si>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</si>
  <si>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</si>
  <si>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</si>
  <si>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</si>
  <si>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</si>
  <si>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</si>
  <si>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</si>
  <si>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</si>
  <si>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</si>
  <si>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</si>
  <si>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</si>
  <si>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</si>
  <si>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</si>
  <si>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</si>
  <si>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</si>
  <si>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</si>
  <si>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</si>
  <si>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</si>
  <si>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</si>
  <si>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</si>
  <si>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</si>
  <si>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</si>
  <si>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</si>
  <si>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</si>
  <si>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</si>
  <si>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</si>
  <si>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</si>
  <si>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</si>
  <si>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</si>
  <si>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</si>
  <si>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</si>
  <si>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</si>
  <si>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</si>
  <si>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</si>
  <si>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</si>
  <si>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</si>
  <si>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</si>
  <si>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</si>
  <si>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</si>
  <si>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</si>
  <si>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</si>
  <si>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</si>
  <si>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</si>
  <si>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</si>
  <si>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</si>
  <si>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</si>
  <si>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</si>
  <si>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</si>
  <si>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</si>
  <si>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</si>
  <si>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</si>
  <si>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</si>
  <si>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</si>
  <si>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</si>
  <si>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</si>
  <si>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</si>
  <si>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</si>
  <si>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</si>
  <si>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</si>
  <si>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</si>
  <si>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</si>
  <si>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</si>
  <si>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</si>
  <si>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</si>
  <si>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</si>
  <si>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</si>
  <si>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</si>
  <si>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</si>
  <si>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</si>
  <si>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</si>
  <si>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</si>
  <si>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</si>
  <si>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</si>
  <si>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</si>
  <si>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</si>
  <si>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</si>
  <si>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</si>
  <si>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</si>
  <si>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</si>
  <si>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</si>
  <si>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</si>
  <si>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</si>
  <si>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</si>
  <si>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</si>
  <si>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</si>
  <si>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</si>
  <si>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</si>
  <si>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</si>
  <si>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</si>
  <si>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</si>
  <si>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</si>
  <si>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</si>
  <si>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</si>
  <si>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</si>
  <si>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</si>
  <si>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</si>
  <si>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</si>
  <si>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</si>
  <si>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</si>
  <si>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</si>
  <si>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</si>
  <si>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</si>
  <si>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</si>
  <si>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</si>
  <si>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</si>
  <si>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</si>
  <si>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</si>
  <si>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</si>
  <si>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</si>
  <si>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</si>
  <si>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</si>
  <si>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</si>
  <si>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</si>
  <si>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</si>
  <si>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</si>
  <si>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</si>
  <si>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</si>
  <si>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</si>
  <si>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</si>
  <si>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</si>
  <si>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</si>
  <si>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</si>
  <si>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</si>
  <si>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</si>
  <si>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</si>
  <si>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</si>
  <si>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</si>
  <si>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</si>
  <si>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</si>
  <si>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</si>
  <si>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</si>
  <si>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</si>
  <si>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</si>
  <si>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</si>
  <si>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</si>
  <si>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</si>
  <si>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</si>
  <si>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</si>
  <si>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</si>
  <si>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</si>
  <si>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</si>
  <si>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</si>
  <si>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</si>
  <si>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</si>
  <si>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</si>
  <si>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</si>
  <si>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</si>
  <si>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</si>
  <si>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</si>
  <si>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</si>
  <si>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</si>
  <si>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</si>
  <si>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</si>
  <si>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</si>
  <si>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</si>
  <si>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</si>
  <si>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</si>
  <si>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</si>
  <si>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</si>
  <si>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</si>
  <si>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</si>
  <si>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</si>
  <si>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</si>
  <si>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</si>
  <si>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</si>
  <si>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</si>
  <si>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</si>
  <si>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</si>
  <si>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</si>
  <si>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</si>
  <si>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</si>
  <si>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</si>
  <si>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</si>
  <si>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</si>
  <si>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</si>
  <si>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</si>
  <si>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</si>
  <si>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</si>
  <si>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</si>
  <si>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</si>
  <si>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</si>
  <si>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</si>
  <si>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</si>
  <si>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</si>
  <si>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</si>
  <si>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</si>
  <si>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</si>
  <si>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</si>
  <si>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</si>
  <si>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</si>
  <si>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</si>
  <si>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</si>
  <si>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</si>
  <si>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</si>
  <si>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</si>
  <si>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</si>
  <si>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</si>
  <si>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</si>
  <si>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</si>
  <si>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</si>
  <si>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</si>
  <si>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</si>
  <si>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</si>
  <si>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</si>
  <si>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</si>
  <si>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</si>
  <si>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</si>
  <si>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</si>
  <si>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</si>
  <si>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</si>
  <si>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</si>
  <si>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</si>
  <si>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</si>
  <si>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</si>
  <si>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</si>
  <si>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</si>
  <si>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</si>
  <si>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</si>
  <si>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</si>
  <si>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</si>
  <si>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</si>
  <si>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</si>
  <si>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</si>
  <si>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</si>
  <si>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</si>
  <si>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</si>
  <si>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</si>
  <si>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</si>
  <si>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</si>
  <si>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</si>
  <si>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</si>
  <si>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</si>
  <si>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</si>
  <si>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</si>
  <si>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</si>
  <si>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</si>
  <si>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</si>
  <si>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</si>
  <si>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</si>
  <si>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</si>
  <si>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</si>
  <si>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</si>
  <si>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</si>
  <si>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</si>
  <si>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</si>
  <si>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</si>
  <si>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</si>
  <si>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</si>
  <si>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</si>
  <si>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</si>
  <si>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</si>
  <si>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</si>
  <si>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</si>
  <si>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</si>
  <si>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</si>
  <si>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</si>
  <si>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</si>
  <si>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</si>
  <si>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</si>
  <si>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</si>
  <si>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</si>
  <si>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</si>
  <si>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</si>
  <si>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</si>
  <si>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</si>
  <si>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</si>
  <si>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</si>
  <si>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</si>
  <si>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</si>
  <si>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</si>
  <si>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</si>
  <si>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</si>
  <si>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</si>
  <si>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</si>
  <si>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</si>
  <si>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</si>
  <si>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</si>
  <si>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</si>
  <si>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</si>
  <si>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</si>
  <si>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</si>
  <si>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</si>
  <si>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</si>
  <si>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</si>
  <si>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</si>
  <si>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</si>
  <si>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</si>
  <si>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</si>
  <si>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</si>
  <si>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</si>
  <si>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</si>
  <si>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</si>
  <si>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</si>
  <si>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</si>
  <si>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</si>
  <si>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</si>
  <si>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</si>
  <si>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</si>
  <si>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</si>
  <si>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</si>
  <si>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</si>
  <si>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</si>
  <si>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</si>
  <si>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</si>
  <si>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</si>
  <si>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</si>
  <si>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</si>
  <si>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</si>
  <si>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</si>
  <si>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</si>
  <si>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</si>
  <si>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</si>
  <si>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</si>
  <si>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</si>
  <si>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</si>
  <si>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</si>
  <si>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</si>
  <si>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</si>
  <si>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</si>
  <si>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</si>
  <si>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</si>
  <si>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</si>
  <si>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</si>
  <si>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</si>
  <si>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</si>
  <si>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</si>
  <si>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</si>
  <si>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</si>
  <si>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</si>
  <si>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</si>
  <si>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</si>
  <si>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</si>
  <si>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</si>
  <si>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</si>
  <si>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</si>
  <si>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</si>
  <si>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</si>
  <si>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</si>
  <si>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</si>
  <si>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</si>
  <si>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</si>
  <si>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</si>
  <si>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</si>
  <si>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</si>
  <si>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</si>
  <si>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</si>
  <si>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</si>
  <si>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</si>
  <si>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</si>
  <si>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</si>
  <si>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</si>
  <si>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</si>
  <si>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</si>
  <si>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</si>
  <si>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</si>
  <si>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</si>
  <si>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</si>
  <si>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</si>
  <si>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</si>
  <si>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</si>
  <si>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</si>
  <si>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</si>
  <si>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</si>
  <si>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</si>
  <si>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</si>
  <si>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</si>
  <si>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</si>
  <si>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</si>
  <si>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</si>
  <si>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</si>
  <si>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</si>
  <si>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</si>
  <si>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</si>
  <si>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</si>
  <si>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</si>
  <si>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</si>
  <si>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</si>
  <si>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</si>
  <si>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</si>
  <si>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</si>
  <si>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</si>
  <si>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</si>
  <si>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</si>
  <si>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</si>
  <si>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</si>
  <si>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</si>
  <si>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</si>
  <si>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</si>
  <si>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</si>
  <si>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</si>
  <si>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</si>
  <si>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</si>
  <si>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</si>
  <si>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</si>
  <si>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</si>
  <si>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</si>
  <si>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</si>
  <si>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</si>
  <si>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</si>
  <si>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</si>
  <si>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</si>
  <si>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</si>
  <si>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</si>
  <si>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</si>
  <si>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</si>
  <si>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</si>
  <si>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</si>
  <si>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</si>
  <si>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</si>
  <si>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</si>
  <si>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</si>
  <si>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</si>
  <si>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</si>
  <si>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</si>
  <si>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</si>
  <si>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</si>
  <si>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</si>
  <si>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</si>
  <si>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</si>
  <si>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</si>
  <si>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</si>
  <si>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</si>
  <si>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</si>
  <si>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</si>
  <si>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</si>
  <si>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</si>
  <si>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</si>
  <si>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</si>
  <si>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</si>
  <si>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</si>
  <si>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</si>
  <si>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</si>
  <si>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</si>
  <si>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</si>
  <si>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</si>
  <si>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</si>
  <si>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</si>
  <si>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</si>
  <si>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</si>
  <si>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</si>
  <si>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</si>
  <si>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</si>
  <si>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</si>
  <si>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</si>
  <si>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</si>
  <si>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</si>
  <si>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</si>
  <si>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</si>
  <si>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</si>
  <si>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</si>
  <si>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</si>
  <si>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</si>
  <si>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</si>
  <si>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</si>
  <si>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</si>
  <si>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</si>
  <si>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</si>
  <si>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</si>
  <si>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</si>
  <si>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</si>
  <si>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</si>
  <si>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</si>
  <si>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</si>
  <si>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</si>
  <si>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</si>
  <si>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</si>
  <si>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</si>
  <si>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</si>
  <si>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</si>
  <si>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</si>
  <si>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</si>
  <si>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</si>
  <si>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</si>
  <si>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</si>
  <si>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</si>
  <si>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</si>
  <si>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</si>
  <si>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</si>
  <si>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</si>
  <si>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</si>
  <si>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</si>
  <si>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</si>
  <si>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</si>
  <si>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</si>
  <si>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</si>
  <si>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</si>
  <si>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</si>
  <si>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</si>
  <si>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</si>
  <si>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</si>
  <si>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</si>
  <si>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</si>
  <si>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</si>
  <si>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</si>
  <si>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</si>
  <si>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</si>
  <si>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</si>
  <si>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</si>
  <si>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</si>
  <si>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</si>
  <si>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</si>
  <si>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</si>
  <si>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</si>
  <si>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</si>
  <si>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</si>
  <si>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</si>
  <si>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</si>
  <si>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</si>
  <si>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</si>
  <si>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</si>
  <si>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</si>
  <si>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</si>
  <si>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</si>
  <si>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</si>
  <si>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</si>
  <si>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</si>
  <si>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</si>
  <si>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</si>
  <si>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</si>
  <si>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</si>
  <si>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</si>
  <si>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</si>
  <si>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</si>
  <si>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</si>
  <si>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</si>
  <si>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</si>
  <si>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</si>
  <si>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</si>
  <si>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</si>
  <si>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</si>
  <si>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</si>
  <si>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</si>
  <si>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</si>
  <si>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</si>
  <si>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</si>
  <si>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</si>
  <si>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</si>
  <si>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</si>
  <si>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</si>
  <si>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</si>
  <si>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</si>
  <si>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</si>
  <si>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</si>
  <si>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</si>
  <si>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</si>
  <si>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</si>
  <si>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</si>
  <si>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</si>
  <si>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</si>
  <si>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</si>
  <si>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</si>
  <si>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</si>
  <si>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</si>
  <si>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</si>
  <si>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</si>
  <si>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</si>
  <si>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</si>
  <si>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</si>
  <si>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</si>
  <si>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</si>
  <si>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</si>
  <si>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</si>
  <si>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</si>
  <si>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</si>
  <si>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</si>
  <si>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</si>
  <si>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</si>
  <si>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</si>
  <si>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</si>
  <si>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</si>
  <si>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</si>
  <si>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</si>
  <si>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</si>
  <si>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</si>
  <si>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</si>
  <si>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</si>
  <si>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</si>
  <si>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</si>
  <si>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</si>
  <si>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</si>
  <si>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</si>
  <si>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</si>
  <si>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</si>
  <si>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</si>
  <si>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</si>
  <si>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</si>
  <si>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</si>
  <si>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</si>
  <si>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</si>
  <si>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</si>
  <si>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</si>
  <si>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</si>
  <si>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</si>
  <si>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</si>
  <si>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</si>
  <si>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</si>
  <si>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</si>
  <si>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</si>
  <si>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</si>
  <si>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</si>
  <si>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</si>
  <si>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</si>
  <si>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</si>
  <si>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</si>
  <si>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</si>
  <si>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</si>
  <si>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</si>
  <si>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</si>
  <si>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</si>
  <si>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</si>
  <si>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</si>
  <si>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</si>
  <si>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</si>
  <si>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</si>
  <si>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</si>
  <si>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</si>
  <si>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</si>
  <si>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</si>
  <si>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</si>
  <si>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</si>
  <si>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</si>
  <si>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</si>
  <si>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</si>
  <si>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</si>
  <si>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</si>
  <si>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</si>
  <si>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</si>
  <si>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</si>
  <si>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</si>
  <si>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</si>
  <si>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</si>
  <si>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</si>
  <si>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</si>
  <si>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</si>
  <si>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</si>
  <si>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</si>
  <si>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</si>
  <si>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</si>
  <si>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</si>
  <si>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</si>
  <si>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</si>
  <si>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</si>
  <si>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</si>
  <si>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</si>
  <si>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</si>
  <si>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</si>
  <si>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</si>
  <si>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</si>
  <si>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</si>
  <si>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</si>
  <si>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</si>
  <si>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</si>
  <si>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</si>
  <si>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</si>
  <si>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</si>
  <si>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</si>
  <si>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</si>
  <si>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</si>
  <si>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</si>
  <si>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</si>
  <si>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</si>
  <si>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</si>
  <si>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</si>
  <si>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</si>
  <si>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</si>
  <si>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</si>
  <si>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</si>
  <si>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</si>
  <si>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</si>
  <si>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</si>
  <si>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</si>
  <si>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</si>
  <si>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</si>
  <si>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</si>
  <si>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</si>
  <si>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</si>
  <si>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</si>
  <si>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</si>
  <si>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</si>
  <si>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</si>
  <si>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</si>
  <si>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</si>
  <si>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</si>
  <si>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</si>
  <si>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</si>
  <si>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</si>
  <si>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</si>
  <si>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</si>
  <si>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</si>
  <si>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</si>
  <si>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</si>
  <si>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</si>
  <si>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</si>
  <si>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</si>
  <si>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</si>
  <si>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</si>
  <si>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</si>
  <si>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</si>
  <si>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</si>
  <si>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</si>
  <si>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</si>
  <si>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</si>
  <si>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</si>
  <si>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</si>
  <si>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</si>
  <si>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</si>
  <si>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</si>
  <si>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</si>
  <si>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</si>
  <si>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</si>
  <si>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</si>
  <si>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</si>
  <si>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</si>
  <si>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</si>
  <si>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</si>
  <si>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</si>
  <si>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</si>
  <si>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</si>
  <si>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</si>
  <si>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</si>
  <si>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</si>
  <si>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</si>
  <si>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</si>
  <si>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</si>
  <si>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</si>
  <si>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</si>
  <si>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</si>
  <si>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</si>
  <si>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</si>
  <si>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</si>
  <si>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</si>
  <si>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</si>
  <si>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</si>
  <si>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</si>
  <si>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</si>
  <si>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</si>
  <si>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</si>
  <si>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</si>
  <si>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</si>
  <si>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</si>
  <si>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</si>
  <si>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</si>
  <si>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</si>
  <si>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</si>
  <si>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</si>
  <si>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</si>
  <si>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</si>
  <si>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</si>
  <si>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</si>
  <si>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</si>
  <si>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</si>
  <si>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</si>
  <si>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</si>
  <si>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</si>
  <si>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</si>
  <si>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</si>
  <si>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</si>
  <si>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</si>
  <si>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</si>
  <si>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</si>
  <si>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</si>
  <si>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</si>
  <si>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</si>
  <si>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</si>
  <si>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</si>
  <si>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</si>
  <si>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</si>
  <si>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</si>
  <si>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</si>
  <si>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</si>
  <si>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</si>
  <si>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</si>
  <si>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</si>
  <si>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</si>
  <si>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</si>
  <si>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</si>
  <si>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</si>
  <si>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</si>
  <si>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</si>
  <si>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</si>
  <si>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</si>
  <si>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</si>
  <si>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</si>
  <si>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</si>
  <si>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</si>
  <si>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</si>
  <si>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</si>
  <si>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</si>
  <si>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</si>
  <si>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</si>
  <si>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</si>
  <si>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</si>
  <si>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</si>
  <si>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</si>
  <si>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</si>
  <si>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</si>
  <si>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</si>
  <si>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</si>
  <si>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</si>
  <si>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</si>
  <si>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</si>
  <si>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</si>
  <si>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</si>
  <si>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</si>
  <si>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</si>
  <si>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</si>
  <si>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</si>
  <si>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</si>
  <si>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</si>
  <si>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</si>
  <si>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</si>
  <si>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</si>
  <si>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</si>
  <si>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</si>
  <si>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</si>
  <si>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</si>
  <si>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</si>
  <si>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</si>
  <si>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</si>
  <si>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</si>
  <si>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</si>
  <si>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</si>
  <si>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</si>
  <si>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</si>
  <si>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</si>
  <si>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</si>
  <si>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</si>
  <si>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</si>
  <si>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</si>
  <si>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</si>
  <si>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</si>
  <si>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</si>
  <si>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</si>
  <si>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</si>
  <si>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</si>
  <si>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</si>
  <si>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</si>
  <si>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</si>
  <si>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</si>
  <si>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</si>
  <si>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</si>
  <si>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</si>
  <si>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</si>
  <si>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</si>
  <si>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</si>
  <si>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</si>
  <si>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</si>
  <si>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</si>
  <si>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</si>
  <si>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</si>
  <si>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</si>
  <si>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</si>
  <si>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</si>
  <si>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</si>
  <si>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</si>
  <si>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</si>
  <si>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</si>
  <si>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</si>
  <si>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</si>
  <si>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</si>
  <si>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</si>
  <si>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</si>
  <si>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</si>
  <si>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</si>
  <si>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</si>
  <si>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</si>
  <si>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</si>
  <si>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</si>
  <si>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</si>
  <si>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</si>
  <si>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</si>
  <si>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</si>
  <si>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</si>
  <si>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</si>
  <si>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</si>
  <si>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</si>
  <si>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</si>
  <si>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</si>
  <si>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</si>
  <si>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</si>
  <si>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</si>
  <si>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</si>
  <si>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</si>
  <si>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</si>
  <si>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</si>
  <si>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</si>
  <si>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</si>
  <si>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</si>
  <si>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</si>
  <si>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</si>
  <si>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</si>
  <si>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</si>
  <si>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</si>
  <si>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</si>
  <si>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</si>
  <si>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</si>
  <si>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</si>
  <si>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</si>
  <si>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</si>
  <si>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</si>
  <si>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</si>
  <si>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</si>
  <si>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</si>
  <si>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</si>
  <si>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</si>
  <si>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</si>
  <si>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</si>
  <si>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</si>
  <si>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</si>
  <si>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</si>
  <si>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</si>
  <si>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</si>
  <si>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</si>
  <si>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</si>
  <si>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</si>
  <si>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</si>
  <si>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</si>
  <si>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</si>
  <si>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</si>
  <si>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</si>
  <si>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</si>
  <si>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</si>
  <si>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</si>
  <si>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</si>
  <si>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</si>
  <si>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</si>
  <si>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</si>
  <si>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</si>
  <si>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</si>
  <si>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</si>
  <si>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</si>
  <si>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</si>
  <si>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</si>
  <si>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</si>
  <si>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</si>
  <si>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</si>
  <si>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</si>
  <si>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</si>
  <si>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</si>
  <si>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</si>
  <si>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</si>
  <si>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</si>
  <si>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</si>
  <si>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</si>
  <si>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</si>
  <si>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</si>
  <si>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</si>
  <si>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</si>
  <si>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</si>
  <si>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</si>
  <si>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</si>
  <si>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</si>
  <si>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</si>
  <si>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</si>
  <si>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</si>
  <si>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</si>
  <si>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</si>
  <si>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</si>
  <si>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</si>
  <si>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</si>
  <si>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</si>
  <si>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</si>
  <si>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</si>
  <si>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</si>
  <si>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</si>
  <si>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</si>
  <si>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</si>
  <si>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</si>
  <si>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</si>
  <si>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</si>
  <si>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</si>
  <si>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</si>
  <si>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</si>
  <si>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</si>
  <si>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</si>
  <si>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</si>
  <si>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</si>
  <si>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</si>
  <si>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</si>
  <si>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</si>
  <si>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</si>
  <si>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</si>
  <si>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</si>
  <si>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</si>
  <si>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</si>
  <si>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</si>
  <si>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</si>
  <si>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</si>
  <si>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</si>
  <si>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</si>
  <si>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</si>
  <si>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</si>
  <si>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</si>
  <si>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</si>
  <si>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</si>
  <si>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</si>
  <si>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</si>
  <si>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</si>
  <si>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</si>
  <si>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</si>
  <si>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</si>
  <si>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</si>
  <si>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</si>
  <si>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</si>
  <si>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</si>
  <si>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</si>
  <si>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</si>
  <si>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</si>
  <si>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</si>
  <si>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</si>
  <si>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</si>
  <si>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</si>
  <si>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</si>
  <si>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</si>
  <si>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</si>
  <si>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</si>
  <si>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</si>
  <si>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</si>
  <si>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</si>
  <si>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</si>
  <si>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</si>
  <si>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</si>
  <si>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</si>
  <si>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</si>
  <si>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</si>
  <si>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</si>
  <si>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</si>
  <si>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</si>
  <si>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</si>
  <si>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</si>
  <si>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</si>
  <si>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</si>
  <si>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</si>
  <si>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</si>
  <si>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</si>
  <si>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</si>
  <si>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</si>
  <si>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</si>
  <si>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</si>
  <si>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</si>
  <si>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</si>
  <si>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</si>
  <si>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</si>
  <si>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</si>
  <si>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</si>
  <si>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</si>
  <si>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</si>
  <si>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</si>
  <si>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</si>
  <si>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</si>
  <si>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</si>
  <si>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</si>
  <si>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</si>
  <si>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</si>
  <si>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</si>
  <si>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</si>
  <si>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</si>
  <si>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</si>
  <si>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</si>
  <si>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</si>
  <si>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</si>
  <si>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</si>
  <si>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</si>
  <si>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</si>
  <si>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</si>
  <si>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</si>
  <si>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</si>
  <si>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</si>
  <si>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</si>
  <si>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</si>
  <si>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</si>
  <si>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</si>
  <si>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</si>
  <si>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</si>
  <si>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</si>
  <si>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</si>
  <si>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</si>
  <si>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</si>
  <si>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</si>
  <si>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</si>
  <si>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</si>
  <si>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</si>
  <si>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</si>
  <si>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</si>
  <si>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</si>
  <si>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</si>
  <si>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</si>
  <si>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</si>
  <si>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</si>
  <si>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</si>
  <si>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</si>
  <si>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</si>
  <si>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</si>
  <si>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</si>
  <si>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</si>
  <si>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</si>
  <si>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</si>
  <si>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</si>
  <si>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</si>
  <si>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</si>
  <si>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</si>
  <si>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</si>
  <si>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</si>
  <si>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</si>
  <si>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</si>
  <si>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</si>
  <si>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</si>
  <si>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</si>
  <si>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</si>
  <si>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</si>
  <si>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</si>
  <si>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</si>
  <si>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</si>
  <si>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</si>
  <si>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</si>
  <si>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</si>
  <si>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</si>
  <si>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</si>
  <si>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</si>
  <si>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</si>
  <si>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</si>
  <si>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</si>
  <si>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</si>
  <si>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</si>
  <si>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</si>
  <si>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</si>
  <si>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</si>
  <si>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</si>
  <si>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</si>
  <si>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</si>
  <si>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</si>
  <si>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</si>
  <si>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</si>
  <si>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</si>
  <si>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</si>
  <si>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</si>
  <si>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</si>
  <si>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</si>
  <si>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</si>
  <si>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</si>
  <si>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</si>
  <si>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</si>
  <si>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</si>
  <si>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</si>
  <si>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</si>
  <si>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</si>
  <si>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</si>
  <si>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</si>
  <si>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</si>
  <si>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</si>
  <si>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</si>
  <si>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</si>
  <si>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</si>
  <si>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</si>
  <si>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</si>
  <si>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</si>
  <si>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</si>
  <si>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</si>
  <si>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</si>
  <si>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</si>
  <si>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</si>
  <si>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</si>
  <si>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</si>
  <si>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</si>
  <si>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</si>
  <si>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</si>
  <si>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</si>
  <si>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</si>
  <si>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</si>
  <si>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</si>
  <si>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</si>
  <si>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</si>
  <si>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</si>
  <si>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</si>
  <si>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</si>
  <si>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</si>
  <si>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</si>
  <si>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</si>
  <si>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</si>
  <si>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</si>
  <si>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</si>
  <si>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</si>
  <si>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</si>
  <si>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</si>
  <si>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</si>
  <si>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</si>
  <si>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</si>
  <si>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</si>
  <si>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</si>
  <si>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</si>
  <si>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</si>
  <si>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</si>
  <si>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</si>
  <si>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</si>
  <si>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</si>
  <si>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</si>
  <si>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</si>
  <si>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</si>
  <si>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</si>
  <si>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</si>
  <si>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</si>
  <si>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</si>
  <si>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</si>
  <si>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</si>
  <si>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</si>
  <si>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</si>
  <si>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</si>
  <si>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</si>
  <si>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</si>
  <si>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</si>
  <si>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</si>
  <si>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</si>
  <si>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</si>
  <si>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</si>
  <si>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</si>
  <si>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</si>
  <si>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</si>
  <si>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</si>
  <si>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</si>
  <si>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</si>
  <si>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</si>
  <si>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</si>
  <si>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</si>
  <si>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</si>
  <si>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</si>
  <si>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</si>
  <si>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</si>
  <si>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</si>
  <si>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</si>
  <si>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</si>
  <si>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</si>
  <si>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</si>
  <si>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</si>
  <si>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</si>
  <si>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</si>
  <si>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</si>
  <si>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</si>
  <si>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</si>
  <si>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</si>
  <si>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</si>
  <si>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</si>
  <si>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</si>
  <si>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</si>
  <si>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</si>
  <si>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</si>
  <si>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</si>
  <si>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</si>
  <si>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</si>
  <si>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</si>
  <si>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</si>
  <si>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</si>
  <si>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</si>
  <si>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</si>
  <si>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</si>
  <si>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</si>
  <si>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</si>
  <si>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</si>
  <si>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</si>
  <si>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</si>
  <si>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</si>
  <si>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</si>
  <si>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</si>
  <si>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</si>
  <si>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</si>
  <si>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</si>
  <si>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</si>
  <si>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</si>
  <si>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</si>
  <si>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</si>
  <si>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</si>
  <si>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</si>
  <si>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</si>
  <si>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</si>
  <si>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</si>
  <si>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</si>
  <si>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</si>
  <si>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</si>
  <si>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</si>
  <si>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</si>
  <si>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</si>
  <si>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</si>
  <si>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</si>
  <si>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</si>
  <si>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</si>
  <si>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</si>
  <si>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</si>
  <si>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</si>
  <si>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</si>
  <si>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</si>
  <si>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</si>
  <si>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</si>
  <si>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</si>
  <si>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</si>
  <si>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</si>
  <si>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</si>
  <si>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</si>
  <si>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</si>
  <si>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</si>
  <si>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</si>
  <si>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</si>
  <si>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</si>
  <si>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</si>
  <si>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</si>
  <si>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</si>
  <si>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</si>
  <si>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</si>
  <si>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</si>
  <si>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</si>
  <si>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</si>
  <si>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</si>
  <si>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</si>
  <si>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</si>
  <si>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</si>
  <si>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</si>
  <si>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</si>
  <si>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</si>
  <si>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</si>
  <si>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</si>
  <si>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</si>
  <si>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</si>
  <si>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</si>
  <si>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</si>
  <si>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</si>
  <si>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</si>
  <si>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</si>
  <si>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</si>
  <si>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</si>
  <si>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</si>
  <si>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</si>
  <si>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</si>
  <si>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</si>
  <si>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</si>
  <si>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</si>
  <si>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</si>
  <si>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</si>
  <si>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</si>
  <si>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</si>
  <si>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</si>
  <si>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</si>
  <si>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</si>
  <si>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</si>
  <si>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</si>
  <si>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</si>
  <si>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</si>
  <si>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</si>
  <si>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</si>
  <si>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</si>
  <si>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</si>
  <si>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</si>
  <si>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</si>
  <si>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</si>
  <si>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</si>
  <si>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</si>
  <si>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</si>
  <si>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</si>
  <si>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</si>
  <si>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</si>
  <si>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</si>
  <si>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</si>
  <si>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</si>
  <si>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</si>
  <si>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</si>
  <si>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</si>
  <si>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</si>
  <si>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</si>
  <si>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</si>
  <si>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</si>
  <si>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</si>
  <si>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</si>
  <si>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</si>
  <si>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</si>
  <si>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</si>
  <si>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</si>
  <si>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</si>
  <si>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</si>
  <si>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</si>
  <si>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</si>
  <si>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</si>
  <si>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</si>
  <si>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</si>
  <si>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</si>
  <si>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</si>
  <si>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</si>
  <si>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</si>
  <si>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</si>
  <si>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</si>
  <si>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</si>
  <si>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</si>
  <si>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</si>
  <si>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</si>
  <si>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</si>
  <si>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</si>
  <si>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</si>
  <si>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</si>
  <si>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</si>
  <si>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</si>
  <si>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</si>
  <si>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</si>
  <si>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</si>
  <si>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</si>
  <si>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</si>
  <si>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</si>
  <si>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</si>
  <si>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</si>
  <si>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</si>
  <si>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</si>
  <si>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</si>
  <si>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</si>
  <si>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</si>
  <si>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</si>
  <si>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</si>
  <si>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</si>
  <si>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</si>
  <si>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</si>
  <si>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</si>
  <si>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</si>
  <si>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</si>
  <si>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</si>
  <si>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</si>
  <si>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</si>
  <si>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</si>
  <si>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</si>
  <si>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</si>
  <si>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</si>
  <si>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</si>
  <si>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</si>
  <si>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</si>
  <si>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</si>
  <si>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</si>
  <si>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</si>
  <si>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</si>
  <si>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</si>
  <si>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</si>
  <si>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</si>
  <si>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</si>
  <si>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</si>
  <si>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</si>
  <si>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</si>
  <si>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</si>
  <si>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</si>
  <si>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</si>
  <si>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</si>
  <si>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</si>
  <si>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</si>
  <si>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</si>
  <si>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</si>
  <si>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</si>
  <si>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</si>
  <si>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</si>
  <si>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</si>
  <si>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</si>
  <si>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</si>
  <si>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</si>
  <si>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</si>
  <si>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</si>
  <si>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</si>
  <si>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</si>
  <si>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</si>
  <si>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</si>
  <si>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</si>
  <si>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</si>
  <si>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</si>
  <si>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</si>
  <si>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</si>
  <si>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</si>
  <si>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</si>
  <si>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</si>
  <si>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</si>
  <si>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</si>
  <si>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</si>
  <si>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</si>
  <si>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</si>
  <si>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</si>
  <si>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</si>
  <si>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</si>
  <si>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</si>
  <si>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</si>
  <si>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</si>
  <si>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</si>
  <si>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</si>
  <si>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</si>
  <si>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</si>
  <si>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</si>
  <si>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</si>
  <si>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</si>
  <si>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</si>
  <si>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</si>
  <si>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</si>
  <si>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</si>
  <si>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</si>
  <si>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</si>
  <si>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</si>
  <si>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</si>
  <si>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</si>
  <si>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</si>
  <si>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</si>
  <si>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</si>
  <si>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</si>
  <si>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</si>
  <si>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</si>
  <si>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</si>
  <si>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</si>
  <si>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</si>
  <si>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</si>
  <si>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</si>
  <si>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</si>
  <si>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</si>
  <si>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</si>
  <si>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</si>
  <si>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</si>
  <si>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</si>
  <si>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</si>
  <si>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</si>
  <si>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</si>
  <si>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</si>
  <si>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</si>
  <si>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</si>
  <si>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</si>
  <si>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</si>
  <si>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</si>
  <si>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</si>
  <si>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</si>
  <si>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</si>
  <si>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</si>
  <si>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</si>
  <si>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</si>
  <si>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</si>
  <si>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</si>
  <si>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</si>
  <si>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</si>
  <si>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</si>
  <si>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</si>
  <si>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</si>
  <si>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</si>
  <si>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</si>
  <si>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</si>
  <si>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</si>
  <si>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</si>
  <si>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</si>
  <si>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</si>
  <si>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</si>
  <si>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</si>
  <si>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</si>
  <si>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</si>
  <si>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</si>
  <si>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</si>
  <si>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</si>
  <si>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</si>
  <si>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</si>
  <si>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</si>
  <si>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</si>
  <si>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</si>
  <si>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</si>
  <si>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</si>
  <si>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</si>
  <si>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</si>
  <si>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</si>
  <si>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</si>
  <si>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</si>
  <si>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</si>
  <si>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</si>
  <si>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</si>
  <si>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</si>
  <si>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</si>
  <si>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</si>
  <si>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</si>
  <si>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</si>
  <si>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</si>
  <si>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</si>
  <si>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</si>
  <si>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</si>
  <si>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</si>
  <si>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</si>
  <si>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</si>
  <si>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</si>
  <si>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</si>
  <si>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</si>
  <si>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</si>
  <si>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</si>
  <si>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</si>
  <si>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</si>
  <si>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</si>
  <si>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</si>
  <si>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</si>
  <si>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</si>
  <si>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</si>
  <si>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</si>
  <si>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</si>
  <si>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</si>
  <si>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</si>
  <si>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</si>
  <si>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</si>
  <si>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</si>
  <si>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</si>
  <si>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</si>
  <si>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</si>
  <si>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</si>
  <si>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</si>
  <si>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</si>
  <si>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</si>
  <si>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</si>
  <si>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</si>
  <si>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</si>
  <si>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</si>
  <si>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</si>
  <si>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</si>
  <si>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</si>
  <si>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</si>
  <si>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</si>
  <si>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</si>
  <si>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</si>
  <si>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</si>
  <si>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</si>
  <si>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</si>
  <si>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</si>
  <si>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</si>
  <si>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</si>
  <si>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</si>
  <si>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</si>
  <si>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</si>
  <si>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</si>
  <si>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</si>
  <si>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</si>
  <si>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</si>
  <si>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</si>
  <si>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</si>
  <si>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</si>
  <si>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</si>
  <si>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</si>
  <si>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</si>
  <si>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</si>
  <si>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</si>
  <si>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</si>
  <si>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</si>
  <si>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</si>
  <si>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</si>
  <si>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</si>
  <si>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</si>
  <si>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</si>
  <si>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</si>
  <si>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</si>
  <si>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</si>
  <si>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</si>
  <si>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</si>
  <si>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</si>
  <si>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</si>
  <si>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</si>
  <si>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</si>
  <si>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</si>
  <si>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</si>
  <si>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</si>
  <si>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</si>
  <si>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</si>
  <si>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</si>
  <si>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</si>
  <si>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</si>
  <si>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</si>
  <si>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</si>
  <si>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</si>
  <si>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</si>
  <si>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</si>
  <si>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</si>
  <si>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</si>
  <si>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</si>
  <si>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</si>
  <si>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</si>
  <si>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</si>
  <si>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</si>
  <si>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</si>
  <si>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</si>
  <si>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</si>
  <si>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</si>
  <si>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</si>
  <si>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</si>
  <si>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</si>
  <si>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</si>
  <si>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</si>
  <si>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</si>
  <si>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</si>
  <si>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</si>
  <si>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</si>
  <si>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</si>
  <si>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</si>
  <si>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</si>
  <si>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</si>
  <si>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</si>
  <si>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</si>
  <si>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</si>
  <si>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</si>
  <si>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</si>
  <si>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</si>
  <si>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</si>
  <si>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</si>
  <si>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</si>
  <si>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</si>
  <si>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</si>
  <si>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</si>
  <si>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</si>
  <si>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</si>
  <si>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</si>
  <si>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</si>
  <si>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</si>
  <si>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</si>
  <si>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</si>
  <si>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</si>
  <si>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</si>
  <si>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</si>
  <si>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</si>
  <si>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</si>
  <si>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</si>
  <si>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</si>
  <si>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</si>
  <si>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</si>
  <si>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</si>
  <si>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</si>
  <si>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</si>
  <si>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</si>
  <si>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</si>
  <si>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</si>
  <si>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</si>
  <si>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</si>
  <si>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</si>
  <si>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</si>
  <si>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</si>
  <si>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</si>
  <si>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</si>
  <si>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</si>
  <si>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</si>
  <si>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</si>
  <si>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</si>
  <si>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</si>
  <si>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</si>
  <si>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</si>
  <si>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</si>
  <si>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</si>
  <si>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</si>
  <si>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</si>
  <si>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</si>
  <si>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</si>
  <si>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</si>
  <si>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</si>
  <si>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</si>
  <si>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</si>
  <si>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</si>
  <si>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</si>
  <si>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</si>
  <si>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</si>
  <si>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</si>
  <si>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</si>
  <si>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</si>
  <si>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</si>
  <si>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</si>
  <si>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</si>
  <si>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</si>
  <si>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</si>
  <si>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</si>
  <si>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</si>
  <si>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</si>
  <si>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</si>
  <si>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</si>
  <si>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</si>
  <si>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</si>
  <si>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</si>
  <si>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</si>
  <si>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</si>
  <si>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</si>
  <si>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</si>
  <si>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</si>
  <si>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</si>
  <si>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</si>
  <si>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</si>
  <si>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</si>
  <si>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</si>
  <si>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</si>
  <si>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</si>
  <si>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</si>
  <si>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</si>
  <si>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</si>
  <si>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</si>
  <si>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</si>
  <si>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</si>
  <si>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</si>
  <si>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</si>
  <si>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</si>
  <si>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</si>
  <si>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</si>
  <si>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</si>
  <si>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</si>
  <si>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</si>
  <si>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</si>
  <si>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</si>
  <si>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</si>
  <si>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</si>
  <si>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</si>
  <si>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</si>
  <si>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</si>
  <si>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</si>
  <si>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</si>
  <si>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</si>
  <si>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</si>
  <si>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</si>
  <si>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</si>
  <si>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</si>
  <si>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</si>
  <si>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</si>
  <si>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</si>
  <si>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</si>
  <si>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</si>
  <si>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</si>
  <si>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</si>
  <si>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</si>
  <si>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</si>
  <si>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</si>
  <si>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</si>
  <si>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</si>
  <si>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</si>
  <si>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</si>
  <si>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</si>
  <si>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</si>
  <si>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</si>
  <si>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</si>
  <si>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</si>
  <si>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</si>
  <si>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</si>
  <si>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</si>
  <si>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</si>
  <si>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</si>
  <si>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</si>
  <si>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</si>
  <si>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</si>
  <si>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</si>
  <si>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</si>
  <si>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</si>
  <si>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</si>
  <si>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</si>
  <si>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</si>
  <si>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</si>
  <si>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</si>
  <si>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</si>
  <si>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</si>
  <si>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</si>
  <si>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</si>
  <si>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</si>
  <si>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</si>
  <si>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</si>
  <si>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</si>
  <si>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</si>
  <si>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</si>
  <si>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</si>
  <si>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</si>
  <si>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</si>
  <si>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</si>
  <si>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</si>
  <si>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</si>
  <si>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</si>
  <si>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</si>
  <si>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</si>
  <si>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</si>
  <si>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</si>
  <si>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</si>
  <si>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</si>
  <si>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</si>
  <si>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</si>
  <si>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</si>
  <si>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</si>
  <si>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</si>
  <si>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</si>
  <si>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</si>
  <si>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</si>
  <si>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</si>
  <si>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</si>
  <si>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</si>
  <si>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</si>
  <si>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</si>
  <si>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</si>
  <si>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</si>
  <si>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</si>
  <si>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</si>
  <si>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</si>
  <si>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</si>
  <si>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</si>
  <si>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</si>
  <si>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</si>
  <si>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</si>
  <si>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</si>
  <si>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</si>
  <si>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</si>
  <si>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</si>
  <si>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</si>
  <si>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</si>
  <si>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</si>
  <si>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</si>
  <si>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</si>
  <si>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</si>
  <si>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</si>
  <si>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</si>
  <si>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</si>
  <si>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</si>
  <si>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</si>
  <si>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</si>
  <si>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</si>
  <si>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</si>
  <si>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</si>
  <si>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</si>
  <si>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</si>
  <si>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</si>
  <si>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</si>
  <si>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</si>
  <si>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</si>
  <si>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</si>
  <si>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</si>
  <si>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</si>
  <si>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</si>
  <si>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</si>
  <si>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</si>
  <si>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</si>
  <si>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</si>
  <si>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</si>
  <si>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</si>
  <si>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</si>
  <si>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</si>
  <si>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</si>
  <si>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</si>
  <si>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</si>
  <si>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</si>
  <si>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</si>
  <si>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</si>
  <si>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</si>
  <si>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</si>
  <si>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</si>
  <si>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</si>
  <si>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</si>
  <si>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</si>
  <si>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</si>
  <si>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</si>
  <si>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</si>
  <si>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</si>
  <si>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</si>
  <si>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</si>
  <si>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</si>
  <si>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</si>
  <si>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</si>
  <si>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</si>
  <si>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</si>
  <si>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</si>
  <si>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</si>
  <si>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</si>
  <si>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</si>
  <si>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</si>
  <si>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</si>
  <si>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</si>
  <si>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</si>
  <si>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</si>
  <si>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</si>
  <si>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</si>
  <si>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</si>
  <si>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</si>
  <si>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</si>
  <si>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</si>
  <si>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</si>
  <si>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</si>
  <si>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</si>
  <si>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</si>
  <si>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</si>
  <si>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</si>
  <si>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</si>
  <si>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</si>
  <si>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</si>
  <si>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</si>
  <si>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</si>
  <si>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</si>
  <si>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</si>
  <si>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</si>
  <si>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</si>
  <si>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</si>
  <si>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</si>
  <si>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</si>
  <si>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</si>
  <si>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</si>
  <si>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</si>
  <si>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</si>
  <si>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</si>
  <si>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</si>
  <si>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</si>
  <si>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</si>
  <si>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</si>
  <si>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</si>
  <si>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</si>
  <si>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</si>
  <si>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</si>
  <si>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</si>
  <si>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</si>
  <si>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</si>
  <si>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</si>
  <si>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</si>
  <si>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</si>
  <si>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</si>
  <si>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</si>
  <si>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</si>
  <si>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</si>
  <si>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</si>
  <si>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</si>
  <si>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</si>
  <si>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</si>
  <si>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</si>
  <si>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</si>
  <si>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</si>
  <si>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</si>
  <si>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</si>
  <si>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</si>
  <si>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</si>
  <si>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</si>
  <si>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</si>
  <si>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</si>
  <si>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</si>
  <si>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</si>
  <si>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</si>
  <si>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</si>
  <si>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</si>
  <si>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</si>
  <si>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</si>
  <si>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</si>
  <si>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</si>
  <si>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</si>
  <si>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</si>
  <si>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</si>
  <si>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</si>
  <si>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</si>
  <si>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</si>
  <si>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</si>
  <si>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</si>
  <si>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</si>
  <si>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</si>
  <si>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</si>
  <si>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</si>
  <si>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</si>
  <si>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</si>
  <si>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</si>
  <si>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</si>
  <si>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</si>
  <si>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</si>
  <si>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</si>
  <si>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</si>
  <si>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</si>
  <si>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</si>
  <si>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</si>
  <si>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</si>
  <si>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</si>
  <si>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</si>
  <si>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</si>
  <si>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</si>
  <si>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</si>
  <si>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</si>
  <si>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</si>
  <si>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</si>
  <si>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</si>
  <si>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</si>
  <si>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</si>
  <si>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</si>
  <si>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</si>
  <si>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</si>
  <si>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</si>
  <si>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</si>
  <si>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</si>
  <si>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</si>
  <si>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</si>
  <si>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</si>
  <si>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</si>
  <si>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</si>
  <si>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</si>
  <si>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</si>
  <si>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</si>
  <si>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</si>
  <si>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</si>
  <si>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</si>
  <si>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</si>
  <si>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</si>
  <si>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</si>
  <si>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</si>
  <si>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</si>
  <si>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</si>
  <si>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</si>
  <si>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</si>
  <si>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</si>
  <si>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</si>
  <si>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</si>
  <si>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</si>
  <si>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</si>
  <si>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</si>
  <si>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</si>
  <si>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</si>
  <si>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</si>
  <si>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</si>
  <si>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</si>
  <si>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</si>
  <si>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</si>
  <si>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</si>
  <si>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</si>
  <si>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</si>
  <si>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</si>
  <si>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</si>
  <si>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</si>
  <si>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</si>
  <si>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</si>
  <si>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</si>
  <si>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</si>
  <si>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</si>
  <si>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</si>
  <si>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</si>
  <si>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</si>
  <si>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</si>
  <si>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</si>
  <si>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</si>
  <si>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</si>
  <si>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</si>
  <si>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</si>
  <si>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</si>
  <si>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</si>
  <si>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</si>
  <si>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</si>
  <si>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</si>
  <si>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</si>
  <si>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</si>
  <si>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</si>
  <si>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</si>
  <si>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</si>
  <si>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</si>
  <si>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</si>
  <si>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</si>
  <si>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</si>
  <si>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</si>
  <si>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</si>
  <si>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</si>
  <si>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</si>
  <si>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</si>
  <si>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</si>
  <si>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</si>
  <si>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</si>
  <si>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</si>
  <si>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</si>
  <si>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</si>
  <si>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</si>
  <si>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</si>
  <si>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</si>
  <si>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</si>
  <si>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</si>
  <si>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</si>
  <si>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</si>
  <si>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</si>
  <si>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</si>
  <si>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</si>
  <si>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</si>
  <si>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</si>
  <si>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</si>
  <si>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</si>
  <si>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</si>
  <si>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</si>
  <si>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</si>
  <si>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</si>
  <si>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</si>
  <si>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</si>
  <si>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</si>
  <si>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</si>
  <si>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</si>
  <si>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</si>
  <si>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</si>
  <si>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</si>
  <si>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</si>
  <si>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</si>
  <si>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</si>
  <si>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</si>
  <si>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</si>
  <si>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</si>
  <si>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</si>
  <si>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</si>
  <si>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</si>
  <si>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</si>
  <si>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</si>
  <si>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</si>
  <si>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</si>
  <si>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</si>
  <si>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</si>
  <si>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</si>
  <si>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</si>
  <si>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</si>
  <si>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</si>
  <si>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</si>
  <si>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</si>
  <si>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</si>
  <si>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</si>
  <si>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</si>
  <si>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</si>
  <si>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</si>
  <si>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</si>
  <si>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</si>
  <si>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</si>
  <si>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</si>
  <si>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</si>
  <si>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</si>
  <si>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</si>
  <si>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</si>
  <si>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</si>
  <si>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</si>
  <si>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</si>
  <si>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</si>
  <si>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</si>
  <si>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</si>
  <si>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</si>
  <si>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</si>
  <si>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</si>
  <si>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</si>
  <si>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</si>
  <si>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</si>
  <si>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</si>
  <si>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</si>
  <si>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</si>
  <si>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</si>
  <si>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</si>
  <si>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</si>
  <si>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</si>
  <si>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</si>
  <si>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</si>
  <si>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</si>
  <si>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</si>
  <si>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</si>
  <si>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</si>
  <si>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</si>
  <si>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</si>
  <si>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</si>
  <si>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</si>
  <si>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</si>
  <si>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</si>
  <si>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</si>
  <si>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</si>
  <si>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</si>
  <si>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</si>
  <si>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</si>
  <si>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</si>
  <si>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</si>
  <si>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</si>
  <si>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</si>
  <si>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</si>
  <si>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</si>
  <si>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</si>
  <si>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</si>
  <si>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</si>
  <si>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</si>
  <si>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</si>
  <si>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</si>
  <si>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</si>
  <si>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</si>
  <si>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</si>
  <si>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</si>
  <si>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</si>
  <si>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</si>
  <si>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</si>
  <si>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</si>
  <si>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</si>
  <si>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</si>
  <si>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</si>
  <si>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</si>
  <si>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</si>
  <si>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</si>
  <si>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</si>
  <si>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</si>
  <si>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</si>
  <si>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</si>
  <si>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</si>
  <si>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</si>
  <si>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</si>
  <si>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</si>
  <si>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</si>
  <si>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</si>
  <si>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</si>
  <si>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</si>
  <si>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</si>
  <si>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</si>
  <si>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</si>
  <si>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</si>
  <si>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</si>
  <si>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</si>
  <si>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</si>
  <si>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</si>
  <si>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</si>
  <si>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</si>
  <si>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</si>
  <si>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</si>
  <si>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</si>
  <si>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</si>
  <si>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</si>
  <si>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</si>
  <si>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</si>
  <si>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</si>
  <si>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</si>
  <si>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</si>
  <si>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</si>
  <si>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</si>
  <si>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</si>
  <si>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</si>
  <si>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</si>
  <si>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</si>
  <si>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</si>
  <si>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</si>
  <si>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</si>
  <si>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</si>
  <si>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</si>
  <si>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</si>
  <si>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</si>
  <si>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</si>
  <si>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</si>
  <si>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</si>
  <si>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</si>
  <si>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</si>
  <si>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</si>
  <si>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</si>
  <si>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</si>
  <si>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</si>
  <si>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</si>
  <si>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</si>
  <si>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</si>
  <si>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</si>
  <si>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</si>
  <si>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</si>
  <si>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</si>
  <si>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</si>
  <si>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</si>
  <si>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</si>
  <si>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</si>
  <si>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</si>
  <si>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</si>
  <si>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</si>
  <si>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</si>
  <si>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</si>
  <si>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</si>
  <si>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</si>
  <si>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</si>
  <si>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</si>
  <si>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</si>
  <si>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</si>
  <si>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</si>
  <si>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</si>
  <si>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</si>
  <si>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</si>
  <si>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</si>
  <si>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</si>
  <si>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</si>
  <si>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</si>
  <si>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</si>
  <si>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</si>
  <si>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</si>
  <si>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</si>
  <si>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</si>
  <si>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</si>
  <si>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</si>
  <si>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</si>
  <si>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</si>
  <si>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</si>
  <si>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</si>
  <si>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</si>
  <si>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</si>
  <si>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</si>
  <si>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</si>
  <si>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</si>
  <si>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</si>
  <si>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</si>
  <si>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</si>
  <si>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</si>
  <si>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</si>
  <si>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</si>
  <si>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</si>
  <si>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</si>
  <si>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</si>
  <si>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</si>
  <si>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</si>
  <si>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</si>
  <si>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</si>
  <si>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</si>
  <si>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</si>
  <si>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</si>
  <si>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</si>
  <si>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</si>
  <si>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</si>
  <si>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</si>
  <si>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</si>
  <si>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</si>
  <si>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</si>
  <si>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</si>
  <si>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</si>
  <si>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</si>
  <si>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</si>
  <si>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</si>
  <si>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</si>
  <si>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</si>
  <si>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</si>
  <si>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</si>
  <si>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</si>
  <si>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</si>
  <si>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</si>
  <si>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</si>
  <si>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</si>
  <si>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</si>
  <si>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</si>
  <si>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</si>
  <si>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</si>
  <si>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</si>
  <si>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</si>
  <si>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</si>
  <si>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</si>
  <si>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</si>
  <si>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</si>
  <si>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</si>
  <si>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</si>
  <si>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</si>
  <si>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</si>
  <si>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</si>
  <si>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</si>
  <si>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</si>
  <si>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</si>
  <si>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</si>
  <si>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</si>
  <si>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</si>
  <si>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</si>
  <si>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</si>
  <si>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</si>
  <si>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</si>
  <si>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</si>
  <si>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</si>
  <si>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</si>
  <si>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</si>
  <si>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</si>
  <si>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</si>
  <si>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</si>
  <si>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</si>
  <si>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</si>
  <si>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</si>
  <si>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</si>
  <si>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</si>
  <si>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</si>
  <si>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</si>
  <si>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</si>
  <si>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</si>
  <si>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</si>
  <si>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</si>
  <si>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</si>
  <si>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</si>
  <si>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</si>
  <si>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</si>
  <si>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</si>
  <si>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</si>
  <si>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</si>
  <si>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</si>
  <si>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</si>
  <si>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</si>
  <si>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</si>
  <si>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</si>
  <si>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</si>
  <si>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</si>
  <si>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</si>
  <si>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</si>
  <si>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</si>
  <si>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</si>
  <si>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</si>
  <si>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</si>
  <si>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</si>
  <si>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</si>
  <si>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</si>
  <si>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</si>
  <si>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</si>
  <si>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</si>
  <si>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</si>
  <si>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</si>
  <si>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</si>
  <si>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</si>
  <si>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</si>
  <si>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</si>
  <si>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</si>
  <si>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</si>
  <si>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</si>
  <si>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</si>
  <si>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</si>
  <si>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</si>
  <si>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</si>
  <si>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</si>
  <si>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</si>
  <si>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</si>
  <si>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</si>
  <si>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</si>
  <si>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</si>
  <si>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</si>
  <si>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</si>
  <si>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</si>
  <si>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</si>
  <si>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</si>
  <si>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</si>
  <si>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</si>
  <si>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</si>
  <si>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</si>
  <si>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</si>
  <si>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</si>
  <si>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</si>
  <si>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</si>
  <si>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</si>
  <si>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</si>
  <si>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</si>
  <si>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</si>
  <si>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</si>
  <si>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</si>
  <si>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</si>
  <si>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</si>
  <si>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</si>
  <si>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</si>
  <si>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</si>
  <si>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</si>
  <si>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</si>
  <si>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</si>
  <si>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</si>
  <si>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</si>
  <si>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</si>
  <si>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</si>
  <si>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</si>
  <si>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</si>
  <si>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</si>
  <si>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北京市</t>
  </si>
  <si>
    <t>自然人</t>
  </si>
  <si>
    <t>核定资产</t>
  </si>
  <si>
    <t>房地产市场价值</t>
  </si>
  <si>
    <t>住宅</t>
  </si>
  <si>
    <t>地上</t>
  </si>
  <si>
    <t>是</t>
  </si>
  <si>
    <t>住宅</t>
    <phoneticPr fontId="9" type="noConversion"/>
  </si>
  <si>
    <t>成新度</t>
  </si>
  <si>
    <t>利息：取LPR加浮动点数</t>
  </si>
  <si>
    <t>单套模式</t>
  </si>
  <si>
    <t>售价</t>
  </si>
  <si>
    <t>正常</t>
  </si>
  <si>
    <t>住宅</t>
    <phoneticPr fontId="26" type="noConversion"/>
  </si>
  <si>
    <t>楼层</t>
    <phoneticPr fontId="26" type="noConversion"/>
  </si>
  <si>
    <t>高级</t>
    <phoneticPr fontId="26" type="noConversion"/>
  </si>
  <si>
    <t>中高级</t>
    <phoneticPr fontId="26" type="noConversion"/>
  </si>
  <si>
    <t>精装修</t>
    <phoneticPr fontId="26" type="noConversion"/>
  </si>
  <si>
    <t>普通装修</t>
  </si>
  <si>
    <t>普通装修</t>
    <phoneticPr fontId="26" type="noConversion"/>
  </si>
  <si>
    <t>七通</t>
    <phoneticPr fontId="26" type="noConversion"/>
  </si>
  <si>
    <t>平层</t>
  </si>
  <si>
    <t>平层</t>
    <phoneticPr fontId="26" type="noConversion"/>
  </si>
  <si>
    <t>跃层</t>
    <phoneticPr fontId="26" type="noConversion"/>
  </si>
  <si>
    <t>简单装修</t>
    <phoneticPr fontId="26" type="noConversion"/>
  </si>
  <si>
    <t>物业公司管理</t>
  </si>
  <si>
    <t>物业公司管理</t>
    <phoneticPr fontId="26" type="noConversion"/>
  </si>
  <si>
    <t>比较法-住宅</t>
  </si>
  <si>
    <t>成本法 (元)</t>
  </si>
  <si>
    <t>六通</t>
    <phoneticPr fontId="26" type="noConversion"/>
  </si>
  <si>
    <t>预售</t>
    <phoneticPr fontId="26" type="noConversion"/>
  </si>
  <si>
    <t>七通</t>
  </si>
  <si>
    <t>毛坯</t>
  </si>
  <si>
    <t>毛坯</t>
    <phoneticPr fontId="26" type="noConversion"/>
  </si>
  <si>
    <t>一般</t>
  </si>
  <si>
    <t>二手房</t>
    <phoneticPr fontId="26" type="noConversion"/>
  </si>
  <si>
    <t>一手房</t>
    <phoneticPr fontId="26" type="noConversion"/>
  </si>
  <si>
    <t>环境质量</t>
  </si>
  <si>
    <t>钢混</t>
    <phoneticPr fontId="26" type="noConversion"/>
  </si>
  <si>
    <r>
      <rPr>
        <sz val="11"/>
        <color indexed="8"/>
        <rFont val="宋体"/>
        <family val="3"/>
        <charset val="134"/>
      </rPr>
      <t>朝向</t>
    </r>
    <phoneticPr fontId="26" type="noConversion"/>
  </si>
  <si>
    <t>已包含在土地取得成本中</t>
  </si>
  <si>
    <t>砖混</t>
    <phoneticPr fontId="26" type="noConversion"/>
  </si>
  <si>
    <t>南北西</t>
    <phoneticPr fontId="26" type="noConversion"/>
  </si>
  <si>
    <t>南北</t>
    <phoneticPr fontId="26"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</si>
  <si>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</si>
  <si>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</si>
  <si>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</si>
  <si>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</si>
  <si>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</si>
  <si>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</si>
  <si>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</si>
  <si>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</si>
  <si>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</si>
  <si>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</si>
  <si>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</si>
  <si>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</si>
  <si>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</si>
  <si>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</si>
  <si>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</si>
  <si>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</si>
  <si>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</si>
  <si>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</si>
  <si>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</si>
  <si>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</si>
  <si>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</si>
  <si>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</si>
  <si>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商品房</t>
  </si>
  <si>
    <t>钢混</t>
  </si>
  <si>
    <t>电梯</t>
    <phoneticPr fontId="26" type="noConversion"/>
  </si>
  <si>
    <t>有</t>
    <phoneticPr fontId="26" type="noConversion"/>
  </si>
  <si>
    <t>无</t>
    <phoneticPr fontId="26" type="noConversion"/>
  </si>
  <si>
    <t>南</t>
  </si>
  <si>
    <t>南</t>
    <phoneticPr fontId="26" type="noConversion"/>
  </si>
  <si>
    <t>东南</t>
    <phoneticPr fontId="26" type="noConversion"/>
  </si>
  <si>
    <t>西南</t>
    <phoneticPr fontId="26" type="noConversion"/>
  </si>
  <si>
    <t>北京市东城区</t>
  </si>
  <si>
    <t>房改房（成本价）</t>
  </si>
  <si>
    <t>阴红伟</t>
  </si>
  <si>
    <t>成本价出售住宅</t>
  </si>
  <si>
    <t>廖腾超</t>
  </si>
  <si>
    <t>解国明</t>
  </si>
  <si>
    <t>南北东</t>
    <phoneticPr fontId="26" type="noConversion"/>
  </si>
  <si>
    <t>东</t>
    <phoneticPr fontId="26" type="noConversion"/>
  </si>
  <si>
    <t>西</t>
    <phoneticPr fontId="26" type="noConversion"/>
  </si>
  <si>
    <t>朝向</t>
  </si>
  <si>
    <t>按经适房管理</t>
    <phoneticPr fontId="10" type="noConversion"/>
  </si>
  <si>
    <t>时间</t>
  </si>
  <si>
    <t>户型</t>
  </si>
  <si>
    <t>面积(㎡)</t>
  </si>
  <si>
    <t>楼层</t>
  </si>
  <si>
    <t>挂牌价(万)</t>
  </si>
  <si>
    <t>挂牌时间</t>
  </si>
  <si>
    <t>成交价(万)</t>
  </si>
  <si>
    <t>东</t>
  </si>
  <si>
    <t>南 北</t>
  </si>
  <si>
    <t>2室1厅</t>
  </si>
  <si>
    <t>中楼层(共5层)</t>
  </si>
  <si>
    <t>3室1厅</t>
  </si>
  <si>
    <t>1室1厅</t>
  </si>
  <si>
    <t>中楼层(共6层)</t>
  </si>
  <si>
    <t>顶层(共5层)</t>
  </si>
  <si>
    <t>低楼层(共6层)</t>
  </si>
  <si>
    <t>高楼层/6层</t>
  </si>
  <si>
    <t>东 西</t>
  </si>
  <si>
    <t>高楼层(共6层)</t>
  </si>
  <si>
    <t>中楼层/6层</t>
  </si>
  <si>
    <t>低楼层/6层</t>
  </si>
  <si>
    <t>顶层/5层</t>
  </si>
  <si>
    <t>2室1厅1厨1卫</t>
  </si>
  <si>
    <t>中楼层/5层</t>
  </si>
  <si>
    <t>顶层/6层</t>
  </si>
  <si>
    <t>底层/6层</t>
  </si>
  <si>
    <t>北京市东城区甘水桥14号楼3层1单元302</t>
    <phoneticPr fontId="5" type="noConversion"/>
  </si>
  <si>
    <t>3/6</t>
    <phoneticPr fontId="26" type="noConversion"/>
  </si>
  <si>
    <t>中楼层(共14层)</t>
  </si>
  <si>
    <t>底层(共5层)</t>
  </si>
  <si>
    <t>高楼层(共14层)</t>
  </si>
  <si>
    <t>顶层(共14层)</t>
  </si>
  <si>
    <t>东 南 西</t>
  </si>
  <si>
    <t>底层(共6层)</t>
  </si>
  <si>
    <t>低楼层(共14层)</t>
  </si>
  <si>
    <t>中楼层 共5层</t>
  </si>
  <si>
    <t>高楼层 共6层</t>
  </si>
  <si>
    <t>中楼层 共14层</t>
  </si>
  <si>
    <t>低楼层 共6层</t>
  </si>
  <si>
    <t>中楼层/14层</t>
  </si>
  <si>
    <t>低楼层/14层</t>
  </si>
  <si>
    <t>东西</t>
  </si>
  <si>
    <t>底层/5层</t>
  </si>
  <si>
    <t>高楼层/14层</t>
  </si>
  <si>
    <t>顶层/14层</t>
  </si>
  <si>
    <t>2017-3-11523-RA</t>
  </si>
  <si>
    <t>谷涛</t>
  </si>
  <si>
    <t>甘水桥16号楼204号</t>
  </si>
  <si>
    <t>甘水桥</t>
  </si>
  <si>
    <t>王淼</t>
  </si>
  <si>
    <t>14（-1）</t>
  </si>
  <si>
    <t>2016-3-33057-RB</t>
  </si>
  <si>
    <t>赵浩、李佳育</t>
  </si>
  <si>
    <t>甘水桥11号楼5层1-501号</t>
  </si>
  <si>
    <t>2016-3-32478-RB</t>
  </si>
  <si>
    <t>肖昉</t>
  </si>
  <si>
    <t>甘水桥16号楼704号</t>
  </si>
  <si>
    <t>14（现场勘查）</t>
  </si>
  <si>
    <t>2016-3-12650-RB</t>
  </si>
  <si>
    <t>任宏旺</t>
  </si>
  <si>
    <t>甘水桥16号楼2层203号</t>
  </si>
  <si>
    <t>2016-3-12095-RB</t>
  </si>
  <si>
    <t>黄致富</t>
  </si>
  <si>
    <t>甘水桥11号楼3层4-303号</t>
  </si>
  <si>
    <t>安外甘水桥</t>
  </si>
  <si>
    <t>2016-3-04588-RB</t>
  </si>
  <si>
    <t>刘田福</t>
  </si>
  <si>
    <t>甘水桥16号楼13层1308号</t>
  </si>
  <si>
    <t>2016-3-01438-RB</t>
  </si>
  <si>
    <t>曲超、刘婷婷</t>
  </si>
  <si>
    <t>甘水桥16号楼1014号</t>
  </si>
  <si>
    <t>2015-3-22297-RB</t>
  </si>
  <si>
    <t>杜小帅</t>
  </si>
  <si>
    <t>甘水桥16楼408号</t>
  </si>
  <si>
    <t>2015-3-15299-RA</t>
  </si>
  <si>
    <t>付云忠</t>
  </si>
  <si>
    <t>甘水桥16号楼14层1411号</t>
  </si>
  <si>
    <t>岳墨涵</t>
  </si>
  <si>
    <t>2015-3-12967-RB</t>
  </si>
  <si>
    <t>白立新</t>
  </si>
  <si>
    <t>甘水桥16号楼313号</t>
  </si>
  <si>
    <t>2015-3-05695-RB</t>
  </si>
  <si>
    <t>徐良</t>
  </si>
  <si>
    <t>甘水桥11号楼1门502号</t>
  </si>
  <si>
    <t>刘可</t>
  </si>
  <si>
    <t>5（现场勘查）</t>
  </si>
  <si>
    <t>2015-3-01735-RB</t>
  </si>
  <si>
    <t>侯占仑</t>
  </si>
  <si>
    <t>甘水桥12号楼4层2-403号</t>
  </si>
  <si>
    <t>2011-3-01068-RB</t>
  </si>
  <si>
    <t>陈学伟</t>
  </si>
  <si>
    <t>甘水桥（现楼牌号：安外甘水桥）16号楼1308号</t>
  </si>
  <si>
    <t>2010-3-01575-RA</t>
  </si>
  <si>
    <t>权绍荣</t>
  </si>
  <si>
    <t>甘水桥（现楼牌号：安外甘水桥）16号楼8层807号</t>
  </si>
  <si>
    <t>2010-3-01522-RA</t>
  </si>
  <si>
    <t>马林</t>
  </si>
  <si>
    <t>甘水桥（现楼牌号：安外甘水桥）16号楼607号</t>
  </si>
  <si>
    <t>2014-3-10069-RB</t>
  </si>
  <si>
    <t>荆国业</t>
  </si>
  <si>
    <t>小黄庄二区4号楼3单元602号</t>
  </si>
  <si>
    <t>张晓晨</t>
  </si>
  <si>
    <t>6（现场勘查）</t>
  </si>
  <si>
    <t>2013-3-24694-RA</t>
  </si>
  <si>
    <t>刘光久</t>
  </si>
  <si>
    <t>小黄庄二区4号楼1层3单元103号</t>
  </si>
  <si>
    <t>2013-3-16938-RB</t>
  </si>
  <si>
    <t>曹玥</t>
  </si>
  <si>
    <t>小黄庄一区8号楼1单元403号</t>
  </si>
  <si>
    <t>2013-3-05545-RB</t>
  </si>
  <si>
    <t>王泽明</t>
  </si>
  <si>
    <t>小黄庄一区9号楼2单元1003号</t>
  </si>
  <si>
    <t>2012-3-14180-RA</t>
  </si>
  <si>
    <t>2012-3-05786-RA</t>
  </si>
  <si>
    <t>陈晨</t>
  </si>
  <si>
    <t>小黄庄一区4号楼1单元402号</t>
  </si>
  <si>
    <t>张铮</t>
  </si>
  <si>
    <t>2012-3-05785-RA</t>
  </si>
  <si>
    <t>小黄庄一区4号楼4层1单元401号</t>
  </si>
  <si>
    <t>甘水桥</t>
    <phoneticPr fontId="26" type="noConversion"/>
  </si>
  <si>
    <r>
      <t>4/21</t>
    </r>
    <r>
      <rPr>
        <sz val="11"/>
        <color indexed="8"/>
        <rFont val="宋体"/>
        <family val="3"/>
        <charset val="134"/>
      </rPr>
      <t>（低层）</t>
    </r>
    <phoneticPr fontId="26" type="noConversion"/>
  </si>
  <si>
    <r>
      <rPr>
        <sz val="11"/>
        <color indexed="8"/>
        <rFont val="宋体"/>
        <family val="3"/>
        <charset val="134"/>
      </rPr>
      <t>低层</t>
    </r>
    <r>
      <rPr>
        <sz val="11"/>
        <color indexed="8"/>
        <rFont val="Arial"/>
        <family val="2"/>
      </rPr>
      <t>/14</t>
    </r>
    <phoneticPr fontId="26" type="noConversion"/>
  </si>
  <si>
    <t>多层</t>
  </si>
  <si>
    <t>多层</t>
    <phoneticPr fontId="26" type="noConversion"/>
  </si>
  <si>
    <t>高层</t>
  </si>
  <si>
    <t>高层</t>
    <phoneticPr fontId="26" type="noConversion"/>
  </si>
  <si>
    <r>
      <t>10/22</t>
    </r>
    <r>
      <rPr>
        <sz val="11"/>
        <color indexed="8"/>
        <rFont val="宋体"/>
        <family val="3"/>
        <charset val="134"/>
      </rPr>
      <t>（中层）</t>
    </r>
    <phoneticPr fontId="26" type="noConversion"/>
  </si>
  <si>
    <t>砖混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</si>
</sst>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10"/>
      <color theme="1"/>
      <name val="宋体"/>
      <family val="2"/>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theme="7" tint="0.79998168889431442"/>
        <bgColor indexed="64"/>
      </patternFill>
    </fill>
    <fill>
      <patternFill patternType="solid">
        <fgColor rgb="FFEAF6FC"/>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1" fillId="0" borderId="0">
      <alignment vertical="center"/>
    </xf>
  </cellStyleXfs>
  <cellXfs count="3845">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0" fontId="130" fillId="0" borderId="51" xfId="0" applyNumberFormat="1" applyFont="1" applyFill="1" applyBorder="1" applyAlignment="1" applyProtection="1">
      <alignment horizontal="center" vertical="center" wrapText="1"/>
      <protection locked="0"/>
    </xf>
    <xf numFmtId="0" fontId="130" fillId="0" borderId="5" xfId="0"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130" fillId="0" borderId="83" xfId="0" applyNumberFormat="1" applyFont="1" applyFill="1" applyBorder="1" applyAlignment="1" applyProtection="1">
      <alignment horizontal="center" vertical="center"/>
      <protection locked="0"/>
    </xf>
    <xf numFmtId="10" fontId="49" fillId="9" borderId="1" xfId="1" applyNumberFormat="1" applyFont="1" applyFill="1" applyBorder="1" applyAlignment="1" applyProtection="1">
      <alignment horizontal="center" vertical="center"/>
      <protection locked="0"/>
    </xf>
    <xf numFmtId="49" fontId="46" fillId="0" borderId="44"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0" fontId="130" fillId="0" borderId="37" xfId="0" applyNumberFormat="1" applyFont="1" applyFill="1" applyBorder="1" applyAlignment="1" applyProtection="1">
      <alignment horizontal="center" vertical="center" wrapText="1"/>
      <protection locked="0"/>
    </xf>
    <xf numFmtId="181" fontId="70" fillId="9" borderId="0" xfId="0" applyNumberFormat="1" applyFont="1" applyFill="1" applyBorder="1" applyAlignment="1" applyProtection="1">
      <alignment horizontal="center" vertical="center" wrapText="1"/>
      <protection locked="0"/>
    </xf>
    <xf numFmtId="0" fontId="53" fillId="9" borderId="0" xfId="0" applyFont="1" applyFill="1" applyBorder="1" applyAlignment="1" applyProtection="1">
      <alignment horizontal="center" vertical="center"/>
      <protection locked="0"/>
    </xf>
    <xf numFmtId="0" fontId="53" fillId="9" borderId="1" xfId="0" applyFont="1" applyFill="1" applyBorder="1" applyAlignment="1" applyProtection="1">
      <alignment horizontal="center" vertical="center" wrapText="1"/>
    </xf>
    <xf numFmtId="187" fontId="53" fillId="9" borderId="5" xfId="0" applyNumberFormat="1" applyFont="1" applyFill="1" applyBorder="1" applyAlignment="1" applyProtection="1">
      <alignment horizontal="center" vertical="center"/>
    </xf>
    <xf numFmtId="49" fontId="53" fillId="9" borderId="3" xfId="0" applyNumberFormat="1" applyFont="1" applyFill="1" applyBorder="1" applyAlignment="1" applyProtection="1">
      <alignment horizontal="center" vertical="center"/>
    </xf>
    <xf numFmtId="0" fontId="53" fillId="9" borderId="15" xfId="0" applyFont="1" applyFill="1" applyBorder="1" applyAlignment="1" applyProtection="1">
      <alignment horizontal="center" vertical="center"/>
    </xf>
    <xf numFmtId="0" fontId="53" fillId="9" borderId="1" xfId="0" applyFont="1" applyFill="1" applyBorder="1" applyAlignment="1" applyProtection="1">
      <alignment horizontal="center" vertical="center"/>
    </xf>
    <xf numFmtId="0" fontId="53" fillId="9" borderId="1" xfId="0" applyNumberFormat="1" applyFont="1" applyFill="1" applyBorder="1" applyAlignment="1" applyProtection="1">
      <alignment horizontal="center" vertical="center"/>
    </xf>
    <xf numFmtId="0" fontId="53" fillId="9" borderId="0" xfId="0" applyFont="1" applyFill="1" applyAlignment="1" applyProtection="1">
      <alignment horizontal="center" vertical="center"/>
      <protection locked="0"/>
    </xf>
    <xf numFmtId="0" fontId="130" fillId="0" borderId="41" xfId="0" applyNumberFormat="1" applyFont="1" applyFill="1" applyBorder="1" applyAlignment="1" applyProtection="1">
      <alignment horizontal="center" vertical="center" wrapText="1"/>
      <protection locked="0"/>
    </xf>
    <xf numFmtId="0" fontId="130" fillId="0" borderId="5" xfId="0"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protection locked="0"/>
    </xf>
    <xf numFmtId="49" fontId="130" fillId="0" borderId="41" xfId="0" applyNumberFormat="1" applyFont="1" applyFill="1" applyBorder="1" applyAlignment="1" applyProtection="1">
      <alignment horizontal="center" vertical="center" wrapText="1"/>
      <protection locked="0"/>
    </xf>
    <xf numFmtId="0" fontId="272" fillId="1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0" fontId="273" fillId="22" borderId="176" xfId="0" applyFont="1" applyFill="1" applyBorder="1" applyAlignment="1">
      <alignment horizontal="center" vertical="center" wrapText="1"/>
    </xf>
    <xf numFmtId="14" fontId="272" fillId="12" borderId="176" xfId="0" applyNumberFormat="1" applyFont="1" applyFill="1" applyBorder="1" applyAlignment="1">
      <alignment horizontal="center" vertical="center" wrapText="1"/>
    </xf>
    <xf numFmtId="14" fontId="272" fillId="22" borderId="176" xfId="0" applyNumberFormat="1" applyFont="1" applyFill="1" applyBorder="1" applyAlignment="1">
      <alignment horizontal="center" vertical="center" wrapText="1"/>
    </xf>
    <xf numFmtId="0" fontId="271" fillId="22" borderId="178" xfId="0" applyFont="1" applyFill="1" applyBorder="1" applyAlignment="1">
      <alignment horizontal="center" vertical="center" wrapText="1"/>
    </xf>
    <xf numFmtId="9" fontId="53" fillId="2" borderId="23" xfId="17" applyFont="1" applyFill="1" applyBorder="1" applyAlignment="1" applyProtection="1">
      <alignment horizontal="center" vertical="center" wrapText="1"/>
      <protection locked="0"/>
    </xf>
    <xf numFmtId="9" fontId="53" fillId="2" borderId="3" xfId="17" applyFont="1" applyFill="1" applyBorder="1" applyAlignment="1" applyProtection="1">
      <alignment horizontal="center" vertical="center" wrapText="1"/>
      <protection locked="0"/>
    </xf>
    <xf numFmtId="0" fontId="125" fillId="0" borderId="23" xfId="0" applyFont="1" applyBorder="1" applyAlignment="1" applyProtection="1">
      <alignment horizontal="center" vertical="center"/>
      <protection locked="0"/>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0"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210"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0"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210"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31"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xf numFmtId="0" fontId="274" fillId="0" borderId="0" xfId="20" applyFont="1" applyAlignment="1">
      <alignment horizontal="center" vertical="center" wrapText="1"/>
    </xf>
    <xf numFmtId="0" fontId="1" fillId="0" borderId="0" xfId="20">
      <alignment vertical="center"/>
    </xf>
    <xf numFmtId="14" fontId="274" fillId="0" borderId="0" xfId="20" applyNumberFormat="1" applyFont="1" applyAlignment="1">
      <alignment horizontal="center" vertical="center" wrapText="1"/>
    </xf>
    <xf numFmtId="31" fontId="272" fillId="12" borderId="176" xfId="0" applyNumberFormat="1" applyFont="1" applyFill="1" applyBorder="1" applyAlignment="1">
      <alignment horizontal="center" vertical="center" wrapText="1"/>
    </xf>
    <xf numFmtId="31" fontId="272" fillId="22" borderId="176" xfId="0" applyNumberFormat="1"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14" fontId="272" fillId="24" borderId="176"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0" fontId="273"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72" fillId="23"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14" fontId="272" fillId="23" borderId="176" xfId="0" applyNumberFormat="1" applyFont="1" applyFill="1" applyBorder="1" applyAlignment="1">
      <alignment horizontal="center" vertical="center" wrapText="1"/>
    </xf>
    <xf numFmtId="14" fontId="274" fillId="23" borderId="0" xfId="20" applyNumberFormat="1" applyFont="1" applyFill="1" applyAlignment="1">
      <alignment horizontal="center" vertical="center" wrapText="1"/>
    </xf>
    <xf numFmtId="0" fontId="274" fillId="23" borderId="0" xfId="20" applyFont="1" applyFill="1" applyAlignment="1">
      <alignment horizontal="center" vertical="center" wrapText="1"/>
    </xf>
  </cellXfs>
  <cellStyles count="21">
    <cellStyle name="百分比" xfId="17" builtinId="5"/>
    <cellStyle name="百分比 2" xfId="14"/>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9976;&#27700;&#2672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02基准地价"/>
      <sheetName val="2014基准地价"/>
      <sheetName val="2014因素修正幅度"/>
      <sheetName val="2014区片价"/>
      <sheetName val="2014修正"/>
      <sheetName val="2014容积率修正"/>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18">
          <cell r="E18">
            <v>937699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估价对象为北京市房地产，为所有。根据《国有土地使用证》[]，估价对象（分摊）出让国有建设用地使用权面积为0平方米，建筑面积为56.19平方米。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2013年9月13日</v>
      </c>
    </row>
    <row r="13" spans="1:2" s="1203" customFormat="1">
      <c r="A13" s="1201" t="s">
        <v>529</v>
      </c>
      <c r="B13" s="1202" t="str">
        <f>'预评函-1'!A18</f>
        <v>本次估价的“房地产价值”是指在正常市场情况下，在价值时点2013年9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56.19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7" sqref="H27"/>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41530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13.27</v>
      </c>
      <c r="D5" s="3025">
        <f>IF(ISERROR(ROUND(POWER(1+E5,A5-C5)*(POWER(1+E5,C5)-1)/(POWER(1+E5,A5)-1),3)),0,ROUND(POWER(1+E5,A5-C5)*(POWER(1+E5,C5)-1)/(POWER(1+E5,A5)-1),4))</f>
        <v>0.51249999999999996</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23.28</v>
      </c>
      <c r="D6" s="3025">
        <f>IF(ISERROR(ROUND(POWER(1+E6,A6-C6)*(POWER(1+E6,C6)-1)/(POWER(1+E6,A6)-1),3)),0,ROUND(POWER(1+E6,A6-C6)*(POWER(1+E6,C6)-1)/(POWER(1+E6,A6)-1),4))</f>
        <v>0.69669999999999999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43.29</v>
      </c>
      <c r="D7" s="3025">
        <f>IF(ISERROR(ROUND(POWER(1+E7,A7-C7)*(POWER(1+E7,C7)-1)/(POWER(1+E7,A7)-1),3)),0,ROUND(POWER(1+E7,A7-C7)*(POWER(1+E7,C7)-1)/(POWER(1+E7,A7)-1),4))</f>
        <v>0.873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41530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3385</v>
      </c>
      <c r="C8" s="2390"/>
      <c r="D8" s="3536" t="s">
        <v>2176</v>
      </c>
      <c r="E8" s="2391"/>
      <c r="F8" s="2392"/>
      <c r="G8" s="2663"/>
      <c r="H8" s="2663"/>
      <c r="I8" s="2663"/>
      <c r="J8" s="2439"/>
      <c r="K8" s="2614"/>
      <c r="L8" s="2613"/>
      <c r="M8" s="2613"/>
      <c r="N8" s="2439"/>
      <c r="O8" s="2450"/>
      <c r="P8" s="2439"/>
      <c r="Q8" s="2439"/>
      <c r="R8" s="2439"/>
    </row>
    <row r="9" spans="1:30" ht="13.8" thickBot="1">
      <c r="A9" s="2393" t="s">
        <v>2177</v>
      </c>
      <c r="B9" s="2394" t="s">
        <v>3386</v>
      </c>
      <c r="C9" s="2395"/>
      <c r="D9" s="3537"/>
      <c r="E9" s="2394"/>
      <c r="F9" s="2396"/>
      <c r="G9" s="2665"/>
      <c r="H9" s="2665"/>
      <c r="I9" s="2665"/>
      <c r="J9" s="2439"/>
      <c r="K9" s="2616"/>
      <c r="L9" s="2613"/>
      <c r="M9" s="2613"/>
      <c r="N9" s="2439"/>
      <c r="O9" s="2450"/>
      <c r="P9" s="2439"/>
      <c r="Q9" s="2439"/>
      <c r="R9" s="2439"/>
    </row>
    <row r="10" spans="1:30" ht="13.8"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3332</v>
      </c>
      <c r="B13" s="2407" t="s">
        <v>2189</v>
      </c>
      <c r="C13" s="856">
        <v>67179</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3"/>
      <c r="C16" s="3544"/>
      <c r="D16" s="3545"/>
      <c r="E16" s="2413" t="s">
        <v>2193</v>
      </c>
      <c r="F16" s="3546"/>
      <c r="G16" s="3547"/>
      <c r="H16" s="3547"/>
      <c r="I16" s="3548"/>
      <c r="J16" s="2439"/>
      <c r="K16" s="2617"/>
      <c r="L16" s="2451"/>
      <c r="M16" s="2451"/>
      <c r="N16" s="2509"/>
      <c r="O16" s="2451"/>
      <c r="P16" s="2509"/>
      <c r="Q16" s="2439"/>
      <c r="R16" s="2439"/>
    </row>
    <row r="17" spans="1:28">
      <c r="A17" s="313" t="s">
        <v>2194</v>
      </c>
      <c r="B17" s="302" t="s">
        <v>2195</v>
      </c>
      <c r="C17" s="8">
        <f>'数据-汇总表'!E3</f>
        <v>56.19</v>
      </c>
      <c r="D17" s="2322" t="s">
        <v>2196</v>
      </c>
      <c r="E17" s="3549" t="s">
        <v>2197</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2" t="s">
        <v>2201</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9" t="s">
        <v>2205</v>
      </c>
      <c r="C20" s="3540"/>
      <c r="D20" s="3541" t="s">
        <v>2206</v>
      </c>
      <c r="E20" s="3542"/>
      <c r="F20" s="2647" t="s">
        <v>1056</v>
      </c>
      <c r="G20" s="2664"/>
      <c r="H20" s="2664"/>
      <c r="I20" s="2664"/>
      <c r="J20" s="2439"/>
      <c r="K20" s="353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2217</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5" t="s">
        <v>2227</v>
      </c>
      <c r="T34" s="2428" t="str">
        <f>NUMBERSTRING(7-K34,1)&amp;"通"</f>
        <v>七通</v>
      </c>
      <c r="U34" s="2439"/>
      <c r="V34" s="2439"/>
    </row>
    <row r="35" spans="1:30">
      <c r="A35" s="2429"/>
      <c r="B35" s="3532" t="s">
        <v>2228</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56.19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56.19</v>
      </c>
      <c r="H5" s="13">
        <f t="shared" ref="H5:AT5" si="0">SUM(H13:H656)</f>
        <v>56.19</v>
      </c>
      <c r="I5" s="13">
        <f t="shared" si="0"/>
        <v>56.19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56.19</v>
      </c>
      <c r="BA5" s="15">
        <f t="shared" si="1"/>
        <v>56.19</v>
      </c>
      <c r="BB5" s="15">
        <f t="shared" si="1"/>
        <v>56.19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3387</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3389</v>
      </c>
      <c r="E13" s="13">
        <f>IF($C$3="是",ROUND($A$3*G13/$B$3,2),ROUND($A$3*(G13-AT13)/$B$3,2))</f>
        <v>0</v>
      </c>
      <c r="F13" s="29"/>
      <c r="G13" s="30">
        <f>H13+AC13+AT13</f>
        <v>56.19</v>
      </c>
      <c r="H13" s="17">
        <f>SUMIF(I$12:AB$12,"总值",I13:AB13)</f>
        <v>56.19</v>
      </c>
      <c r="I13" s="1626">
        <v>56.19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56.19</v>
      </c>
      <c r="BA13" s="13">
        <f>SUM(BB13:BK13)</f>
        <v>56.19</v>
      </c>
      <c r="BB13" s="13">
        <f>IF($D13="是",I13-J13,0)</f>
        <v>56.19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56.19</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56.19</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56.19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56.19</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3390</v>
      </c>
      <c r="D19" s="45">
        <f>ROUND($D$3*E19/$E$3,2)</f>
        <v>0</v>
      </c>
      <c r="E19" s="53">
        <f t="shared" ref="E19:E26" si="1">SUM(F19:G19)</f>
        <v>56.19</v>
      </c>
      <c r="F19" s="2795">
        <f>'数据-基础表'!I13</f>
        <v>56.19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56.19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56.19</v>
      </c>
      <c r="F27" s="1140">
        <f>IF(SUM(F19:F26)=E8,SUM(F19:F26),"地上面积有误")</f>
        <v>56.19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56.19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56.19</v>
      </c>
      <c r="F31" s="677">
        <f>F27+F30</f>
        <v>56.19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56.19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41530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3387</v>
      </c>
      <c r="D6" s="858">
        <f>SUMIF(项目基本情况!C$12:I$12,C6,项目基本情况!C$14:I$14)</f>
        <v>70</v>
      </c>
      <c r="E6" s="857">
        <f>IF(B6="","",SUMIF(项目基本情况!C$12:I$12,C6,项目基本情况!C$13:I$13))</f>
        <v>67179</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56.19</v>
      </c>
      <c r="L6" s="733">
        <v>2200</v>
      </c>
      <c r="M6" s="67">
        <f t="shared" ref="M6:M14" si="0">ROUND(K6*L6/10000,0)</f>
        <v>12</v>
      </c>
      <c r="N6" s="3455">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2E-3</v>
      </c>
      <c r="AM6" s="80">
        <v>0.03</v>
      </c>
      <c r="AN6" s="1715" t="s">
        <v>3411</v>
      </c>
      <c r="AO6" s="52">
        <f ca="1">SUMIF(INDIRECT("'"&amp;AN6&amp;"'"&amp;"!A:A"),"总价",INDIRECT("'"&amp;AN6&amp;"'"&amp;"!B:B"))</f>
        <v>139.03729999999999</v>
      </c>
      <c r="AP6" s="1716">
        <f>IF(C6="住宅",K6*L6,0)</f>
        <v>123618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56.19</v>
      </c>
      <c r="L16" s="93">
        <f>ROUND(M16*10000/SUM(K6:K14),0)</f>
        <v>2136</v>
      </c>
      <c r="M16" s="93">
        <f>SUM(M6:M14)</f>
        <v>12</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1-(2013-1984)/60</f>
        <v>0.51666666666666661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3392</v>
      </c>
      <c r="B40" s="1078">
        <f ca="1">IF(A40="利息：取LPR",存贷款利率!G1,存贷款利率!G1+C40)</f>
        <v>0.06</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5" activePane="bottomRight" state="frozen"/>
      <selection activeCell="C50" sqref="C50"/>
      <selection pane="topRight" activeCell="C50" sqref="C50"/>
      <selection pane="bottomLeft" activeCell="C50" sqref="C50"/>
      <selection pane="bottomRight" activeCell="K35" sqref="K35:K3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2285</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56.19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41530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222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56.19</v>
      </c>
      <c r="C14" s="2518"/>
      <c r="D14" s="2518">
        <f ca="1">结果表!G19</f>
        <v>222</v>
      </c>
      <c r="E14" s="2518">
        <f ca="1">ROUND(D14*10000/B14,0)</f>
        <v>39509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Normal="100" zoomScaleSheetLayoutView="100" zoomScalePageLayoutView="80" workbookViewId="0">
      <selection activeCell="C27" sqref="C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t="s">
        <v>3410</v>
      </c>
      <c r="D4" s="1756" t="s">
        <v>3411</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6" t="s">
        <v>1268</v>
      </c>
      <c r="B5" s="3573">
        <v>25</v>
      </c>
      <c r="C5" s="3589">
        <v>8</v>
      </c>
      <c r="D5" s="3609">
        <f>10-C5</f>
        <v>2</v>
      </c>
      <c r="E5" s="131" t="s">
        <v>1269</v>
      </c>
      <c r="F5" s="1757"/>
      <c r="G5" s="1757"/>
      <c r="H5" s="1757"/>
      <c r="I5" s="1373"/>
    </row>
    <row r="6" spans="1:12" ht="13.2">
      <c r="A6" s="3586"/>
      <c r="B6" s="3573"/>
      <c r="C6" s="3590"/>
      <c r="D6" s="3609"/>
      <c r="E6" s="131" t="s">
        <v>1270</v>
      </c>
      <c r="F6" s="1757"/>
      <c r="G6" s="1757"/>
      <c r="H6" s="1757"/>
      <c r="I6" s="1373"/>
    </row>
    <row r="7" spans="1:12" ht="13.2">
      <c r="A7" s="3586"/>
      <c r="B7" s="3573"/>
      <c r="C7" s="3591"/>
      <c r="D7" s="3609"/>
      <c r="E7" s="131" t="s">
        <v>1271</v>
      </c>
      <c r="F7" s="1757"/>
      <c r="G7" s="1757"/>
      <c r="H7" s="1757"/>
      <c r="I7" s="1373"/>
    </row>
    <row r="8" spans="1:12" ht="13.2">
      <c r="A8" s="3586" t="s">
        <v>1272</v>
      </c>
      <c r="B8" s="3573">
        <v>15</v>
      </c>
      <c r="C8" s="3589"/>
      <c r="D8" s="3609"/>
      <c r="E8" s="131" t="s">
        <v>1273</v>
      </c>
      <c r="F8" s="1757"/>
      <c r="G8" s="1757"/>
      <c r="H8" s="1757"/>
      <c r="I8" s="1373"/>
    </row>
    <row r="9" spans="1:12" ht="13.2">
      <c r="A9" s="3586"/>
      <c r="B9" s="3573"/>
      <c r="C9" s="3591"/>
      <c r="D9" s="3609"/>
      <c r="E9" s="131" t="s">
        <v>1274</v>
      </c>
      <c r="F9" s="1757"/>
      <c r="G9" s="1757"/>
      <c r="H9" s="1757"/>
      <c r="I9" s="1373"/>
    </row>
    <row r="10" spans="1:12" ht="13.2">
      <c r="A10" s="3586" t="s">
        <v>1275</v>
      </c>
      <c r="B10" s="3573">
        <v>15</v>
      </c>
      <c r="C10" s="3589"/>
      <c r="D10" s="3609"/>
      <c r="E10" s="131" t="s">
        <v>1276</v>
      </c>
      <c r="F10" s="1757"/>
      <c r="G10" s="1757"/>
      <c r="H10" s="1757"/>
      <c r="I10" s="1373"/>
    </row>
    <row r="11" spans="1:12" ht="13.2">
      <c r="A11" s="3586"/>
      <c r="B11" s="3573"/>
      <c r="C11" s="3591"/>
      <c r="D11" s="3609"/>
      <c r="E11" s="131" t="s">
        <v>1277</v>
      </c>
      <c r="F11" s="1757"/>
      <c r="G11" s="1757"/>
      <c r="H11" s="1757"/>
      <c r="I11" s="1373"/>
    </row>
    <row r="12" spans="1:12" ht="13.2">
      <c r="A12" s="3586" t="s">
        <v>1278</v>
      </c>
      <c r="B12" s="3573">
        <v>15</v>
      </c>
      <c r="C12" s="3589"/>
      <c r="D12" s="3609"/>
      <c r="E12" s="131" t="s">
        <v>1279</v>
      </c>
      <c r="F12" s="1757"/>
      <c r="G12" s="1757"/>
      <c r="H12" s="1757"/>
      <c r="I12" s="1373"/>
    </row>
    <row r="13" spans="1:12" ht="13.2">
      <c r="A13" s="3586"/>
      <c r="B13" s="3573"/>
      <c r="C13" s="3591"/>
      <c r="D13" s="3609"/>
      <c r="E13" s="131" t="s">
        <v>1280</v>
      </c>
      <c r="F13" s="1757"/>
      <c r="G13" s="1757"/>
      <c r="H13" s="1757"/>
      <c r="I13" s="1373"/>
    </row>
    <row r="14" spans="1:12" ht="13.2">
      <c r="A14" s="3586" t="s">
        <v>1281</v>
      </c>
      <c r="B14" s="3573">
        <v>30</v>
      </c>
      <c r="C14" s="3589"/>
      <c r="D14" s="3609"/>
      <c r="E14" s="131" t="s">
        <v>1282</v>
      </c>
      <c r="F14" s="1757"/>
      <c r="G14" s="1757"/>
      <c r="H14" s="1757"/>
      <c r="I14" s="1373"/>
    </row>
    <row r="15" spans="1:12" ht="13.2">
      <c r="A15" s="3586"/>
      <c r="B15" s="3573"/>
      <c r="C15" s="3590"/>
      <c r="D15" s="3609"/>
      <c r="E15" s="131" t="s">
        <v>1283</v>
      </c>
      <c r="F15" s="1757"/>
      <c r="G15" s="1757"/>
      <c r="H15" s="1757"/>
      <c r="I15" s="1373"/>
    </row>
    <row r="16" spans="1:12" ht="13.2">
      <c r="A16" s="3586"/>
      <c r="B16" s="3573"/>
      <c r="C16" s="3591"/>
      <c r="D16" s="360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6" t="s">
        <v>2130</v>
      </c>
      <c r="F18" s="3597"/>
      <c r="G18" s="3597"/>
      <c r="H18" s="3597"/>
      <c r="I18" s="3597"/>
      <c r="K18" s="302" t="s">
        <v>1289</v>
      </c>
      <c r="L18" s="302">
        <f>IF(C1="",'数据-汇总表'!E3,SUMIF(项目类型,C1,'数据-汇总表'!E17:E26)+SUMIF(项目类型,C1,'数据-汇总表'!I17:I26))</f>
        <v>56.19</v>
      </c>
      <c r="M18" s="302">
        <f>IF(C1="",'数据-汇总表'!E3,SUMIF(项目类型,C1,'数据-汇总表'!E17:E26))</f>
        <v>56.19</v>
      </c>
    </row>
    <row r="19" spans="1:36" ht="14.4">
      <c r="A19" s="1761" t="s">
        <v>1290</v>
      </c>
      <c r="B19" s="1762" t="s">
        <v>1291</v>
      </c>
      <c r="C19" s="134">
        <f ca="1">SUMIF(INDIRECT("'"&amp;C4&amp;"'"&amp;"!A:A"),结果表!B19,INDIRECT("'"&amp;C4&amp;"'"&amp;"!B:B"))</f>
        <v>243.2072</v>
      </c>
      <c r="D19" s="135">
        <f ca="1">SUMIF(INDIRECT("'"&amp;D4&amp;"'"&amp;"!A:A"),结果表!B19,INDIRECT("'"&amp;D4&amp;"'"&amp;"!B:B"))</f>
        <v>139.03729999999999</v>
      </c>
      <c r="E19" s="1761" t="s">
        <v>1292</v>
      </c>
      <c r="F19" s="1762" t="s">
        <v>1291</v>
      </c>
      <c r="G19" s="136">
        <f ca="1">ROUND(C19*$C$18+D19*$D$18,0)</f>
        <v>222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43283</v>
      </c>
      <c r="D20" s="138">
        <f ca="1">SUMIF(INDIRECT("'"&amp;D4&amp;"'"&amp;"!A:A"),结果表!B20,INDIRECT("'"&amp;D4&amp;"'"&amp;"!B:B"))</f>
        <v>24744</v>
      </c>
      <c r="E20" s="1764"/>
      <c r="F20" s="1026" t="s">
        <v>1295</v>
      </c>
      <c r="G20" s="139">
        <f ca="1">ROUND(C20*$C$18+D20*$D$18,0)</f>
        <v>39575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0.74922269060173075</v>
      </c>
      <c r="E22" s="129"/>
      <c r="F22" s="129"/>
      <c r="G22" s="129"/>
      <c r="H22" s="129"/>
      <c r="I22" s="129"/>
    </row>
    <row r="23" spans="1:36" ht="13.8" thickBot="1">
      <c r="A23" s="1747"/>
      <c r="B23" s="1747"/>
      <c r="C23" s="1747"/>
      <c r="D23" s="1747"/>
      <c r="E23" s="129"/>
      <c r="F23" s="129"/>
      <c r="G23" s="129"/>
      <c r="H23" s="129"/>
      <c r="I23" s="129"/>
    </row>
    <row r="24" spans="1:36" ht="14.4">
      <c r="A24" s="3580" t="s">
        <v>1299</v>
      </c>
      <c r="B24" s="1762" t="s">
        <v>1291</v>
      </c>
      <c r="C24" s="136">
        <f>IF(B30=0,0,D30)</f>
        <v>0</v>
      </c>
      <c r="D24" s="1769"/>
      <c r="E24" s="129"/>
      <c r="F24" s="129"/>
      <c r="G24" s="129"/>
      <c r="H24" s="129"/>
      <c r="I24" s="129"/>
    </row>
    <row r="25" spans="1:36" ht="14.4">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4">
      <c r="A27" s="3482" t="s">
        <v>3468</v>
      </c>
      <c r="B27" s="142">
        <f>'数据-汇总表'!F19</f>
        <v>56.19</v>
      </c>
      <c r="C27" s="142">
        <f ca="1">ROUND(G20*0.03,0)</f>
        <v>1187</v>
      </c>
      <c r="D27" s="143">
        <f ca="1">ROUND(C27*B27/10000,0)</f>
        <v>7</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39575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41530</v>
      </c>
      <c r="N47" s="3657"/>
      <c r="O47" s="3657"/>
    </row>
    <row r="48" spans="1:15" ht="26.4">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2133</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2134</v>
      </c>
      <c r="I50" s="2311"/>
      <c r="J50" s="3655" t="s">
        <v>1345</v>
      </c>
      <c r="K50" s="3655"/>
      <c r="L50" s="3655"/>
      <c r="M50" s="3655"/>
      <c r="N50" s="3655"/>
      <c r="O50" s="3655"/>
    </row>
    <row r="51" spans="1:35" ht="20.399999999999999" customHeight="1">
      <c r="A51" s="2553"/>
      <c r="B51" s="3572" t="s">
        <v>1346</v>
      </c>
      <c r="C51" s="3572"/>
      <c r="D51" s="1087"/>
      <c r="E51" s="327"/>
      <c r="F51" s="2424"/>
      <c r="G51" s="3644"/>
      <c r="H51" s="2312" t="s">
        <v>2135</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5.6000000000000001E-2</v>
      </c>
      <c r="G52" s="2555"/>
      <c r="H52" s="2544"/>
      <c r="I52" s="1807"/>
      <c r="J52" s="2523">
        <v>1</v>
      </c>
      <c r="K52" s="3637" t="s">
        <v>1355</v>
      </c>
      <c r="L52" s="3637"/>
      <c r="M52" s="2525" t="b">
        <f>D48</f>
        <v>0</v>
      </c>
      <c r="N52" s="2523" t="str">
        <f>E48</f>
        <v>销售额×税（费）率</v>
      </c>
      <c r="O52" s="2526">
        <f>F48</f>
        <v>5.6000000000000001E-2</v>
      </c>
    </row>
    <row r="53" spans="1:35" ht="12" customHeight="1">
      <c r="A53" s="2335" t="s">
        <v>1356</v>
      </c>
      <c r="B53" s="3598" t="s">
        <v>2290</v>
      </c>
      <c r="C53" s="3599"/>
      <c r="D53" s="1087" t="e">
        <f ca="1">ROUND(D45*'数据-取费表'!B41/(1+'数据-取费表'!C42),0)</f>
        <v>#REF!</v>
      </c>
      <c r="E53" s="2334" t="s">
        <v>1354</v>
      </c>
      <c r="F53" s="2554">
        <f>'数据-取费表'!B41</f>
        <v>5.6000000000000001E-2</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2291</v>
      </c>
      <c r="C54" s="3599"/>
      <c r="D54" s="1087" t="e">
        <f ca="1">C68</f>
        <v>#REF!</v>
      </c>
      <c r="E54" s="327" t="s">
        <v>1359</v>
      </c>
      <c r="F54" s="2554">
        <f>'数据-取费表'!B41</f>
        <v>5.6000000000000001E-2</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t="e">
        <f ca="1">D59</f>
        <v>#REF!</v>
      </c>
      <c r="N55" s="2040" t="str">
        <f>E59</f>
        <v>差额计税</v>
      </c>
      <c r="O55" s="2529">
        <f>F59</f>
        <v>0.01</v>
      </c>
    </row>
    <row r="56" spans="1:35" ht="25.2">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3.2">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5.2">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6"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8"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3.2">
      <c r="A62" s="3603" t="s">
        <v>1375</v>
      </c>
      <c r="B62" s="360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4" t="s">
        <v>2128</v>
      </c>
      <c r="H90" s="366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比较法-住宅</v>
      </c>
      <c r="D101" s="2586" t="str">
        <f>D4</f>
        <v>成本法 (元)</v>
      </c>
      <c r="E101" s="3659" t="s">
        <v>1431</v>
      </c>
      <c r="F101" s="3616"/>
      <c r="G101" s="1827" t="s">
        <v>1432</v>
      </c>
      <c r="H101" s="2595" t="e">
        <f ca="1">H118</f>
        <v>#REF!</v>
      </c>
      <c r="I101" s="129"/>
    </row>
    <row r="102" spans="1:35" ht="18.75" customHeight="1">
      <c r="A102" s="3618" t="s">
        <v>1433</v>
      </c>
      <c r="B102" s="2584" t="s">
        <v>1432</v>
      </c>
      <c r="C102" s="2585">
        <f ca="1">IF(D32="楼面单价",ROUND(C19,0),C19)</f>
        <v>243.2072</v>
      </c>
      <c r="D102" s="2586">
        <f ca="1">IF(D32="楼面单价",ROUND(D19,0),D19)</f>
        <v>139.03729999999999</v>
      </c>
      <c r="E102" s="3659"/>
      <c r="F102" s="3616"/>
      <c r="G102" s="1827" t="s">
        <v>1434</v>
      </c>
      <c r="H102" s="2555" t="e">
        <f ca="1">I118</f>
        <v>#REF!</v>
      </c>
      <c r="I102" s="129"/>
    </row>
    <row r="103" spans="1:35" ht="42.75" customHeight="1">
      <c r="A103" s="3618"/>
      <c r="B103" s="2584" t="s">
        <v>1434</v>
      </c>
      <c r="C103" s="2587">
        <f ca="1">C20</f>
        <v>43283</v>
      </c>
      <c r="D103" s="2588">
        <f ca="1">D20</f>
        <v>24744</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56.19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4"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2314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56.19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56.19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0.06</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56.19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2.9999999999999997E-4</v>
      </c>
      <c r="E41" s="236" t="s">
        <v>1539</v>
      </c>
      <c r="F41" s="237">
        <f ca="1">F22</f>
        <v>0.06</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2.9999999999999997E-4</v>
      </c>
      <c r="D44" s="238"/>
      <c r="E44" s="238"/>
      <c r="F44" s="239"/>
      <c r="G44" s="3668"/>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12</v>
      </c>
      <c r="D51" s="232"/>
      <c r="E51" s="232"/>
      <c r="F51" s="264"/>
      <c r="G51" s="234" t="s">
        <v>1560</v>
      </c>
    </row>
    <row r="52" spans="1:7" s="208" customFormat="1" ht="16.8" thickBot="1">
      <c r="A52" s="265" t="s">
        <v>1561</v>
      </c>
      <c r="B52" s="266"/>
      <c r="C52" s="267">
        <f ca="1">C31+C51</f>
        <v>13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D43" sqref="D43"/>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3387</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139.03729999999999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24744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966299</v>
      </c>
      <c r="D5" s="211" t="s">
        <v>1469</v>
      </c>
      <c r="E5" s="212" t="s">
        <v>1470</v>
      </c>
      <c r="F5" s="212" t="s">
        <v>1471</v>
      </c>
      <c r="G5" s="213"/>
    </row>
    <row r="6" spans="1:8" s="214" customFormat="1" ht="13.5" customHeight="1">
      <c r="A6" s="778" t="s">
        <v>1472</v>
      </c>
      <c r="B6" s="215" t="s">
        <v>1473</v>
      </c>
      <c r="C6" s="216">
        <f>'[2]2002基准地价'!$E$18</f>
        <v>937699</v>
      </c>
      <c r="D6" s="217"/>
      <c r="E6" s="218"/>
      <c r="F6" s="218"/>
      <c r="G6" s="219"/>
    </row>
    <row r="7" spans="1:8" s="214" customFormat="1" ht="13.5" customHeight="1">
      <c r="A7" s="778" t="s">
        <v>1474</v>
      </c>
      <c r="B7" s="215" t="s">
        <v>1475</v>
      </c>
      <c r="C7" s="220">
        <f>ROUND(C6*F7,0)</f>
        <v>28600</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8990</v>
      </c>
      <c r="D9" s="845">
        <f ca="1">IF(B1="",'数据-汇总表'!E5,IF(INDIRECT("'数据-取费表'!c"&amp;$G$1)="住宅",INDIRECT("'数据-取费表'!k"&amp;$G$1),0))</f>
        <v>56.19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56.19</v>
      </c>
      <c r="E19" s="211">
        <f>'数据-取费表'!B31</f>
        <v>200</v>
      </c>
      <c r="F19" s="231"/>
      <c r="G19" s="1856" t="s">
        <v>3423</v>
      </c>
    </row>
    <row r="20" spans="1:7" s="214" customFormat="1" ht="13.5" customHeight="1">
      <c r="A20" s="255" t="s">
        <v>1574</v>
      </c>
      <c r="B20" s="210" t="s">
        <v>1575</v>
      </c>
      <c r="C20" s="232">
        <f>ROUND((C5+C19)*F20,0)</f>
        <v>9663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58268</v>
      </c>
      <c r="D22" s="235">
        <f ca="1">C26</f>
        <v>2.9999999999999997E-4</v>
      </c>
      <c r="E22" s="236" t="s">
        <v>1579</v>
      </c>
      <c r="F22" s="237">
        <f ca="1">'数据-取费表'!B40</f>
        <v>0.06</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57978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146394</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146394</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1266492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149072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123618</v>
      </c>
      <c r="D34" s="217"/>
      <c r="E34" s="220"/>
      <c r="F34" s="257"/>
      <c r="G34" s="219"/>
    </row>
    <row r="35" spans="1:7" ht="13.5" customHeight="1">
      <c r="A35" s="780" t="s">
        <v>351</v>
      </c>
      <c r="B35" s="215" t="s">
        <v>1527</v>
      </c>
      <c r="C35" s="220">
        <f ca="1">ROUND(C34*F35,0)</f>
        <v>6181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6181</v>
      </c>
      <c r="D36" s="220"/>
      <c r="E36" s="220"/>
      <c r="F36" s="259">
        <f>'数据-取费表'!B34</f>
        <v>0.05</v>
      </c>
      <c r="G36" s="260" t="s">
        <v>1530</v>
      </c>
    </row>
    <row r="37" spans="1:7" s="258" customFormat="1" ht="13.5" customHeight="1">
      <c r="A37" s="780" t="s">
        <v>353</v>
      </c>
      <c r="B37" s="215" t="s">
        <v>1531</v>
      </c>
      <c r="C37" s="249">
        <f ca="1">ROUND(E37*D37,0)</f>
        <v>11238</v>
      </c>
      <c r="D37" s="217">
        <f ca="1">D19</f>
        <v>56.19</v>
      </c>
      <c r="E37" s="249">
        <f>'数据-取费表'!B35</f>
        <v>200</v>
      </c>
      <c r="F37" s="259"/>
      <c r="G37" s="261"/>
    </row>
    <row r="38" spans="1:7" ht="13.5" customHeight="1">
      <c r="A38" s="780" t="s">
        <v>354</v>
      </c>
      <c r="B38" s="215" t="s">
        <v>1533</v>
      </c>
      <c r="C38" s="220">
        <f ca="1">ROUND(C34*F38,0)</f>
        <v>1854</v>
      </c>
      <c r="D38" s="220"/>
      <c r="E38" s="220"/>
      <c r="F38" s="259">
        <f>'数据-取费表'!B36</f>
        <v>1.4999999999999999E-2</v>
      </c>
      <c r="G38" s="219" t="s">
        <v>1528</v>
      </c>
    </row>
    <row r="39" spans="1:7" s="214" customFormat="1" ht="13.5" customHeight="1">
      <c r="A39" s="255" t="s">
        <v>1534</v>
      </c>
      <c r="B39" s="210" t="s">
        <v>1535</v>
      </c>
      <c r="C39" s="232">
        <f ca="1">ROUND(C33*F20,0)</f>
        <v>1491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4517</v>
      </c>
      <c r="D41" s="235">
        <f ca="1">C44</f>
        <v>2.9999999999999997E-4</v>
      </c>
      <c r="E41" s="236" t="s">
        <v>1539</v>
      </c>
      <c r="F41" s="237">
        <f ca="1">F22</f>
        <v>0.06</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4472</v>
      </c>
      <c r="D42" s="238"/>
      <c r="E42" s="238"/>
      <c r="F42" s="239"/>
      <c r="G42" s="3666" t="s">
        <v>1591</v>
      </c>
    </row>
    <row r="43" spans="1:7" ht="13.5" customHeight="1">
      <c r="A43" s="780" t="s">
        <v>347</v>
      </c>
      <c r="B43" s="215" t="s">
        <v>1545</v>
      </c>
      <c r="C43" s="238">
        <f ca="1">ROUND(IF('数据-取费表'!B22&lt;=1,C39*F22*'数据-取费表'!B20/2,C39*(POWER((1+F22),'数据-取费表'!B20/2)-1)),0)</f>
        <v>45</v>
      </c>
      <c r="D43" s="238"/>
      <c r="E43" s="238"/>
      <c r="F43" s="239"/>
      <c r="G43" s="3667"/>
    </row>
    <row r="44" spans="1:7" ht="13.5" customHeight="1">
      <c r="A44" s="780" t="s">
        <v>348</v>
      </c>
      <c r="B44" s="215" t="s">
        <v>1546</v>
      </c>
      <c r="C44" s="238">
        <f ca="1">ROUND(IF('数据-取费表'!B22&lt;=1,C40*F22*'数据-取费表'!B20/2,C40*(POWER((1+F22),'数据-取费表'!B20/2)-1)),4)</f>
        <v>2.9999999999999997E-4</v>
      </c>
      <c r="D44" s="238"/>
      <c r="E44" s="238"/>
      <c r="F44" s="239"/>
      <c r="G44" s="3668"/>
    </row>
    <row r="45" spans="1:7" s="214" customFormat="1" ht="13.5" customHeight="1">
      <c r="A45" s="255" t="s">
        <v>1547</v>
      </c>
      <c r="B45" s="244" t="s">
        <v>1513</v>
      </c>
      <c r="C45" s="245">
        <f ca="1">C46</f>
        <v>22584</v>
      </c>
      <c r="D45" s="235">
        <f ca="1">C47</f>
        <v>1.5E-3</v>
      </c>
      <c r="E45" s="236" t="s">
        <v>1539</v>
      </c>
      <c r="F45" s="246">
        <f ca="1">F27</f>
        <v>0.15</v>
      </c>
      <c r="G45" s="247" t="s">
        <v>1548</v>
      </c>
    </row>
    <row r="46" spans="1:7" s="214" customFormat="1" ht="13.5" customHeight="1">
      <c r="A46" s="780" t="s">
        <v>346</v>
      </c>
      <c r="B46" s="248" t="s">
        <v>1549</v>
      </c>
      <c r="C46" s="249">
        <f ca="1">ROUND((C33+C39)*F27,0)</f>
        <v>22584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190586</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123881</v>
      </c>
      <c r="D51" s="232"/>
      <c r="E51" s="232"/>
      <c r="F51" s="264"/>
      <c r="G51" s="234" t="s">
        <v>1560</v>
      </c>
    </row>
    <row r="52" spans="1:7" s="208" customFormat="1" ht="16.8" thickBot="1">
      <c r="A52" s="265" t="s">
        <v>1561</v>
      </c>
      <c r="B52" s="266"/>
      <c r="C52" s="267">
        <f ca="1">C31+C51</f>
        <v>1390373</v>
      </c>
      <c r="D52" s="266"/>
      <c r="E52" s="266"/>
      <c r="F52" s="266"/>
      <c r="G52" s="268"/>
    </row>
    <row r="55" spans="1:7" ht="15">
      <c r="B55" s="270" t="s">
        <v>1562</v>
      </c>
      <c r="C55" s="271"/>
    </row>
    <row r="56" spans="1:7">
      <c r="B56" s="273" t="s">
        <v>802</v>
      </c>
      <c r="C56" s="275">
        <f ca="1">1-C57</f>
        <v>0.91100000000000003</v>
      </c>
    </row>
    <row r="57" spans="1:7">
      <c r="B57" s="273" t="s">
        <v>803</v>
      </c>
      <c r="C57" s="274">
        <f ca="1">ROUND(C51/C52,3)</f>
        <v>8.8999999999999996E-2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-178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3387</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56.19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56.19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0.06</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2108</v>
      </c>
      <c r="E6" s="302" t="s">
        <v>696</v>
      </c>
      <c r="F6" s="303">
        <f ca="1">INDIRECT("'数据-取费表'!u"&amp;$G$1)</f>
        <v>0</v>
      </c>
      <c r="G6" s="1384"/>
      <c r="H6" s="1069" t="s">
        <v>398</v>
      </c>
      <c r="I6" s="3671" t="s">
        <v>694</v>
      </c>
      <c r="J6" s="301">
        <f ca="1">ROUND(M6*M8*M7*(1-M9)/10000,0)</f>
        <v>0</v>
      </c>
      <c r="K6" s="155"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0.06</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2105</v>
      </c>
      <c r="E6" s="302" t="s">
        <v>696</v>
      </c>
      <c r="F6" s="303">
        <f ca="1">INDIRECT("'数据-取费表'!u"&amp;$G$1)</f>
        <v>0</v>
      </c>
      <c r="G6" s="1384"/>
      <c r="H6" s="1069" t="s">
        <v>398</v>
      </c>
      <c r="I6" s="3671" t="s">
        <v>694</v>
      </c>
      <c r="J6" s="301">
        <f ca="1">ROUND(M6*M8*M7*(1-M9),0)</f>
        <v>0</v>
      </c>
      <c r="K6" s="1376" t="s">
        <v>2106</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0.06</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2"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2"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139.03729999999999</v>
      </c>
      <c r="C2" s="1872" t="s">
        <v>1651</v>
      </c>
      <c r="D2" s="1873" t="s">
        <v>1652</v>
      </c>
      <c r="E2" s="2607">
        <f>SUM(E6:E13)</f>
        <v>56.19</v>
      </c>
      <c r="F2" s="2707"/>
      <c r="G2" s="1489"/>
      <c r="H2" s="1489"/>
      <c r="I2" s="1489"/>
      <c r="J2" s="1489"/>
      <c r="K2" s="1489"/>
      <c r="L2" s="1489"/>
      <c r="M2" s="1489"/>
      <c r="N2" s="1489"/>
      <c r="O2" s="1489"/>
      <c r="P2" s="1489"/>
      <c r="Q2" s="1489"/>
      <c r="R2" s="1489"/>
      <c r="S2" s="1489"/>
    </row>
    <row r="3" spans="1:22" ht="15.6">
      <c r="A3" s="1870" t="s">
        <v>686</v>
      </c>
      <c r="B3" s="2601">
        <f ca="1">ROUND(B2*10000/E2,0)</f>
        <v>24744</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139.03729999999999</v>
      </c>
      <c r="C6" s="1872" t="s">
        <v>1651</v>
      </c>
      <c r="D6" s="2709"/>
      <c r="E6" s="2606">
        <f>IF(OR(A6=0,F6="否"),0,'数据-取费表'!K6+'数据-取费表'!S6)</f>
        <v>56.19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0" zoomScale="90" zoomScaleNormal="60" zoomScaleSheetLayoutView="90" workbookViewId="0">
      <selection activeCell="M36" sqref="M36"/>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6.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3387</v>
      </c>
      <c r="E1" s="3426"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243.2072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43283</v>
      </c>
      <c r="C3" s="354" t="s">
        <v>1665</v>
      </c>
      <c r="D3" s="353">
        <f>IF(D1="",'数据-汇总表'!E3,SUMIF('数据-汇总表'!$C19:$C33,D1,'数据-汇总表'!$E19:$E33))</f>
        <v>56.19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39.75" customHeight="1">
      <c r="A5" s="358"/>
      <c r="B5" s="359"/>
      <c r="C5" s="3737" t="s">
        <v>3495</v>
      </c>
      <c r="D5" s="3738"/>
      <c r="E5" s="3741" t="str">
        <f>Sheet2!F19</f>
        <v>小黄庄一区8号楼1单元403号</v>
      </c>
      <c r="F5" s="3742"/>
      <c r="G5" s="3732" t="str">
        <f>Sheet2!F20</f>
        <v>小黄庄一区9号楼2单元1003号</v>
      </c>
      <c r="H5" s="3733"/>
      <c r="I5" s="3732" t="s">
        <v>3588</v>
      </c>
      <c r="J5" s="3733"/>
      <c r="K5" s="1890"/>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c r="D6" s="3731"/>
      <c r="E6" s="3739"/>
      <c r="F6" s="3740"/>
      <c r="G6" s="3730"/>
      <c r="H6" s="3731"/>
      <c r="I6" s="3730"/>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41530</v>
      </c>
      <c r="D7" s="365">
        <v>100</v>
      </c>
      <c r="E7" s="366">
        <f>Sheet2!U19</f>
        <v>41517</v>
      </c>
      <c r="F7" s="367">
        <f>SUMIF(58:58,YEAR(E7)&amp;"-"&amp;MONTH(E7),59:59)</f>
        <v>100</v>
      </c>
      <c r="G7" s="366">
        <f>Sheet2!U20</f>
        <v>41356</v>
      </c>
      <c r="H7" s="365">
        <f>SUMIF(58:58,YEAR(G7)&amp;"-"&amp;MONTH(G7),59:59)</f>
        <v>98</v>
      </c>
      <c r="I7" s="366">
        <f>Sheet2!A27</f>
        <v>41365</v>
      </c>
      <c r="J7" s="365">
        <f>SUMIF(58:58,YEAR(I7)&amp;"-"&amp;MONTH(I7),59:59)</f>
        <v>99</v>
      </c>
      <c r="K7" s="1891"/>
      <c r="L7" s="2717"/>
      <c r="M7" s="2718"/>
      <c r="N7" s="2718"/>
      <c r="O7" s="2718"/>
      <c r="P7" s="3734" t="s">
        <v>1680</v>
      </c>
      <c r="Q7" s="3736"/>
      <c r="R7" s="701" t="s">
        <v>20</v>
      </c>
      <c r="S7" s="702">
        <f t="shared" ref="S7:S15" si="0">F7</f>
        <v>100</v>
      </c>
      <c r="T7" s="701" t="s">
        <v>20</v>
      </c>
      <c r="U7" s="702">
        <f t="shared" ref="U7:U15" si="1">H7</f>
        <v>98</v>
      </c>
      <c r="V7" s="701" t="s">
        <v>20</v>
      </c>
      <c r="W7" s="702">
        <f t="shared" ref="W7:W15" si="2">J7</f>
        <v>99</v>
      </c>
      <c r="X7" s="703"/>
      <c r="Y7" s="3734" t="s">
        <v>1680</v>
      </c>
      <c r="Z7" s="3735"/>
      <c r="AA7" s="704">
        <f>D7/F7</f>
        <v>1</v>
      </c>
      <c r="AB7" s="704">
        <f>D7/H7</f>
        <v>1.0204081632653061</v>
      </c>
      <c r="AC7" s="704">
        <f>D7/J7</f>
        <v>1.0101010101010102</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ht="14.4">
      <c r="A9" s="369" t="s">
        <v>1684</v>
      </c>
      <c r="B9" s="63" t="s">
        <v>1685</v>
      </c>
      <c r="C9" s="3449" t="s">
        <v>3396</v>
      </c>
      <c r="D9" s="126">
        <v>100</v>
      </c>
      <c r="E9" s="371" t="s">
        <v>3387</v>
      </c>
      <c r="F9" s="372">
        <f>SUMIF(63:63,E9,64:64)-SUMIF(63:63,C9,64:64)+100</f>
        <v>100</v>
      </c>
      <c r="G9" s="373" t="s">
        <v>3387</v>
      </c>
      <c r="H9" s="126">
        <f>SUMIF(63:63,G9,64:64)-SUMIF(63:63,C9,64:64)+100</f>
        <v>100</v>
      </c>
      <c r="I9" s="373" t="s">
        <v>3387</v>
      </c>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9"/>
      <c r="Q11" s="1343" t="str">
        <f t="shared" si="6"/>
        <v>容积率</v>
      </c>
      <c r="R11" s="701" t="s">
        <v>18</v>
      </c>
      <c r="S11" s="702">
        <f t="shared" si="0"/>
        <v>100</v>
      </c>
      <c r="T11" s="701" t="s">
        <v>18</v>
      </c>
      <c r="U11" s="702">
        <f t="shared" si="1"/>
        <v>100</v>
      </c>
      <c r="V11" s="701" t="s">
        <v>18</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469" t="s">
        <v>3418</v>
      </c>
      <c r="D12" s="384">
        <v>100</v>
      </c>
      <c r="E12" s="3469" t="s">
        <v>3418</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t="s">
        <v>3417</v>
      </c>
      <c r="D18" s="401"/>
      <c r="E18" s="1902" t="s">
        <v>3417</v>
      </c>
      <c r="F18" s="401"/>
      <c r="G18" s="1903" t="s">
        <v>3417</v>
      </c>
      <c r="H18" s="399"/>
      <c r="I18" s="1903" t="s">
        <v>3417</v>
      </c>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3420</v>
      </c>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s="3468" customFormat="1" ht="15">
      <c r="A26" s="382"/>
      <c r="B26" s="3470" t="s">
        <v>3422</v>
      </c>
      <c r="C26" s="3472" t="s">
        <v>3454</v>
      </c>
      <c r="D26" s="413">
        <v>100</v>
      </c>
      <c r="E26" s="416" t="s">
        <v>3476</v>
      </c>
      <c r="F26" s="413">
        <f>SUMIF(88:88,E26,89:89)-SUMIF(88:88,C26,89:89)+100</f>
        <v>99.5</v>
      </c>
      <c r="G26" s="414" t="s">
        <v>3476</v>
      </c>
      <c r="H26" s="413">
        <f>SUMIF(88:88,G26,89:89)-SUMIF(88:88,C26,89:89)+100</f>
        <v>99.5</v>
      </c>
      <c r="I26" s="414" t="s">
        <v>3476</v>
      </c>
      <c r="J26" s="413">
        <f>SUMIF(88:88,I26,89:89)-SUMIF(88:88,C26,89:89)+100</f>
        <v>99.5</v>
      </c>
      <c r="K26" s="3471">
        <v>0.5</v>
      </c>
      <c r="L26" s="3460"/>
      <c r="M26" s="3461"/>
      <c r="N26" s="3461"/>
      <c r="O26" s="3461"/>
      <c r="P26" s="3708"/>
      <c r="Q26" s="3462" t="str">
        <f t="shared" si="11"/>
        <v>朝向</v>
      </c>
      <c r="R26" s="3463" t="s">
        <v>18</v>
      </c>
      <c r="S26" s="3464">
        <f t="shared" si="12"/>
        <v>99.5</v>
      </c>
      <c r="T26" s="3463" t="s">
        <v>18</v>
      </c>
      <c r="U26" s="3464">
        <f t="shared" si="13"/>
        <v>99.5</v>
      </c>
      <c r="V26" s="3463" t="s">
        <v>18</v>
      </c>
      <c r="W26" s="3464">
        <f t="shared" si="14"/>
        <v>99.5</v>
      </c>
      <c r="X26" s="3465"/>
      <c r="Y26" s="3701"/>
      <c r="Z26" s="3466" t="str">
        <f>Q26</f>
        <v>朝向</v>
      </c>
      <c r="AA26" s="3467">
        <f t="shared" si="15"/>
        <v>1.0050251256281406</v>
      </c>
      <c r="AB26" s="3467">
        <f t="shared" si="16"/>
        <v>1.0050251256281406</v>
      </c>
      <c r="AC26" s="3467">
        <f t="shared" si="17"/>
        <v>1.0050251256281406</v>
      </c>
    </row>
    <row r="27" spans="1:29" s="108" customFormat="1" ht="15">
      <c r="A27" s="382"/>
      <c r="B27" s="3450" t="s">
        <v>3397</v>
      </c>
      <c r="C27" s="416" t="s">
        <v>3496</v>
      </c>
      <c r="D27" s="413">
        <v>100</v>
      </c>
      <c r="E27" s="416" t="s">
        <v>3589</v>
      </c>
      <c r="F27" s="413">
        <f>SUMIF(90:90,E27,91:91)-SUMIF(90:90,C27,91:91)+100</f>
        <v>98</v>
      </c>
      <c r="G27" s="414" t="s">
        <v>3595</v>
      </c>
      <c r="H27" s="413">
        <f>SUMIF(90:90,G27,91:91)-SUMIF(90:90,C27,91:91)+100</f>
        <v>102</v>
      </c>
      <c r="I27" s="414" t="s">
        <v>3590</v>
      </c>
      <c r="J27" s="413">
        <f>SUMIF(90:90,I27,91:91)-SUMIF(90:90,C27,91:91)+100</f>
        <v>98</v>
      </c>
      <c r="K27" s="1894"/>
      <c r="L27" s="2717"/>
      <c r="M27" s="2718"/>
      <c r="N27" s="2718"/>
      <c r="O27" s="2718"/>
      <c r="P27" s="3708"/>
      <c r="Q27" s="1343" t="str">
        <f t="shared" si="11"/>
        <v>楼层</v>
      </c>
      <c r="R27" s="701" t="s">
        <v>18</v>
      </c>
      <c r="S27" s="702">
        <f t="shared" si="12"/>
        <v>98</v>
      </c>
      <c r="T27" s="701" t="s">
        <v>18</v>
      </c>
      <c r="U27" s="702">
        <f t="shared" si="13"/>
        <v>102</v>
      </c>
      <c r="V27" s="701" t="s">
        <v>18</v>
      </c>
      <c r="W27" s="702">
        <f t="shared" si="14"/>
        <v>98</v>
      </c>
      <c r="X27" s="703"/>
      <c r="Y27" s="3701"/>
      <c r="Z27" s="52" t="str">
        <f>Q27</f>
        <v>楼层</v>
      </c>
      <c r="AA27" s="1353">
        <f t="shared" si="15"/>
        <v>1.0204081632653061</v>
      </c>
      <c r="AB27" s="1353">
        <f t="shared" si="16"/>
        <v>0.98039215686274506</v>
      </c>
      <c r="AC27" s="1353">
        <f t="shared" si="17"/>
        <v>1.0204081632653061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1693</v>
      </c>
      <c r="B32" s="63" t="s">
        <v>1694</v>
      </c>
      <c r="C32" s="1910" t="s">
        <v>3591</v>
      </c>
      <c r="D32" s="418">
        <v>100</v>
      </c>
      <c r="E32" s="1911" t="s">
        <v>3593</v>
      </c>
      <c r="F32" s="412">
        <f>SUMIF(100:100,E32,101:101)-SUMIF(100:100,C32,101:101)+100</f>
        <v>98</v>
      </c>
      <c r="G32" s="1910" t="s">
        <v>3593</v>
      </c>
      <c r="H32" s="418">
        <f>SUMIF(100:100,G32,101:101)-SUMIF(100:100,C32,101:101)+100</f>
        <v>98</v>
      </c>
      <c r="I32" s="1911" t="s">
        <v>3593</v>
      </c>
      <c r="J32" s="386">
        <f>SUMIF(100:100,I32,101:101)-SUMIF(100:100,C32,101:101)+100</f>
        <v>98</v>
      </c>
      <c r="K32" s="377">
        <v>2</v>
      </c>
      <c r="L32" s="2722"/>
      <c r="M32" s="2716"/>
      <c r="N32" s="2716"/>
      <c r="O32" s="2716"/>
      <c r="P32" s="3702" t="s">
        <v>1695</v>
      </c>
      <c r="Q32" s="1352" t="str">
        <f t="shared" si="11"/>
        <v>建筑类型</v>
      </c>
      <c r="R32" s="705" t="s">
        <v>18</v>
      </c>
      <c r="S32" s="706">
        <f t="shared" si="12"/>
        <v>98</v>
      </c>
      <c r="T32" s="705" t="s">
        <v>18</v>
      </c>
      <c r="U32" s="706">
        <f t="shared" si="13"/>
        <v>98</v>
      </c>
      <c r="V32" s="705" t="s">
        <v>18</v>
      </c>
      <c r="W32" s="706">
        <f t="shared" si="14"/>
        <v>98</v>
      </c>
      <c r="X32" s="1355"/>
      <c r="Y32" s="3705" t="s">
        <v>1695</v>
      </c>
      <c r="Z32" s="1356" t="str">
        <f t="shared" si="18"/>
        <v>建筑类型</v>
      </c>
      <c r="AA32" s="1353">
        <f t="shared" si="15"/>
        <v>1.0204081632653061</v>
      </c>
      <c r="AB32" s="1353">
        <f t="shared" si="16"/>
        <v>1.0204081632653061</v>
      </c>
      <c r="AC32" s="1353">
        <f t="shared" si="17"/>
        <v>1.0204081632653061</v>
      </c>
    </row>
    <row r="33" spans="1:29" s="422" customFormat="1" ht="15">
      <c r="A33" s="419"/>
      <c r="B33" s="375" t="s">
        <v>1696</v>
      </c>
      <c r="C33" s="420">
        <f>'数据-汇总表'!F19</f>
        <v>56.19</v>
      </c>
      <c r="D33" s="127">
        <v>100</v>
      </c>
      <c r="E33" s="381">
        <f>Sheet2!J19</f>
        <v>44.47</v>
      </c>
      <c r="F33" s="376">
        <f>LOOKUP(E33,103:103,104:104)-LOOKUP(C33,103:103,104:104)+100</f>
        <v>102</v>
      </c>
      <c r="G33" s="380">
        <f>Sheet2!J20</f>
        <v>43.29</v>
      </c>
      <c r="H33" s="127">
        <f>LOOKUP(G33,103:103,104:104)-LOOKUP(C33,103:103,104:104)+100</f>
        <v>102</v>
      </c>
      <c r="I33" s="381">
        <f>Sheet2!C27</f>
        <v>61</v>
      </c>
      <c r="J33" s="386">
        <f>LOOKUP(I33,103:103,104:104)-LOOKUP(C33,103:103,104:104)+100</f>
        <v>98</v>
      </c>
      <c r="K33" s="1894"/>
      <c r="L33" s="2721"/>
      <c r="M33" s="2723"/>
      <c r="N33" s="2723"/>
      <c r="O33" s="2723"/>
      <c r="P33" s="3703"/>
      <c r="Q33" s="707" t="str">
        <f t="shared" si="11"/>
        <v>项目建筑规模</v>
      </c>
      <c r="R33" s="708" t="s">
        <v>18</v>
      </c>
      <c r="S33" s="709">
        <f t="shared" si="12"/>
        <v>102</v>
      </c>
      <c r="T33" s="708" t="s">
        <v>18</v>
      </c>
      <c r="U33" s="709">
        <f t="shared" si="13"/>
        <v>102</v>
      </c>
      <c r="V33" s="708" t="s">
        <v>18</v>
      </c>
      <c r="W33" s="709">
        <f t="shared" si="14"/>
        <v>98</v>
      </c>
      <c r="X33" s="710"/>
      <c r="Y33" s="3705"/>
      <c r="Z33" s="711" t="str">
        <f t="shared" si="18"/>
        <v>项目建筑规模</v>
      </c>
      <c r="AA33" s="1353">
        <f t="shared" si="15"/>
        <v>0.98039215686274506</v>
      </c>
      <c r="AB33" s="1353">
        <f t="shared" si="16"/>
        <v>0.98039215686274506</v>
      </c>
      <c r="AC33" s="1353">
        <f t="shared" si="17"/>
        <v>1.0204081632653061</v>
      </c>
    </row>
    <row r="34" spans="1:29" ht="15">
      <c r="A34" s="423"/>
      <c r="B34" s="375" t="s">
        <v>1697</v>
      </c>
      <c r="C34" s="1912" t="s">
        <v>3596</v>
      </c>
      <c r="D34" s="386">
        <v>100</v>
      </c>
      <c r="E34" s="1913" t="s">
        <v>3450</v>
      </c>
      <c r="F34" s="412">
        <f>SUMIF(105:105,E34,106:106)-SUMIF(105:105,C34,106:106)+100</f>
        <v>104</v>
      </c>
      <c r="G34" s="1912" t="s">
        <v>3450</v>
      </c>
      <c r="H34" s="386">
        <f>SUMIF(105:105,G34,106:106)-SUMIF(105:105,C34,106:106)+100</f>
        <v>104</v>
      </c>
      <c r="I34" s="1913" t="s">
        <v>3450</v>
      </c>
      <c r="J34" s="386">
        <f>SUMIF(105:105,I34,106:106)-SUMIF(105:105,C34,106:106)+100</f>
        <v>104</v>
      </c>
      <c r="K34" s="377">
        <v>4</v>
      </c>
      <c r="L34" s="2722"/>
      <c r="M34" s="2716"/>
      <c r="N34" s="2716"/>
      <c r="O34" s="2716"/>
      <c r="P34" s="3703"/>
      <c r="Q34" s="1352" t="str">
        <f t="shared" si="11"/>
        <v>建筑结构</v>
      </c>
      <c r="R34" s="705" t="s">
        <v>18</v>
      </c>
      <c r="S34" s="706">
        <f t="shared" si="12"/>
        <v>104</v>
      </c>
      <c r="T34" s="705" t="s">
        <v>18</v>
      </c>
      <c r="U34" s="706">
        <f t="shared" si="13"/>
        <v>104</v>
      </c>
      <c r="V34" s="705" t="s">
        <v>18</v>
      </c>
      <c r="W34" s="706">
        <f t="shared" si="14"/>
        <v>104</v>
      </c>
      <c r="X34" s="1355"/>
      <c r="Y34" s="3705"/>
      <c r="Z34" s="1356" t="str">
        <f t="shared" si="18"/>
        <v>建筑结构</v>
      </c>
      <c r="AA34" s="1353">
        <f t="shared" si="15"/>
        <v>0.96153846153846156</v>
      </c>
      <c r="AB34" s="1353">
        <f t="shared" si="16"/>
        <v>0.96153846153846156</v>
      </c>
      <c r="AC34" s="1353">
        <f t="shared" si="17"/>
        <v>0.96153846153846156</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1699</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1700</v>
      </c>
      <c r="C37" s="3480">
        <v>0.7</v>
      </c>
      <c r="D37" s="386">
        <v>100</v>
      </c>
      <c r="E37" s="3481">
        <v>0.75</v>
      </c>
      <c r="F37" s="412">
        <f>LOOKUP(E37,112:112,113:113)-LOOKUP(C37,112:112,113:113)+100</f>
        <v>100</v>
      </c>
      <c r="G37" s="3480">
        <v>0.75</v>
      </c>
      <c r="H37" s="386">
        <f>LOOKUP(G37,112:112,113:113)-LOOKUP(C37,112:112,113:113)+100</f>
        <v>100</v>
      </c>
      <c r="I37" s="3481">
        <v>0.75</v>
      </c>
      <c r="J37" s="127">
        <f>LOOKUP(I37,112:112,113:113)-LOOKUP(C37,112:112,113:113)+100</f>
        <v>100</v>
      </c>
      <c r="K37" s="377">
        <v>2</v>
      </c>
      <c r="L37" s="2717"/>
      <c r="M37" s="2718"/>
      <c r="N37" s="2718"/>
      <c r="O37" s="2718"/>
      <c r="P37" s="3703"/>
      <c r="Q37" s="1343" t="str">
        <f t="shared" si="11"/>
        <v>成新度</v>
      </c>
      <c r="R37" s="701" t="s">
        <v>18</v>
      </c>
      <c r="S37" s="702">
        <f t="shared" si="12"/>
        <v>100</v>
      </c>
      <c r="T37" s="701" t="s">
        <v>18</v>
      </c>
      <c r="U37" s="702">
        <f t="shared" si="13"/>
        <v>100</v>
      </c>
      <c r="V37" s="701" t="s">
        <v>18</v>
      </c>
      <c r="W37" s="702">
        <f t="shared" si="14"/>
        <v>100</v>
      </c>
      <c r="X37" s="703"/>
      <c r="Y37" s="3705"/>
      <c r="Z37" s="52" t="str">
        <f t="shared" si="18"/>
        <v>成新度</v>
      </c>
      <c r="AA37" s="704">
        <f t="shared" si="15"/>
        <v>1</v>
      </c>
      <c r="AB37" s="704">
        <f t="shared" si="16"/>
        <v>1</v>
      </c>
      <c r="AC37" s="704">
        <f t="shared" si="17"/>
        <v>1</v>
      </c>
    </row>
    <row r="38" spans="1:29" ht="15">
      <c r="A38" s="423"/>
      <c r="B38" s="375" t="s">
        <v>1701</v>
      </c>
      <c r="C38" s="1906" t="s">
        <v>3408</v>
      </c>
      <c r="D38" s="386">
        <v>100</v>
      </c>
      <c r="E38" s="1907" t="s">
        <v>3408</v>
      </c>
      <c r="F38" s="412">
        <f>SUMIF(114:114,E38,115:115)-SUMIF(114:114,C38,115:115)+100</f>
        <v>100</v>
      </c>
      <c r="G38" s="1906" t="s">
        <v>3408</v>
      </c>
      <c r="H38" s="386">
        <f>SUMIF(114:114,G38,115:115)-SUMIF(114:114,C38,115:115)+100</f>
        <v>100</v>
      </c>
      <c r="I38" s="1907" t="s">
        <v>3408</v>
      </c>
      <c r="J38" s="386">
        <f>SUMIF(114:114,I38,115:115)-SUMIF(114:114,C38,115:115)+100</f>
        <v>100</v>
      </c>
      <c r="K38" s="377"/>
      <c r="L38" s="2722"/>
      <c r="M38" s="2716"/>
      <c r="N38" s="2716"/>
      <c r="O38" s="2716"/>
      <c r="P38" s="3703" t="s">
        <v>1695</v>
      </c>
      <c r="Q38" s="1352" t="str">
        <f t="shared" si="11"/>
        <v>物业管理</v>
      </c>
      <c r="R38" s="705" t="s">
        <v>18</v>
      </c>
      <c r="S38" s="706">
        <f t="shared" si="12"/>
        <v>100</v>
      </c>
      <c r="T38" s="705" t="s">
        <v>18</v>
      </c>
      <c r="U38" s="706">
        <f t="shared" si="13"/>
        <v>100</v>
      </c>
      <c r="V38" s="705" t="s">
        <v>18</v>
      </c>
      <c r="W38" s="706">
        <f t="shared" si="14"/>
        <v>100</v>
      </c>
      <c r="X38" s="1355"/>
      <c r="Y38" s="3705"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1703</v>
      </c>
      <c r="C40" s="1906" t="s">
        <v>3404</v>
      </c>
      <c r="D40" s="386">
        <v>100</v>
      </c>
      <c r="E40" s="1907" t="s">
        <v>3404</v>
      </c>
      <c r="F40" s="412">
        <f>SUMIF(118:118,E40,119:119)-SUMIF(118:118,C40,119:119)+100</f>
        <v>100</v>
      </c>
      <c r="G40" s="1906" t="s">
        <v>3404</v>
      </c>
      <c r="H40" s="386">
        <f>SUMIF(118:118,G40,119:119)-SUMIF(118:118,C40,119:119)+100</f>
        <v>100</v>
      </c>
      <c r="I40" s="1907" t="s">
        <v>3404</v>
      </c>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3401</v>
      </c>
      <c r="F42" s="412">
        <f>SUMIF(122:122,E42,123:123)-SUMIF(122:122,C42,123:123)+100</f>
        <v>106</v>
      </c>
      <c r="G42" s="1906" t="s">
        <v>3401</v>
      </c>
      <c r="H42" s="386">
        <f>SUMIF(122:122,G42,123:123)-SUMIF(122:122,C42,123:123)+100</f>
        <v>106</v>
      </c>
      <c r="I42" s="1907" t="s">
        <v>3401</v>
      </c>
      <c r="J42" s="386">
        <f>SUMIF(122:122,I42,123:123)-SUMIF(122:122,C42,123:123)+100</f>
        <v>106</v>
      </c>
      <c r="K42" s="377">
        <v>3</v>
      </c>
      <c r="L42" s="2722"/>
      <c r="M42" s="2716"/>
      <c r="N42" s="2716"/>
      <c r="O42" s="2716"/>
      <c r="P42" s="3703"/>
      <c r="Q42" s="1352" t="str">
        <f t="shared" si="11"/>
        <v>内部装修</v>
      </c>
      <c r="R42" s="705" t="s">
        <v>18</v>
      </c>
      <c r="S42" s="706">
        <f t="shared" si="12"/>
        <v>106</v>
      </c>
      <c r="T42" s="705" t="s">
        <v>18</v>
      </c>
      <c r="U42" s="706">
        <f t="shared" si="13"/>
        <v>106</v>
      </c>
      <c r="V42" s="705" t="s">
        <v>18</v>
      </c>
      <c r="W42" s="706">
        <f t="shared" si="14"/>
        <v>106</v>
      </c>
      <c r="X42" s="1355"/>
      <c r="Y42" s="3705"/>
      <c r="Z42" s="1356" t="str">
        <f t="shared" si="18"/>
        <v>内部装修</v>
      </c>
      <c r="AA42" s="1353">
        <f t="shared" si="15"/>
        <v>0.94339622641509435</v>
      </c>
      <c r="AB42" s="1353">
        <f t="shared" si="16"/>
        <v>0.94339622641509435</v>
      </c>
      <c r="AC42" s="1353">
        <f t="shared" si="17"/>
        <v>0.94339622641509435</v>
      </c>
    </row>
    <row r="43" spans="1:29" ht="28.8">
      <c r="A43" s="423"/>
      <c r="B43" s="375" t="s">
        <v>1706</v>
      </c>
      <c r="C43" s="1906" t="s">
        <v>3417</v>
      </c>
      <c r="D43" s="386">
        <v>100</v>
      </c>
      <c r="E43" s="1907" t="s">
        <v>3417</v>
      </c>
      <c r="F43" s="412">
        <f>SUMIF(124:124,E43,125:125)-SUMIF(124:124,C43,125:125)+100</f>
        <v>100</v>
      </c>
      <c r="G43" s="1906" t="s">
        <v>3417</v>
      </c>
      <c r="H43" s="386">
        <f>SUMIF(124:124,G43,125:125)-SUMIF(124:124,C43,125:125)+100</f>
        <v>100</v>
      </c>
      <c r="I43" s="1907" t="s">
        <v>3417</v>
      </c>
      <c r="J43" s="386">
        <f>SUMIF(124:124,I43,125:125)-SUMIF(124:124,C43,125:125)+100</f>
        <v>100</v>
      </c>
      <c r="K43" s="377">
        <v>1</v>
      </c>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3450" t="s">
        <v>3451</v>
      </c>
      <c r="C44" s="3459" t="s">
        <v>3452</v>
      </c>
      <c r="D44" s="127">
        <v>100</v>
      </c>
      <c r="E44" s="3459" t="str">
        <f>C44</f>
        <v>有</v>
      </c>
      <c r="F44" s="376">
        <f>SUMIF(126:126,E44,127:127)-SUMIF(126:126,C44,127:127)+100</f>
        <v>100</v>
      </c>
      <c r="G44" s="3459" t="str">
        <f>C44</f>
        <v>有</v>
      </c>
      <c r="H44" s="127">
        <f>SUMIF(126:126,G44,127:127)-SUMIF(126:126,C44,127:127)+100</f>
        <v>100</v>
      </c>
      <c r="I44" s="3459" t="str">
        <f>E44</f>
        <v>有</v>
      </c>
      <c r="J44" s="127">
        <f>SUMIF(126:126,I44,127:127)-SUMIF(126:126,C44,127:127)+100</f>
        <v>100</v>
      </c>
      <c r="K44" s="1894"/>
      <c r="L44" s="2717"/>
      <c r="M44" s="2718"/>
      <c r="N44" s="2718"/>
      <c r="O44" s="2718"/>
      <c r="P44" s="3703"/>
      <c r="Q44" s="1343" t="str">
        <f t="shared" si="11"/>
        <v>电梯</v>
      </c>
      <c r="R44" s="701" t="s">
        <v>18</v>
      </c>
      <c r="S44" s="702">
        <f t="shared" si="12"/>
        <v>100</v>
      </c>
      <c r="T44" s="701" t="s">
        <v>18</v>
      </c>
      <c r="U44" s="702">
        <f t="shared" si="13"/>
        <v>100</v>
      </c>
      <c r="V44" s="701" t="s">
        <v>18</v>
      </c>
      <c r="W44" s="702">
        <f t="shared" si="14"/>
        <v>100</v>
      </c>
      <c r="X44" s="703"/>
      <c r="Y44" s="3705"/>
      <c r="Z44" s="52" t="str">
        <f t="shared" si="18"/>
        <v>电梯</v>
      </c>
      <c r="AA44" s="704">
        <f t="shared" si="15"/>
        <v>1</v>
      </c>
      <c r="AB44" s="704">
        <f t="shared" si="16"/>
        <v>1</v>
      </c>
      <c r="AC44" s="704">
        <f t="shared" si="17"/>
        <v>1</v>
      </c>
    </row>
    <row r="45" spans="1:29" ht="15">
      <c r="A45" s="423"/>
      <c r="B45" s="1133">
        <v>111</v>
      </c>
      <c r="C45" s="385">
        <v>1984</v>
      </c>
      <c r="D45" s="386">
        <v>100</v>
      </c>
      <c r="E45" s="385">
        <v>1991</v>
      </c>
      <c r="F45" s="412">
        <f>SUMIF(128:128,E45,129:129)-SUMIF(128:128,C45,129:129)+100</f>
        <v>100</v>
      </c>
      <c r="G45" s="385">
        <v>1991</v>
      </c>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1707</v>
      </c>
      <c r="B47" s="431"/>
      <c r="C47" s="1154" t="s">
        <v>16</v>
      </c>
      <c r="D47" s="1155"/>
      <c r="E47" s="1156">
        <f>Sheet2!R19</f>
        <v>47223</v>
      </c>
      <c r="F47" s="1157"/>
      <c r="G47" s="1158">
        <f>Sheet2!R20</f>
        <v>44583</v>
      </c>
      <c r="H47" s="1159"/>
      <c r="I47" s="3458">
        <f>Sheet2!G27</f>
        <v>46222</v>
      </c>
      <c r="J47" s="1159"/>
      <c r="K47" s="1914"/>
      <c r="L47" s="2724"/>
      <c r="M47" s="2725"/>
      <c r="N47" s="2716"/>
      <c r="O47" s="2725"/>
      <c r="P47" s="3698" t="str">
        <f>A47</f>
        <v>成交单价（元/平方米）</v>
      </c>
      <c r="Q47" s="3698"/>
      <c r="R47" s="3699">
        <f>E47</f>
        <v>47223</v>
      </c>
      <c r="S47" s="3699"/>
      <c r="T47" s="3699">
        <f>G47</f>
        <v>44583</v>
      </c>
      <c r="U47" s="3699"/>
      <c r="V47" s="3699">
        <f>I47</f>
        <v>46222</v>
      </c>
      <c r="W47" s="3699"/>
      <c r="X47" s="690"/>
      <c r="Y47" s="712"/>
      <c r="Z47" s="690"/>
      <c r="AA47" s="690"/>
      <c r="AB47" s="690"/>
      <c r="AC47" s="690"/>
    </row>
    <row r="48" spans="1:29" ht="15" thickBot="1">
      <c r="A48" s="437" t="s">
        <v>1708</v>
      </c>
      <c r="B48" s="438"/>
      <c r="C48" s="1160">
        <f>R49</f>
        <v>43283</v>
      </c>
      <c r="D48" s="2317" t="s">
        <v>2137</v>
      </c>
      <c r="E48" s="1161">
        <f>R48</f>
        <v>43948</v>
      </c>
      <c r="F48" s="2318"/>
      <c r="G48" s="1160">
        <f>T48</f>
        <v>40678</v>
      </c>
      <c r="H48" s="2318"/>
      <c r="I48" s="1161">
        <f>V48</f>
        <v>45224</v>
      </c>
      <c r="J48" s="2318"/>
      <c r="K48" s="2319">
        <f>F48+H48+J48</f>
        <v>0</v>
      </c>
      <c r="L48" s="2724"/>
      <c r="M48" s="2725"/>
      <c r="N48" s="2725"/>
      <c r="O48" s="2725"/>
      <c r="P48" s="3698" t="str">
        <f>A48</f>
        <v>比较价值（元/平方米）</v>
      </c>
      <c r="Q48" s="3698"/>
      <c r="R48" s="3699">
        <f>IF(F1="售价",ROUND(PRODUCT(R47,AA7:AA46),0),ROUND(PRODUCT(R47,AA7:AA46),1))</f>
        <v>43948</v>
      </c>
      <c r="S48" s="3699"/>
      <c r="T48" s="3699">
        <f>IF(F1="售价",ROUND(PRODUCT(T47,AB7:AB46),0),ROUND(PRODUCT(T47,AB7:AB46),1))</f>
        <v>40678</v>
      </c>
      <c r="U48" s="3699"/>
      <c r="V48" s="3699">
        <f>IF(F1="售价",ROUND(PRODUCT(V47,AC7:AC46),0),ROUND(PRODUCT(V47,AC7:AC46),1))</f>
        <v>45224</v>
      </c>
      <c r="W48" s="3699"/>
      <c r="X48" s="690"/>
      <c r="Y48" s="690"/>
      <c r="Z48" s="690"/>
      <c r="AA48" s="690"/>
      <c r="AB48" s="690"/>
      <c r="AC48" s="690"/>
    </row>
    <row r="49" spans="1:29" ht="15" thickBot="1">
      <c r="A49" s="441" t="s">
        <v>1709</v>
      </c>
      <c r="B49" s="442"/>
      <c r="C49" s="1162">
        <f>R49</f>
        <v>43283</v>
      </c>
      <c r="D49" s="1163"/>
      <c r="E49" s="1163"/>
      <c r="F49" s="1163"/>
      <c r="G49" s="1163"/>
      <c r="H49" s="1163"/>
      <c r="I49" s="1163"/>
      <c r="J49" s="1163"/>
      <c r="K49" s="1915"/>
      <c r="L49" s="2724"/>
      <c r="M49" s="2725"/>
      <c r="N49" s="2725"/>
      <c r="O49" s="2725"/>
      <c r="P49" s="3695" t="str">
        <f>A49</f>
        <v>估价对象XX用房的比较价值（楼面单价，元/平方米）</v>
      </c>
      <c r="Q49" s="3696"/>
      <c r="R49" s="3697">
        <f>IF(F1="售价",ROUND(IF(D48="简单平均",AVERAGE(R48:V48),R48*F48+T48*H48+V48*J48),0),ROUND(IF(D48="简单平均",AVERAGE(R48:V48),R48*F48+T48*H48+V48*J48),1))</f>
        <v>43283</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7.451988713934643E-2</v>
      </c>
      <c r="F52" s="449" t="str">
        <f>IF(OR(E52&gt;=0.3,E52&lt;=-0.3),"超过30%","")</f>
        <v/>
      </c>
      <c r="G52" s="448">
        <f>IF(G47&lt;G48,G48/G47-1,G47/G48-1)</f>
        <v>9.5997836668469505E-2</v>
      </c>
      <c r="H52" s="449" t="str">
        <f>IF(OR(G52&gt;=0.3,G52&lt;=-0.3),"超过30%","")</f>
        <v/>
      </c>
      <c r="I52" s="448">
        <f>IF(I47&lt;I48,I48/I47-1,I47/I48-1)</f>
        <v>2.206792853352213E-2</v>
      </c>
      <c r="J52" s="449" t="str">
        <f>IF(OR(I52&gt;=0.3,I52&lt;=-0.3),"超过30%","")</f>
        <v/>
      </c>
      <c r="K52" s="2730"/>
      <c r="L52" s="2726"/>
      <c r="M52" s="2725"/>
      <c r="N52" s="2725"/>
      <c r="O52" s="2725"/>
    </row>
    <row r="53" spans="1:29" ht="13.5" customHeight="1">
      <c r="A53" s="2725"/>
      <c r="B53" s="2725"/>
      <c r="C53" s="446" t="s">
        <v>1711</v>
      </c>
      <c r="D53" s="450"/>
      <c r="E53" s="448">
        <f>IF(E48&lt;G48,G48/E48-1,E48/G48-1)</f>
        <v>8.0387433010472575E-2</v>
      </c>
      <c r="F53" s="449" t="str">
        <f>IF(OR(E53&gt;=0.2,E53&lt;=-0.2),"超过20%","")</f>
        <v/>
      </c>
      <c r="G53" s="448">
        <f>IF(G48&lt;I48,I48/G48-1,G48/I48-1)</f>
        <v>0.11175574020354984</v>
      </c>
      <c r="H53" s="449" t="str">
        <f>IF(OR(G53&gt;=0.2,G53&lt;=-0.2),"超过20%","")</f>
        <v/>
      </c>
      <c r="I53" s="448">
        <f>IF(I48&lt;E48,E48/I48-1,I48/E48-1)</f>
        <v>2.9034313279330037E-2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5.9215396002960663E-2</v>
      </c>
      <c r="F54" s="449" t="str">
        <f>IF(OR(E54&gt;=0.3,E54&lt;=-0.3),"超过30%","")</f>
        <v/>
      </c>
      <c r="G54" s="448">
        <f>IF(G47&lt;I47,I47/G47-1,G47/I47-1)</f>
        <v>3.6762891685171439E-2</v>
      </c>
      <c r="H54" s="449" t="str">
        <f>IF(OR(G54&gt;=0.3,G54&lt;=-0.3),"超过30%","")</f>
        <v/>
      </c>
      <c r="I54" s="448">
        <f>IF(I47&lt;E47,E47/I47-1,I47/E47-1)</f>
        <v>2.1656354117087107E-2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2013-9</v>
      </c>
      <c r="D58" s="1185">
        <f>EDATE(C58,-1)</f>
        <v>41487</v>
      </c>
      <c r="E58" s="1185">
        <f>EDATE(D58,-1)</f>
        <v>41456</v>
      </c>
      <c r="F58" s="1185">
        <f t="shared" ref="F58:O58" si="19">EDATE(E58,-1)</f>
        <v>41426</v>
      </c>
      <c r="G58" s="1185">
        <f t="shared" si="19"/>
        <v>41395</v>
      </c>
      <c r="H58" s="1185">
        <f t="shared" si="19"/>
        <v>41365</v>
      </c>
      <c r="I58" s="1185">
        <f t="shared" si="19"/>
        <v>41334</v>
      </c>
      <c r="J58" s="1185">
        <f t="shared" si="19"/>
        <v>41306</v>
      </c>
      <c r="K58" s="1185">
        <f t="shared" si="19"/>
        <v>41275</v>
      </c>
      <c r="L58" s="1185">
        <f t="shared" si="19"/>
        <v>41244</v>
      </c>
      <c r="M58" s="1185">
        <f t="shared" si="19"/>
        <v>41214</v>
      </c>
      <c r="N58" s="1185">
        <f t="shared" si="19"/>
        <v>41183</v>
      </c>
      <c r="O58" s="1185">
        <f t="shared" si="19"/>
        <v>41153</v>
      </c>
      <c r="P58" s="1181"/>
    </row>
    <row r="59" spans="1:29" s="108" customFormat="1">
      <c r="A59" s="458"/>
      <c r="B59" s="1919"/>
      <c r="C59" s="1183">
        <v>100</v>
      </c>
      <c r="D59" s="460">
        <v>100</v>
      </c>
      <c r="E59" s="461">
        <v>100</v>
      </c>
      <c r="F59" s="461">
        <v>99</v>
      </c>
      <c r="G59" s="461">
        <f>F59</f>
        <v>99</v>
      </c>
      <c r="H59" s="461">
        <f>F59</f>
        <v>99</v>
      </c>
      <c r="I59" s="461">
        <v>98</v>
      </c>
      <c r="J59" s="461">
        <f>I59</f>
        <v>98</v>
      </c>
      <c r="K59" s="461">
        <f>J59</f>
        <v>98</v>
      </c>
      <c r="L59" s="461">
        <v>100</v>
      </c>
      <c r="M59" s="462">
        <f>L59</f>
        <v>100</v>
      </c>
      <c r="N59" s="461">
        <f>L59</f>
        <v>100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3418</v>
      </c>
      <c r="D70" s="3451" t="s">
        <v>3419</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3464</v>
      </c>
      <c r="D88" s="3451" t="s">
        <v>3425</v>
      </c>
      <c r="E88" s="3451" t="s">
        <v>3426</v>
      </c>
      <c r="F88" s="3451" t="s">
        <v>3456</v>
      </c>
      <c r="G88" s="3454" t="s">
        <v>3457</v>
      </c>
      <c r="H88" s="3451" t="s">
        <v>3455</v>
      </c>
      <c r="I88" s="3451" t="s">
        <v>3465</v>
      </c>
      <c r="J88" s="3451" t="s">
        <v>3466</v>
      </c>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28.2" thickTop="1">
      <c r="A90" s="502"/>
      <c r="B90" s="487" t="str">
        <f>B27</f>
        <v>楼层</v>
      </c>
      <c r="C90" s="503" t="str">
        <f>C27</f>
        <v>3/6</v>
      </c>
      <c r="D90" s="3456" t="str">
        <f>E27</f>
        <v>4/21（低层）</v>
      </c>
      <c r="E90" s="3456" t="str">
        <f>G27</f>
        <v>10/22（中层）</v>
      </c>
      <c r="F90" s="3456" t="str">
        <f>I27</f>
        <v>低层/14</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98</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3592</v>
      </c>
      <c r="D100" s="3453" t="s">
        <v>3594</v>
      </c>
      <c r="E100" s="3453"/>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 thickTop="1">
      <c r="A102" s="483"/>
      <c r="B102" s="487" t="s">
        <v>1736</v>
      </c>
      <c r="C102" s="527" t="str">
        <f>C103&amp;"(含)"&amp;"-"&amp;D103</f>
        <v>0(含)-40</v>
      </c>
      <c r="D102" s="527" t="str">
        <f t="shared" ref="D102:L102" si="26">D103&amp;"(含)"&amp;"-"&amp;E103</f>
        <v>40(含)-50</v>
      </c>
      <c r="E102" s="527" t="str">
        <f t="shared" si="26"/>
        <v>50(含)-60</v>
      </c>
      <c r="F102" s="527" t="str">
        <f t="shared" si="26"/>
        <v>60(含)-180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40</v>
      </c>
      <c r="E103" s="544">
        <v>50</v>
      </c>
      <c r="F103" s="544">
        <v>60</v>
      </c>
      <c r="G103" s="544">
        <v>180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1737</v>
      </c>
      <c r="C105" s="3451" t="s">
        <v>3421</v>
      </c>
      <c r="D105" s="3451" t="s">
        <v>3424</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96</v>
      </c>
      <c r="E106" s="493">
        <f t="shared" si="27"/>
        <v>92</v>
      </c>
      <c r="F106" s="493">
        <f t="shared" si="27"/>
        <v>88</v>
      </c>
      <c r="G106" s="493">
        <f t="shared" si="27"/>
        <v>84</v>
      </c>
      <c r="H106" s="493">
        <f t="shared" si="27"/>
        <v>80</v>
      </c>
      <c r="I106" s="493">
        <f t="shared" si="27"/>
        <v>76</v>
      </c>
      <c r="J106" s="493">
        <f t="shared" si="27"/>
        <v>72</v>
      </c>
      <c r="K106" s="493">
        <f t="shared" si="27"/>
        <v>68</v>
      </c>
      <c r="L106" s="493">
        <f t="shared" si="27"/>
        <v>64</v>
      </c>
      <c r="M106" s="493">
        <f t="shared" si="27"/>
        <v>60</v>
      </c>
      <c r="N106" s="934"/>
      <c r="O106" s="934"/>
      <c r="P106" s="1922"/>
      <c r="Q106" s="453"/>
    </row>
    <row r="107" spans="1:17" ht="15" thickTop="1">
      <c r="A107" s="548"/>
      <c r="B107" s="487" t="s">
        <v>1738</v>
      </c>
      <c r="C107" s="3452" t="s">
        <v>3398</v>
      </c>
      <c r="D107" s="3452"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3400</v>
      </c>
      <c r="D109" s="3451"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3"/>
      <c r="Q113" s="508"/>
    </row>
    <row r="114" spans="1:17" ht="15" thickTop="1">
      <c r="A114" s="548"/>
      <c r="B114" s="487" t="s">
        <v>1740</v>
      </c>
      <c r="C114" s="3451" t="s">
        <v>3409</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3403</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3405</v>
      </c>
      <c r="D118" s="3452" t="s">
        <v>3406</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3400</v>
      </c>
      <c r="D122" s="3451" t="s">
        <v>3402</v>
      </c>
      <c r="E122" s="3451" t="s">
        <v>3407</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t="str">
        <f>B44</f>
        <v>电梯</v>
      </c>
      <c r="C126" s="503" t="str">
        <f>C44</f>
        <v>有</v>
      </c>
      <c r="D126" s="3451" t="s">
        <v>3453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8" priority="21" stopIfTrue="1" operator="containsText" text="超过">
      <formula>NOT(ISERROR(SEARCH("超过",F52)))</formula>
    </cfRule>
  </conditionalFormatting>
  <conditionalFormatting sqref="J54">
    <cfRule type="containsText" dxfId="157" priority="20" stopIfTrue="1" operator="containsText" text="超过">
      <formula>NOT(ISERROR(SEARCH("超过",J54)))</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J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G54">
    <cfRule type="expression" dxfId="152" priority="14" stopIfTrue="1">
      <formula>$H$54="超过30%"</formula>
    </cfRule>
  </conditionalFormatting>
  <conditionalFormatting sqref="E53">
    <cfRule type="expression" dxfId="151" priority="13" stopIfTrue="1">
      <formula>$F$53="超过20%"</formula>
    </cfRule>
  </conditionalFormatting>
  <conditionalFormatting sqref="E54">
    <cfRule type="expression" dxfId="150" priority="12" stopIfTrue="1">
      <formula>$F$54="超过30%"</formula>
    </cfRule>
  </conditionalFormatting>
  <conditionalFormatting sqref="G52">
    <cfRule type="expression" dxfId="149" priority="11" stopIfTrue="1">
      <formula>$H$52="超过30%"</formula>
    </cfRule>
  </conditionalFormatting>
  <conditionalFormatting sqref="G53">
    <cfRule type="expression" dxfId="148" priority="10" stopIfTrue="1">
      <formula>$H$53="超过20%"</formula>
    </cfRule>
  </conditionalFormatting>
  <conditionalFormatting sqref="I52">
    <cfRule type="expression" dxfId="147" priority="9" stopIfTrue="1">
      <formula>$J$52="超过30%"</formula>
    </cfRule>
  </conditionalFormatting>
  <conditionalFormatting sqref="I53">
    <cfRule type="expression" dxfId="146" priority="8" stopIfTrue="1">
      <formula>$J$53="超过20%"</formula>
    </cfRule>
  </conditionalFormatting>
  <conditionalFormatting sqref="I54">
    <cfRule type="expression" dxfId="145" priority="7" stopIfTrue="1">
      <formula>$J$54="超过30%"</formula>
    </cfRule>
  </conditionalFormatting>
  <conditionalFormatting sqref="F48">
    <cfRule type="expression" dxfId="144" priority="6">
      <formula>$D$48="简单平均"</formula>
    </cfRule>
  </conditionalFormatting>
  <conditionalFormatting sqref="H48">
    <cfRule type="expression" dxfId="143" priority="5">
      <formula>$D$48="简单平均"</formula>
    </cfRule>
  </conditionalFormatting>
  <conditionalFormatting sqref="J48">
    <cfRule type="expression" dxfId="142" priority="4">
      <formula>$D$48="简单平均"</formula>
    </cfRule>
  </conditionalFormatting>
  <conditionalFormatting sqref="F7:F25 H7:H25 J7:J25 H38:H46 F38:F46 J27:J46 H27:H36 F27:F36">
    <cfRule type="cellIs" dxfId="141" priority="3" operator="notEqual">
      <formula>100</formula>
    </cfRule>
  </conditionalFormatting>
  <conditionalFormatting sqref="H37 F37">
    <cfRule type="cellIs" dxfId="140" priority="2" operator="notEqual">
      <formula>100</formula>
    </cfRule>
  </conditionalFormatting>
  <conditionalFormatting sqref="J26 H26 F2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A20" workbookViewId="0">
      <selection activeCell="R20" sqref="R20"/>
    </sheetView>
  </sheetViews>
  <sheetFormatPr defaultRowHeight="14.4"/>
  <cols>
    <col min="1" max="1" width="12" customWidth="1"/>
    <col min="21" max="21" width="12.44140625" customWidth="1"/>
  </cols>
  <sheetData>
    <row r="1" spans="1:21">
      <c r="A1" s="3479" t="s">
        <v>3427</v>
      </c>
      <c r="B1" s="3479" t="s">
        <v>3428</v>
      </c>
      <c r="C1" s="3479" t="s">
        <v>3429</v>
      </c>
      <c r="D1" s="3479" t="s">
        <v>3430</v>
      </c>
      <c r="E1" s="3479" t="s">
        <v>3431</v>
      </c>
      <c r="F1" s="3479" t="s">
        <v>3432</v>
      </c>
      <c r="G1" s="3479" t="s">
        <v>3433</v>
      </c>
      <c r="H1" s="3479" t="s">
        <v>3434</v>
      </c>
      <c r="I1" s="3479" t="s">
        <v>3435</v>
      </c>
      <c r="J1" s="3479" t="s">
        <v>3436</v>
      </c>
      <c r="K1" s="3479" t="s">
        <v>3437</v>
      </c>
      <c r="L1" s="3479" t="s">
        <v>3438</v>
      </c>
      <c r="M1" s="3479" t="s">
        <v>3439</v>
      </c>
      <c r="N1" s="3479" t="s">
        <v>3440</v>
      </c>
      <c r="O1" s="3479" t="s">
        <v>3441</v>
      </c>
      <c r="P1" s="3479" t="s">
        <v>3442</v>
      </c>
      <c r="Q1" s="3479" t="s">
        <v>3443</v>
      </c>
      <c r="R1" s="3479" t="s">
        <v>3444</v>
      </c>
      <c r="S1" s="3479" t="s">
        <v>3445</v>
      </c>
      <c r="T1" s="3479" t="s">
        <v>3446</v>
      </c>
      <c r="U1" s="3479" t="s">
        <v>3447</v>
      </c>
    </row>
    <row r="2" spans="1:21" ht="23.4" thickBot="1">
      <c r="A2" s="3473">
        <v>31</v>
      </c>
      <c r="B2" s="3474" t="s">
        <v>3448</v>
      </c>
      <c r="C2" s="3473" t="s">
        <v>3514</v>
      </c>
      <c r="D2" s="3473" t="s">
        <v>3515</v>
      </c>
      <c r="E2" s="3473" t="s">
        <v>3458</v>
      </c>
      <c r="F2" s="3473" t="s">
        <v>3516</v>
      </c>
      <c r="G2" s="3473" t="s">
        <v>3517</v>
      </c>
      <c r="H2" s="3473" t="s">
        <v>3518</v>
      </c>
      <c r="I2" s="3473" t="s">
        <v>3449</v>
      </c>
      <c r="J2" s="3473">
        <v>85.56</v>
      </c>
      <c r="K2" s="3473" t="s">
        <v>3387</v>
      </c>
      <c r="L2" s="3473" t="s">
        <v>3519</v>
      </c>
      <c r="M2" s="3473">
        <v>2</v>
      </c>
      <c r="N2" s="3473" t="s">
        <v>633</v>
      </c>
      <c r="O2" s="3473">
        <v>1989</v>
      </c>
      <c r="P2" s="3473" t="s">
        <v>633</v>
      </c>
      <c r="Q2" s="3473" t="s">
        <v>633</v>
      </c>
      <c r="R2" s="3473">
        <v>0</v>
      </c>
      <c r="S2" s="3473">
        <v>84244</v>
      </c>
      <c r="T2" s="3473">
        <v>7207917</v>
      </c>
      <c r="U2" s="3832">
        <v>42865</v>
      </c>
    </row>
    <row r="3" spans="1:21" ht="23.4" thickBot="1">
      <c r="A3" s="3475">
        <v>32</v>
      </c>
      <c r="B3" s="3476" t="s">
        <v>3448</v>
      </c>
      <c r="C3" s="3475" t="s">
        <v>3520</v>
      </c>
      <c r="D3" s="3475" t="s">
        <v>3521</v>
      </c>
      <c r="E3" s="3475" t="s">
        <v>3458</v>
      </c>
      <c r="F3" s="3475" t="s">
        <v>3522</v>
      </c>
      <c r="G3" s="3475" t="s">
        <v>3517</v>
      </c>
      <c r="H3" s="3475" t="s">
        <v>3518</v>
      </c>
      <c r="I3" s="3475" t="s">
        <v>3449</v>
      </c>
      <c r="J3" s="3475">
        <v>70.239999999999995</v>
      </c>
      <c r="K3" s="3475" t="s">
        <v>3387</v>
      </c>
      <c r="L3" s="3475">
        <v>5</v>
      </c>
      <c r="M3" s="3475">
        <v>5</v>
      </c>
      <c r="N3" s="3475" t="s">
        <v>633</v>
      </c>
      <c r="O3" s="3475">
        <v>1980</v>
      </c>
      <c r="P3" s="3475" t="s">
        <v>633</v>
      </c>
      <c r="Q3" s="3475" t="s">
        <v>633</v>
      </c>
      <c r="R3" s="3475">
        <v>78730</v>
      </c>
      <c r="S3" s="3475">
        <v>68171</v>
      </c>
      <c r="T3" s="3475">
        <v>4788331</v>
      </c>
      <c r="U3" s="3833">
        <v>42732</v>
      </c>
    </row>
    <row r="4" spans="1:21" ht="23.4" thickBot="1">
      <c r="A4" s="3473">
        <v>33</v>
      </c>
      <c r="B4" s="3474" t="s">
        <v>3448</v>
      </c>
      <c r="C4" s="3473" t="s">
        <v>3523</v>
      </c>
      <c r="D4" s="3473" t="s">
        <v>3524</v>
      </c>
      <c r="E4" s="3473" t="s">
        <v>3458</v>
      </c>
      <c r="F4" s="3473" t="s">
        <v>3525</v>
      </c>
      <c r="G4" s="3473" t="s">
        <v>3517</v>
      </c>
      <c r="H4" s="3473" t="s">
        <v>3518</v>
      </c>
      <c r="I4" s="3473" t="s">
        <v>3449</v>
      </c>
      <c r="J4" s="3473">
        <v>43.47</v>
      </c>
      <c r="K4" s="3473" t="s">
        <v>3387</v>
      </c>
      <c r="L4" s="3473" t="s">
        <v>3526</v>
      </c>
      <c r="M4" s="3473">
        <v>7</v>
      </c>
      <c r="N4" s="3473" t="s">
        <v>633</v>
      </c>
      <c r="O4" s="3473">
        <v>1989</v>
      </c>
      <c r="P4" s="3473" t="s">
        <v>633</v>
      </c>
      <c r="Q4" s="3473" t="s">
        <v>633</v>
      </c>
      <c r="R4" s="3473">
        <v>86957</v>
      </c>
      <c r="S4" s="3473">
        <v>78510</v>
      </c>
      <c r="T4" s="3473">
        <v>3412830</v>
      </c>
      <c r="U4" s="3832">
        <v>42720</v>
      </c>
    </row>
    <row r="5" spans="1:21" ht="23.4" thickBot="1">
      <c r="A5" s="3475">
        <v>34</v>
      </c>
      <c r="B5" s="3476" t="s">
        <v>3448</v>
      </c>
      <c r="C5" s="3475" t="s">
        <v>3527</v>
      </c>
      <c r="D5" s="3475" t="s">
        <v>3528</v>
      </c>
      <c r="E5" s="3475" t="s">
        <v>3458</v>
      </c>
      <c r="F5" s="3475" t="s">
        <v>3529</v>
      </c>
      <c r="G5" s="3475" t="s">
        <v>3517</v>
      </c>
      <c r="H5" s="3475" t="s">
        <v>3462</v>
      </c>
      <c r="I5" s="3475" t="s">
        <v>3449</v>
      </c>
      <c r="J5" s="3475">
        <v>86.79</v>
      </c>
      <c r="K5" s="3475" t="s">
        <v>3387</v>
      </c>
      <c r="L5" s="3475" t="s">
        <v>3519</v>
      </c>
      <c r="M5" s="3475">
        <v>2</v>
      </c>
      <c r="N5" s="3475" t="s">
        <v>633</v>
      </c>
      <c r="O5" s="3475">
        <v>1989</v>
      </c>
      <c r="P5" s="3475" t="s">
        <v>633</v>
      </c>
      <c r="Q5" s="3475" t="s">
        <v>633</v>
      </c>
      <c r="R5" s="3475">
        <v>57610</v>
      </c>
      <c r="S5" s="3475">
        <v>51053</v>
      </c>
      <c r="T5" s="3475">
        <v>4430890</v>
      </c>
      <c r="U5" s="3833">
        <v>42501</v>
      </c>
    </row>
    <row r="6" spans="1:21" ht="23.4" thickBot="1">
      <c r="A6" s="3473">
        <v>35</v>
      </c>
      <c r="B6" s="3474" t="s">
        <v>3448</v>
      </c>
      <c r="C6" s="3473" t="s">
        <v>3530</v>
      </c>
      <c r="D6" s="3473" t="s">
        <v>3531</v>
      </c>
      <c r="E6" s="3473" t="s">
        <v>3458</v>
      </c>
      <c r="F6" s="3473" t="s">
        <v>3532</v>
      </c>
      <c r="G6" s="3473" t="s">
        <v>3533</v>
      </c>
      <c r="H6" s="3473" t="s">
        <v>3462</v>
      </c>
      <c r="I6" s="3473" t="s">
        <v>3459</v>
      </c>
      <c r="J6" s="3473">
        <v>56.76</v>
      </c>
      <c r="K6" s="3473" t="s">
        <v>3387</v>
      </c>
      <c r="L6" s="3473">
        <v>5</v>
      </c>
      <c r="M6" s="3473">
        <v>3</v>
      </c>
      <c r="N6" s="3473" t="s">
        <v>633</v>
      </c>
      <c r="O6" s="3473">
        <v>1980</v>
      </c>
      <c r="P6" s="3473">
        <v>1986</v>
      </c>
      <c r="Q6" s="3473" t="s">
        <v>633</v>
      </c>
      <c r="R6" s="3473">
        <v>67829</v>
      </c>
      <c r="S6" s="3473">
        <v>54103</v>
      </c>
      <c r="T6" s="3473">
        <v>3070886</v>
      </c>
      <c r="U6" s="3832">
        <v>42495</v>
      </c>
    </row>
    <row r="7" spans="1:21" ht="23.4" thickBot="1">
      <c r="A7" s="3475">
        <v>36</v>
      </c>
      <c r="B7" s="3476" t="s">
        <v>3448</v>
      </c>
      <c r="C7" s="3475" t="s">
        <v>3534</v>
      </c>
      <c r="D7" s="3475" t="s">
        <v>3535</v>
      </c>
      <c r="E7" s="3475" t="s">
        <v>3458</v>
      </c>
      <c r="F7" s="3475" t="s">
        <v>3536</v>
      </c>
      <c r="G7" s="3475" t="s">
        <v>3517</v>
      </c>
      <c r="H7" s="3475" t="s">
        <v>3462</v>
      </c>
      <c r="I7" s="3475" t="s">
        <v>3449</v>
      </c>
      <c r="J7" s="3475">
        <v>63.36</v>
      </c>
      <c r="K7" s="3475" t="s">
        <v>3387</v>
      </c>
      <c r="L7" s="3475" t="s">
        <v>3519</v>
      </c>
      <c r="M7" s="3475">
        <v>13</v>
      </c>
      <c r="N7" s="3475" t="s">
        <v>633</v>
      </c>
      <c r="O7" s="3475">
        <v>1989</v>
      </c>
      <c r="P7" s="3475" t="s">
        <v>633</v>
      </c>
      <c r="Q7" s="3475" t="s">
        <v>633</v>
      </c>
      <c r="R7" s="3475">
        <v>52872</v>
      </c>
      <c r="S7" s="3475">
        <v>47593</v>
      </c>
      <c r="T7" s="3475">
        <v>3015492</v>
      </c>
      <c r="U7" s="3833">
        <v>42430</v>
      </c>
    </row>
    <row r="8" spans="1:21" ht="23.4" thickBot="1">
      <c r="A8" s="3473">
        <v>37</v>
      </c>
      <c r="B8" s="3474" t="s">
        <v>3448</v>
      </c>
      <c r="C8" s="3473" t="s">
        <v>3537</v>
      </c>
      <c r="D8" s="3473" t="s">
        <v>3538</v>
      </c>
      <c r="E8" s="3473" t="s">
        <v>3458</v>
      </c>
      <c r="F8" s="3473" t="s">
        <v>3539</v>
      </c>
      <c r="G8" s="3473" t="s">
        <v>3517</v>
      </c>
      <c r="H8" s="3473" t="s">
        <v>3462</v>
      </c>
      <c r="I8" s="3473" t="s">
        <v>3459</v>
      </c>
      <c r="J8" s="3473">
        <v>74.62</v>
      </c>
      <c r="K8" s="3473" t="s">
        <v>3387</v>
      </c>
      <c r="L8" s="3473" t="s">
        <v>3526</v>
      </c>
      <c r="M8" s="3473">
        <v>10</v>
      </c>
      <c r="N8" s="3473" t="s">
        <v>633</v>
      </c>
      <c r="O8" s="3473">
        <v>1989</v>
      </c>
      <c r="P8" s="3473" t="s">
        <v>633</v>
      </c>
      <c r="Q8" s="3473" t="s">
        <v>633</v>
      </c>
      <c r="R8" s="3473">
        <v>56151</v>
      </c>
      <c r="S8" s="3473">
        <v>49807</v>
      </c>
      <c r="T8" s="3473">
        <v>3716598</v>
      </c>
      <c r="U8" s="3832">
        <v>42390</v>
      </c>
    </row>
    <row r="9" spans="1:21" ht="23.4" thickBot="1">
      <c r="A9" s="3475">
        <v>38</v>
      </c>
      <c r="B9" s="3476" t="s">
        <v>3448</v>
      </c>
      <c r="C9" s="3475" t="s">
        <v>3540</v>
      </c>
      <c r="D9" s="3475" t="s">
        <v>3541</v>
      </c>
      <c r="E9" s="3475" t="s">
        <v>3458</v>
      </c>
      <c r="F9" s="3475" t="s">
        <v>3542</v>
      </c>
      <c r="G9" s="3475" t="s">
        <v>3517</v>
      </c>
      <c r="H9" s="3475" t="s">
        <v>3462</v>
      </c>
      <c r="I9" s="3475" t="s">
        <v>3459</v>
      </c>
      <c r="J9" s="3475">
        <v>63.36</v>
      </c>
      <c r="K9" s="3475" t="s">
        <v>3387</v>
      </c>
      <c r="L9" s="3475" t="s">
        <v>3526</v>
      </c>
      <c r="M9" s="3475">
        <v>4</v>
      </c>
      <c r="N9" s="3475" t="s">
        <v>633</v>
      </c>
      <c r="O9" s="3475">
        <v>1989</v>
      </c>
      <c r="P9" s="3475">
        <v>1989</v>
      </c>
      <c r="Q9" s="3475" t="s">
        <v>633</v>
      </c>
      <c r="R9" s="3475">
        <v>52399</v>
      </c>
      <c r="S9" s="3475">
        <v>47352</v>
      </c>
      <c r="T9" s="3475">
        <v>3000223</v>
      </c>
      <c r="U9" s="3833">
        <v>42360</v>
      </c>
    </row>
    <row r="10" spans="1:21" ht="23.4" thickBot="1">
      <c r="A10" s="3473">
        <v>39</v>
      </c>
      <c r="B10" s="3474" t="s">
        <v>3448</v>
      </c>
      <c r="C10" s="3473" t="s">
        <v>3543</v>
      </c>
      <c r="D10" s="3473" t="s">
        <v>3544</v>
      </c>
      <c r="E10" s="3473" t="s">
        <v>3458</v>
      </c>
      <c r="F10" s="3473" t="s">
        <v>3545</v>
      </c>
      <c r="G10" s="3473" t="s">
        <v>3517</v>
      </c>
      <c r="H10" s="3473" t="s">
        <v>3546</v>
      </c>
      <c r="I10" s="3473" t="s">
        <v>3459</v>
      </c>
      <c r="J10" s="3473">
        <v>59.98</v>
      </c>
      <c r="K10" s="3473" t="s">
        <v>3387</v>
      </c>
      <c r="L10" s="3473" t="s">
        <v>3519</v>
      </c>
      <c r="M10" s="3473">
        <v>14</v>
      </c>
      <c r="N10" s="3473" t="s">
        <v>633</v>
      </c>
      <c r="O10" s="3473">
        <v>1989</v>
      </c>
      <c r="P10" s="3473" t="s">
        <v>633</v>
      </c>
      <c r="Q10" s="3473" t="s">
        <v>633</v>
      </c>
      <c r="R10" s="3473">
        <v>0</v>
      </c>
      <c r="S10" s="3473">
        <v>43434</v>
      </c>
      <c r="T10" s="3473">
        <v>2605171</v>
      </c>
      <c r="U10" s="3832">
        <v>42234</v>
      </c>
    </row>
    <row r="11" spans="1:21" ht="23.4" thickBot="1">
      <c r="A11" s="3475">
        <v>40</v>
      </c>
      <c r="B11" s="3476" t="s">
        <v>3448</v>
      </c>
      <c r="C11" s="3475" t="s">
        <v>3547</v>
      </c>
      <c r="D11" s="3475" t="s">
        <v>3548</v>
      </c>
      <c r="E11" s="3475" t="s">
        <v>3458</v>
      </c>
      <c r="F11" s="3475" t="s">
        <v>3549</v>
      </c>
      <c r="G11" s="3475" t="s">
        <v>3517</v>
      </c>
      <c r="H11" s="3475" t="s">
        <v>3546</v>
      </c>
      <c r="I11" s="3475" t="s">
        <v>3449</v>
      </c>
      <c r="J11" s="3475">
        <v>84.47</v>
      </c>
      <c r="K11" s="3475" t="s">
        <v>3387</v>
      </c>
      <c r="L11" s="3475">
        <v>18</v>
      </c>
      <c r="M11" s="3475">
        <v>3</v>
      </c>
      <c r="N11" s="3475" t="s">
        <v>633</v>
      </c>
      <c r="O11" s="3475">
        <v>1989</v>
      </c>
      <c r="P11" s="3475" t="s">
        <v>633</v>
      </c>
      <c r="Q11" s="3475" t="s">
        <v>633</v>
      </c>
      <c r="R11" s="3475">
        <v>47709</v>
      </c>
      <c r="S11" s="3475">
        <v>42921</v>
      </c>
      <c r="T11" s="3475">
        <v>3625537</v>
      </c>
      <c r="U11" s="3833">
        <v>42200</v>
      </c>
    </row>
    <row r="12" spans="1:21" ht="23.4" thickBot="1">
      <c r="A12" s="3473">
        <v>41</v>
      </c>
      <c r="B12" s="3474" t="s">
        <v>3448</v>
      </c>
      <c r="C12" s="3473" t="s">
        <v>3550</v>
      </c>
      <c r="D12" s="3473" t="s">
        <v>3551</v>
      </c>
      <c r="E12" s="3473" t="s">
        <v>3458</v>
      </c>
      <c r="F12" s="3473" t="s">
        <v>3552</v>
      </c>
      <c r="G12" s="3473" t="s">
        <v>3533</v>
      </c>
      <c r="H12" s="3473" t="s">
        <v>3553</v>
      </c>
      <c r="I12" s="3473" t="s">
        <v>3449</v>
      </c>
      <c r="J12" s="3473">
        <v>40.14</v>
      </c>
      <c r="K12" s="3473" t="s">
        <v>3387</v>
      </c>
      <c r="L12" s="3473" t="s">
        <v>3554</v>
      </c>
      <c r="M12" s="3473">
        <v>5</v>
      </c>
      <c r="N12" s="3473" t="s">
        <v>633</v>
      </c>
      <c r="O12" s="3473">
        <v>1980</v>
      </c>
      <c r="P12" s="3473">
        <v>1988</v>
      </c>
      <c r="Q12" s="3473" t="s">
        <v>633</v>
      </c>
      <c r="R12" s="3473">
        <v>52317</v>
      </c>
      <c r="S12" s="3473">
        <v>46382</v>
      </c>
      <c r="T12" s="3473">
        <v>1861773</v>
      </c>
      <c r="U12" s="3832">
        <v>42116</v>
      </c>
    </row>
    <row r="13" spans="1:21" ht="23.4" thickBot="1">
      <c r="A13" s="3475">
        <v>42</v>
      </c>
      <c r="B13" s="3476" t="s">
        <v>3448</v>
      </c>
      <c r="C13" s="3475" t="s">
        <v>3555</v>
      </c>
      <c r="D13" s="3475" t="s">
        <v>3556</v>
      </c>
      <c r="E13" s="3475" t="s">
        <v>3458</v>
      </c>
      <c r="F13" s="3475" t="s">
        <v>3557</v>
      </c>
      <c r="G13" s="3475" t="s">
        <v>633</v>
      </c>
      <c r="H13" s="3475" t="s">
        <v>3462</v>
      </c>
      <c r="I13" s="3475" t="s">
        <v>3449</v>
      </c>
      <c r="J13" s="3475">
        <v>56.59</v>
      </c>
      <c r="K13" s="3475" t="s">
        <v>3387</v>
      </c>
      <c r="L13" s="3475">
        <v>5</v>
      </c>
      <c r="M13" s="3475">
        <v>4</v>
      </c>
      <c r="N13" s="3475" t="s">
        <v>633</v>
      </c>
      <c r="O13" s="3475">
        <v>1980</v>
      </c>
      <c r="P13" s="3475">
        <v>1986</v>
      </c>
      <c r="Q13" s="3475" t="s">
        <v>633</v>
      </c>
      <c r="R13" s="3475">
        <v>47712</v>
      </c>
      <c r="S13" s="3475">
        <v>40579</v>
      </c>
      <c r="T13" s="3475">
        <v>2296366</v>
      </c>
      <c r="U13" s="3833">
        <v>42037</v>
      </c>
    </row>
    <row r="14" spans="1:21" ht="46.2" thickBot="1">
      <c r="A14" s="3473">
        <v>43</v>
      </c>
      <c r="B14" s="3474" t="s">
        <v>3448</v>
      </c>
      <c r="C14" s="3473" t="s">
        <v>3558</v>
      </c>
      <c r="D14" s="3473" t="s">
        <v>3559</v>
      </c>
      <c r="E14" s="3473" t="s">
        <v>3458</v>
      </c>
      <c r="F14" s="3473" t="s">
        <v>3560</v>
      </c>
      <c r="G14" s="3473" t="s">
        <v>43</v>
      </c>
      <c r="H14" s="3473" t="s">
        <v>3460</v>
      </c>
      <c r="I14" s="3473" t="s">
        <v>3461</v>
      </c>
      <c r="J14" s="3473">
        <v>63.36</v>
      </c>
      <c r="K14" s="3473" t="s">
        <v>3387</v>
      </c>
      <c r="L14" s="3473" t="s">
        <v>3526</v>
      </c>
      <c r="M14" s="3473">
        <v>13</v>
      </c>
      <c r="N14" s="3473" t="s">
        <v>43</v>
      </c>
      <c r="O14" s="3473">
        <v>1987</v>
      </c>
      <c r="P14" s="3473"/>
      <c r="Q14" s="3473" t="s">
        <v>43</v>
      </c>
      <c r="R14" s="3473">
        <v>29672</v>
      </c>
      <c r="S14" s="3473">
        <v>27067</v>
      </c>
      <c r="T14" s="3473">
        <v>1714965</v>
      </c>
      <c r="U14" s="3477">
        <v>40569</v>
      </c>
    </row>
    <row r="15" spans="1:21" ht="46.2" thickBot="1">
      <c r="A15" s="3475">
        <v>44</v>
      </c>
      <c r="B15" s="3476" t="s">
        <v>3448</v>
      </c>
      <c r="C15" s="3475" t="s">
        <v>3561</v>
      </c>
      <c r="D15" s="3475" t="s">
        <v>3562</v>
      </c>
      <c r="E15" s="3475" t="s">
        <v>3458</v>
      </c>
      <c r="F15" s="3475" t="s">
        <v>3563</v>
      </c>
      <c r="G15" s="3475" t="s">
        <v>43</v>
      </c>
      <c r="H15" s="3475" t="s">
        <v>3460</v>
      </c>
      <c r="I15" s="3475" t="s">
        <v>3449</v>
      </c>
      <c r="J15" s="3475">
        <v>58.79</v>
      </c>
      <c r="K15" s="3475" t="s">
        <v>3387</v>
      </c>
      <c r="L15" s="3475" t="s">
        <v>3519</v>
      </c>
      <c r="M15" s="3475">
        <v>8</v>
      </c>
      <c r="N15" s="3475" t="s">
        <v>43</v>
      </c>
      <c r="O15" s="3475">
        <v>1984</v>
      </c>
      <c r="P15" s="3475"/>
      <c r="Q15" s="3475" t="s">
        <v>43</v>
      </c>
      <c r="R15" s="3475">
        <v>0</v>
      </c>
      <c r="S15" s="3475">
        <v>19979</v>
      </c>
      <c r="T15" s="3475">
        <v>1174565</v>
      </c>
      <c r="U15" s="3478">
        <v>40239</v>
      </c>
    </row>
    <row r="16" spans="1:21" ht="46.2" thickBot="1">
      <c r="A16" s="3473">
        <v>45</v>
      </c>
      <c r="B16" s="3474" t="s">
        <v>3448</v>
      </c>
      <c r="C16" s="3473" t="s">
        <v>3564</v>
      </c>
      <c r="D16" s="3473" t="s">
        <v>3565</v>
      </c>
      <c r="E16" s="3473" t="s">
        <v>3458</v>
      </c>
      <c r="F16" s="3473" t="s">
        <v>3566</v>
      </c>
      <c r="G16" s="3473" t="s">
        <v>43</v>
      </c>
      <c r="H16" s="3473" t="s">
        <v>3460</v>
      </c>
      <c r="I16" s="3473" t="s">
        <v>3449</v>
      </c>
      <c r="J16" s="3473">
        <v>58.79</v>
      </c>
      <c r="K16" s="3473" t="s">
        <v>3387</v>
      </c>
      <c r="L16" s="3473" t="s">
        <v>3526</v>
      </c>
      <c r="M16" s="3473">
        <v>6</v>
      </c>
      <c r="N16" s="3473" t="s">
        <v>43</v>
      </c>
      <c r="O16" s="3473">
        <v>1984</v>
      </c>
      <c r="P16" s="3473"/>
      <c r="Q16" s="3473" t="s">
        <v>43</v>
      </c>
      <c r="R16" s="3473">
        <v>0</v>
      </c>
      <c r="S16" s="3473">
        <v>19977</v>
      </c>
      <c r="T16" s="3473">
        <v>1174448</v>
      </c>
      <c r="U16" s="3477">
        <v>40239</v>
      </c>
    </row>
    <row r="17" spans="1:21" ht="34.799999999999997" thickBot="1">
      <c r="A17" s="3837">
        <v>166</v>
      </c>
      <c r="B17" s="3838" t="s">
        <v>3448</v>
      </c>
      <c r="C17" s="3837" t="s">
        <v>3567</v>
      </c>
      <c r="D17" s="3837" t="s">
        <v>3568</v>
      </c>
      <c r="E17" s="3837" t="s">
        <v>3458</v>
      </c>
      <c r="F17" s="3837" t="s">
        <v>3569</v>
      </c>
      <c r="G17" s="3837" t="s">
        <v>633</v>
      </c>
      <c r="H17" s="3837" t="s">
        <v>3570</v>
      </c>
      <c r="I17" s="3837" t="s">
        <v>3459</v>
      </c>
      <c r="J17" s="3837">
        <v>49.51</v>
      </c>
      <c r="K17" s="3837" t="s">
        <v>3387</v>
      </c>
      <c r="L17" s="3837" t="s">
        <v>3571</v>
      </c>
      <c r="M17" s="3837">
        <v>6</v>
      </c>
      <c r="N17" s="3837" t="s">
        <v>633</v>
      </c>
      <c r="O17" s="3837">
        <v>1996</v>
      </c>
      <c r="P17" s="3837" t="s">
        <v>633</v>
      </c>
      <c r="Q17" s="3837" t="s">
        <v>633</v>
      </c>
      <c r="R17" s="3837">
        <v>39588</v>
      </c>
      <c r="S17" s="3837">
        <v>35218</v>
      </c>
      <c r="T17" s="3837">
        <v>1743643</v>
      </c>
      <c r="U17" s="3839">
        <v>41834</v>
      </c>
    </row>
    <row r="18" spans="1:21" ht="34.799999999999997" thickBot="1">
      <c r="A18" s="3475">
        <v>167</v>
      </c>
      <c r="B18" s="3476" t="s">
        <v>3448</v>
      </c>
      <c r="C18" s="3475" t="s">
        <v>3572</v>
      </c>
      <c r="D18" s="3475" t="s">
        <v>3573</v>
      </c>
      <c r="E18" s="3475" t="s">
        <v>3458</v>
      </c>
      <c r="F18" s="3475" t="s">
        <v>3574</v>
      </c>
      <c r="G18" s="3475" t="s">
        <v>633</v>
      </c>
      <c r="H18" s="3475" t="s">
        <v>3462</v>
      </c>
      <c r="I18" s="3475" t="s">
        <v>3459</v>
      </c>
      <c r="J18" s="3475">
        <v>49.51</v>
      </c>
      <c r="K18" s="3475" t="s">
        <v>3387</v>
      </c>
      <c r="L18" s="3475">
        <v>6</v>
      </c>
      <c r="M18" s="3475">
        <v>1</v>
      </c>
      <c r="N18" s="3475" t="s">
        <v>633</v>
      </c>
      <c r="O18" s="3475">
        <v>1996</v>
      </c>
      <c r="P18" s="3475" t="s">
        <v>633</v>
      </c>
      <c r="Q18" s="3475" t="s">
        <v>633</v>
      </c>
      <c r="R18" s="3475">
        <v>0</v>
      </c>
      <c r="S18" s="3475">
        <v>45175</v>
      </c>
      <c r="T18" s="3475">
        <v>2236614</v>
      </c>
      <c r="U18" s="3833">
        <v>41626</v>
      </c>
    </row>
    <row r="19" spans="1:21" ht="34.799999999999997" thickBot="1">
      <c r="A19" s="3840">
        <v>168</v>
      </c>
      <c r="B19" s="3841" t="s">
        <v>3448</v>
      </c>
      <c r="C19" s="3840" t="s">
        <v>3575</v>
      </c>
      <c r="D19" s="3840" t="s">
        <v>3576</v>
      </c>
      <c r="E19" s="3840" t="s">
        <v>3458</v>
      </c>
      <c r="F19" s="3840" t="s">
        <v>3577</v>
      </c>
      <c r="G19" s="3840" t="s">
        <v>43</v>
      </c>
      <c r="H19" s="3840" t="s">
        <v>3553</v>
      </c>
      <c r="I19" s="3840" t="s">
        <v>3459</v>
      </c>
      <c r="J19" s="3840">
        <v>44.47</v>
      </c>
      <c r="K19" s="3840" t="s">
        <v>3387</v>
      </c>
      <c r="L19" s="3840">
        <v>22</v>
      </c>
      <c r="M19" s="3840"/>
      <c r="N19" s="3840" t="s">
        <v>43</v>
      </c>
      <c r="O19" s="3840">
        <v>1991</v>
      </c>
      <c r="P19" s="3840" t="s">
        <v>43</v>
      </c>
      <c r="Q19" s="3840" t="s">
        <v>43</v>
      </c>
      <c r="R19" s="3840">
        <v>47223</v>
      </c>
      <c r="S19" s="3840">
        <v>41968</v>
      </c>
      <c r="T19" s="3840">
        <v>1866317</v>
      </c>
      <c r="U19" s="3842">
        <v>41517</v>
      </c>
    </row>
    <row r="20" spans="1:21" ht="34.799999999999997" thickBot="1">
      <c r="A20" s="3840">
        <v>169</v>
      </c>
      <c r="B20" s="3841" t="s">
        <v>3448</v>
      </c>
      <c r="C20" s="3840" t="s">
        <v>3578</v>
      </c>
      <c r="D20" s="3840" t="s">
        <v>3579</v>
      </c>
      <c r="E20" s="3840" t="s">
        <v>3458</v>
      </c>
      <c r="F20" s="3840" t="s">
        <v>3580</v>
      </c>
      <c r="G20" s="3840" t="s">
        <v>43</v>
      </c>
      <c r="H20" s="3840" t="s">
        <v>3462</v>
      </c>
      <c r="I20" s="3840" t="s">
        <v>3459</v>
      </c>
      <c r="J20" s="3840">
        <v>43.29</v>
      </c>
      <c r="K20" s="3840" t="s">
        <v>3387</v>
      </c>
      <c r="L20" s="3840">
        <v>21</v>
      </c>
      <c r="M20" s="3840"/>
      <c r="N20" s="3840" t="s">
        <v>43</v>
      </c>
      <c r="O20" s="3840">
        <v>1991</v>
      </c>
      <c r="P20" s="3840" t="s">
        <v>43</v>
      </c>
      <c r="Q20" s="3840" t="s">
        <v>43</v>
      </c>
      <c r="R20" s="3840">
        <v>44583</v>
      </c>
      <c r="S20" s="3840">
        <v>38806</v>
      </c>
      <c r="T20" s="3840">
        <v>1679912</v>
      </c>
      <c r="U20" s="3842">
        <v>41356</v>
      </c>
    </row>
    <row r="21" spans="1:21" ht="34.799999999999997" thickBot="1">
      <c r="A21" s="3473">
        <v>170</v>
      </c>
      <c r="B21" s="3474" t="s">
        <v>3448</v>
      </c>
      <c r="C21" s="3473" t="s">
        <v>3581</v>
      </c>
      <c r="D21" s="3473" t="s">
        <v>3573</v>
      </c>
      <c r="E21" s="3473" t="s">
        <v>3458</v>
      </c>
      <c r="F21" s="3473" t="s">
        <v>3574</v>
      </c>
      <c r="G21" s="3473" t="s">
        <v>43</v>
      </c>
      <c r="H21" s="3473" t="s">
        <v>3463</v>
      </c>
      <c r="I21" s="3473" t="s">
        <v>3459</v>
      </c>
      <c r="J21" s="3473">
        <v>49.51</v>
      </c>
      <c r="K21" s="3473" t="s">
        <v>3387</v>
      </c>
      <c r="L21" s="3473">
        <v>6</v>
      </c>
      <c r="M21" s="3473">
        <v>1</v>
      </c>
      <c r="N21" s="3473" t="s">
        <v>43</v>
      </c>
      <c r="O21" s="3473">
        <v>1996</v>
      </c>
      <c r="P21" s="3473"/>
      <c r="Q21" s="3473" t="s">
        <v>43</v>
      </c>
      <c r="R21" s="3473">
        <v>0</v>
      </c>
      <c r="S21" s="3473">
        <v>31922</v>
      </c>
      <c r="T21" s="3473">
        <v>1580458</v>
      </c>
      <c r="U21" s="3477">
        <v>41233</v>
      </c>
    </row>
    <row r="22" spans="1:21" ht="34.799999999999997" thickBot="1">
      <c r="A22" s="3475">
        <v>171</v>
      </c>
      <c r="B22" s="3476" t="s">
        <v>3448</v>
      </c>
      <c r="C22" s="3475" t="s">
        <v>3582</v>
      </c>
      <c r="D22" s="3475" t="s">
        <v>3583</v>
      </c>
      <c r="E22" s="3475" t="s">
        <v>3458</v>
      </c>
      <c r="F22" s="3475" t="s">
        <v>3584</v>
      </c>
      <c r="G22" s="3475" t="s">
        <v>43</v>
      </c>
      <c r="H22" s="3475" t="s">
        <v>3585</v>
      </c>
      <c r="I22" s="3475" t="s">
        <v>3459</v>
      </c>
      <c r="J22" s="3475">
        <v>52.96</v>
      </c>
      <c r="K22" s="3475" t="s">
        <v>3387</v>
      </c>
      <c r="L22" s="3475">
        <v>6</v>
      </c>
      <c r="M22" s="3475">
        <v>4</v>
      </c>
      <c r="N22" s="3475" t="s">
        <v>43</v>
      </c>
      <c r="O22" s="3475">
        <v>1993</v>
      </c>
      <c r="P22" s="3475"/>
      <c r="Q22" s="3475" t="s">
        <v>43</v>
      </c>
      <c r="R22" s="3475">
        <v>0</v>
      </c>
      <c r="S22" s="3475">
        <v>28677</v>
      </c>
      <c r="T22" s="3475">
        <v>1518734</v>
      </c>
      <c r="U22" s="3478">
        <v>41066</v>
      </c>
    </row>
    <row r="23" spans="1:21" ht="34.799999999999997" thickBot="1">
      <c r="A23" s="3834">
        <v>172</v>
      </c>
      <c r="B23" s="3835" t="s">
        <v>3448</v>
      </c>
      <c r="C23" s="3834" t="s">
        <v>3586</v>
      </c>
      <c r="D23" s="3834" t="s">
        <v>3583</v>
      </c>
      <c r="E23" s="3834" t="s">
        <v>3458</v>
      </c>
      <c r="F23" s="3834" t="s">
        <v>3587</v>
      </c>
      <c r="G23" s="3834" t="s">
        <v>43</v>
      </c>
      <c r="H23" s="3834" t="s">
        <v>3585</v>
      </c>
      <c r="I23" s="3834" t="s">
        <v>3449</v>
      </c>
      <c r="J23" s="3834">
        <v>88.93</v>
      </c>
      <c r="K23" s="3834" t="s">
        <v>3387</v>
      </c>
      <c r="L23" s="3834">
        <v>6</v>
      </c>
      <c r="M23" s="3834">
        <v>4</v>
      </c>
      <c r="N23" s="3834" t="s">
        <v>43</v>
      </c>
      <c r="O23" s="3834">
        <v>1993</v>
      </c>
      <c r="P23" s="3834"/>
      <c r="Q23" s="3834" t="s">
        <v>43</v>
      </c>
      <c r="R23" s="3834">
        <v>0</v>
      </c>
      <c r="S23" s="3834">
        <v>27691</v>
      </c>
      <c r="T23" s="3834">
        <v>2462561</v>
      </c>
      <c r="U23" s="3836">
        <v>41066</v>
      </c>
    </row>
    <row r="26" spans="1:21" ht="24">
      <c r="A26" s="3829" t="s">
        <v>3469</v>
      </c>
      <c r="B26" s="3829" t="s">
        <v>3470</v>
      </c>
      <c r="C26" s="3829" t="s">
        <v>3471</v>
      </c>
      <c r="D26" s="3829" t="s">
        <v>3472</v>
      </c>
      <c r="E26" s="3829" t="s">
        <v>3467</v>
      </c>
      <c r="F26" s="3829" t="s">
        <v>3475</v>
      </c>
      <c r="G26" s="3829" t="s">
        <v>3444</v>
      </c>
    </row>
    <row r="27" spans="1:21" ht="24">
      <c r="A27" s="3843">
        <v>41365</v>
      </c>
      <c r="B27" s="3844" t="s">
        <v>3478</v>
      </c>
      <c r="C27" s="3844">
        <v>61</v>
      </c>
      <c r="D27" s="3844" t="s">
        <v>3509</v>
      </c>
      <c r="E27" s="3844" t="s">
        <v>3476</v>
      </c>
      <c r="F27" s="3844">
        <v>285</v>
      </c>
      <c r="G27" s="3844">
        <v>46222</v>
      </c>
    </row>
    <row r="28" spans="1:21" ht="24">
      <c r="A28" s="3831">
        <v>41328</v>
      </c>
      <c r="B28" s="3829" t="s">
        <v>3481</v>
      </c>
      <c r="C28" s="3829">
        <v>61</v>
      </c>
      <c r="D28" s="3829" t="s">
        <v>3513</v>
      </c>
      <c r="E28" s="3829" t="s">
        <v>3486</v>
      </c>
      <c r="F28" s="3829">
        <v>190</v>
      </c>
      <c r="G28" s="3829">
        <v>31092</v>
      </c>
    </row>
    <row r="29" spans="1:21" ht="24">
      <c r="A29" s="3831">
        <v>41261</v>
      </c>
      <c r="B29" s="3829" t="s">
        <v>3480</v>
      </c>
      <c r="C29" s="3829">
        <v>79</v>
      </c>
      <c r="D29" s="3829" t="s">
        <v>3508</v>
      </c>
      <c r="E29" s="3829" t="s">
        <v>3486</v>
      </c>
      <c r="F29" s="3829">
        <v>309</v>
      </c>
      <c r="G29" s="3829">
        <v>38742</v>
      </c>
    </row>
    <row r="30" spans="1:21" ht="24">
      <c r="A30" s="3831">
        <v>41195</v>
      </c>
      <c r="B30" s="3829" t="s">
        <v>3478</v>
      </c>
      <c r="C30" s="3829">
        <v>58</v>
      </c>
      <c r="D30" s="3829" t="s">
        <v>3488</v>
      </c>
      <c r="E30" s="3829" t="s">
        <v>3477</v>
      </c>
      <c r="F30" s="3829">
        <v>223</v>
      </c>
      <c r="G30" s="3829">
        <v>37913</v>
      </c>
    </row>
    <row r="31" spans="1:21" ht="24">
      <c r="A31" s="3831">
        <v>41153</v>
      </c>
      <c r="B31" s="3829" t="s">
        <v>3478</v>
      </c>
      <c r="C31" s="3829">
        <v>58</v>
      </c>
      <c r="D31" s="3829" t="s">
        <v>3508</v>
      </c>
      <c r="E31" s="3829" t="s">
        <v>3486</v>
      </c>
      <c r="F31" s="3829">
        <v>189</v>
      </c>
      <c r="G31" s="3829">
        <v>32149</v>
      </c>
    </row>
    <row r="32" spans="1:21" ht="24">
      <c r="A32" s="3831">
        <v>41111</v>
      </c>
      <c r="B32" s="3829" t="s">
        <v>3478</v>
      </c>
      <c r="C32" s="3829">
        <v>56</v>
      </c>
      <c r="D32" s="3829" t="s">
        <v>3492</v>
      </c>
      <c r="E32" s="3829" t="s">
        <v>3477</v>
      </c>
      <c r="F32" s="3829">
        <v>210</v>
      </c>
      <c r="G32" s="3829">
        <v>36998</v>
      </c>
    </row>
    <row r="33" spans="1:7" ht="24">
      <c r="A33" s="3831">
        <v>41106</v>
      </c>
      <c r="B33" s="3829" t="s">
        <v>3478</v>
      </c>
      <c r="C33" s="3829">
        <v>58</v>
      </c>
      <c r="D33" s="3829" t="s">
        <v>3508</v>
      </c>
      <c r="E33" s="3829" t="s">
        <v>3486</v>
      </c>
      <c r="F33" s="3829">
        <v>186</v>
      </c>
      <c r="G33" s="3829">
        <v>31639</v>
      </c>
    </row>
    <row r="34" spans="1:7" ht="24">
      <c r="A34" s="3831">
        <v>41100</v>
      </c>
      <c r="B34" s="3829" t="s">
        <v>3481</v>
      </c>
      <c r="C34" s="3829">
        <v>41</v>
      </c>
      <c r="D34" s="3829" t="s">
        <v>3489</v>
      </c>
      <c r="E34" s="3829" t="s">
        <v>3454</v>
      </c>
      <c r="F34" s="3829">
        <v>149</v>
      </c>
      <c r="G34" s="3829">
        <v>36342</v>
      </c>
    </row>
    <row r="35" spans="1:7" ht="24">
      <c r="A35" s="3831">
        <v>41093</v>
      </c>
      <c r="B35" s="3829" t="s">
        <v>3478</v>
      </c>
      <c r="C35" s="3829">
        <v>56</v>
      </c>
      <c r="D35" s="3829" t="s">
        <v>3492</v>
      </c>
      <c r="E35" s="3829" t="s">
        <v>3477</v>
      </c>
      <c r="F35" s="3829">
        <v>220</v>
      </c>
      <c r="G35" s="3829">
        <v>38760</v>
      </c>
    </row>
    <row r="36" spans="1:7">
      <c r="A36" s="3831">
        <v>40979</v>
      </c>
      <c r="B36" s="3829" t="s">
        <v>3478</v>
      </c>
      <c r="C36" s="3829">
        <v>54</v>
      </c>
      <c r="D36" s="3829" t="s">
        <v>3494</v>
      </c>
      <c r="E36" s="3829" t="s">
        <v>3477</v>
      </c>
      <c r="F36" s="3829">
        <v>165</v>
      </c>
      <c r="G36" s="3829">
        <v>30006</v>
      </c>
    </row>
    <row r="37" spans="1:7" ht="24">
      <c r="A37" s="3831">
        <v>40861</v>
      </c>
      <c r="B37" s="3829" t="s">
        <v>3478</v>
      </c>
      <c r="C37" s="3829">
        <v>63</v>
      </c>
      <c r="D37" s="3829" t="s">
        <v>3508</v>
      </c>
      <c r="E37" s="3829" t="s">
        <v>3486</v>
      </c>
      <c r="F37" s="3829">
        <v>177</v>
      </c>
      <c r="G37" s="3829">
        <v>27936</v>
      </c>
    </row>
  </sheetData>
  <phoneticPr fontId="13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workbookViewId="0">
      <selection sqref="A1:I1"/>
    </sheetView>
  </sheetViews>
  <sheetFormatPr defaultRowHeight="14.4"/>
  <cols>
    <col min="1" max="1" width="11.6640625" style="3830" bestFit="1" customWidth="1"/>
    <col min="2" max="2" width="13.44140625" style="3830" bestFit="1" customWidth="1"/>
    <col min="3" max="3" width="9.21875" style="3830" bestFit="1" customWidth="1"/>
    <col min="4" max="4" width="15.44140625" style="3830" bestFit="1" customWidth="1"/>
    <col min="5" max="5" width="9.21875" style="3830" bestFit="1" customWidth="1"/>
    <col min="6" max="6" width="11.21875" style="3830" bestFit="1" customWidth="1"/>
    <col min="7" max="7" width="11.6640625" style="3830" bestFit="1" customWidth="1"/>
    <col min="8" max="8" width="11.21875" style="3830" bestFit="1" customWidth="1"/>
    <col min="9" max="9" width="9.109375" style="3830" bestFit="1" customWidth="1"/>
    <col min="10" max="16384" width="8.88671875" style="3830"/>
  </cols>
  <sheetData>
    <row r="1" spans="1:9">
      <c r="A1" s="3829" t="s">
        <v>3469</v>
      </c>
      <c r="B1" s="3829" t="s">
        <v>3470</v>
      </c>
      <c r="C1" s="3829" t="s">
        <v>3471</v>
      </c>
      <c r="D1" s="3829" t="s">
        <v>3472</v>
      </c>
      <c r="E1" s="3829" t="s">
        <v>3467</v>
      </c>
      <c r="F1" s="3829" t="s">
        <v>3473</v>
      </c>
      <c r="G1" s="3829" t="s">
        <v>3474</v>
      </c>
      <c r="H1" s="3829" t="s">
        <v>3475</v>
      </c>
      <c r="I1" s="3829" t="s">
        <v>3444</v>
      </c>
    </row>
    <row r="2" spans="1:9" hidden="1">
      <c r="A2" s="3831">
        <v>45921</v>
      </c>
      <c r="B2" s="3829" t="s">
        <v>3478</v>
      </c>
      <c r="C2" s="3829">
        <v>54</v>
      </c>
      <c r="D2" s="3829" t="s">
        <v>3483</v>
      </c>
      <c r="E2" s="3829" t="s">
        <v>3454</v>
      </c>
      <c r="F2" s="3829">
        <v>399</v>
      </c>
      <c r="G2" s="3829">
        <v>20250917</v>
      </c>
      <c r="H2" s="3829">
        <v>399</v>
      </c>
      <c r="I2" s="3829">
        <v>72678</v>
      </c>
    </row>
    <row r="3" spans="1:9" hidden="1">
      <c r="A3" s="3831">
        <v>45921</v>
      </c>
      <c r="B3" s="3829" t="s">
        <v>3478</v>
      </c>
      <c r="C3" s="3829">
        <v>56</v>
      </c>
      <c r="D3" s="3829" t="s">
        <v>3479</v>
      </c>
      <c r="E3" s="3829" t="s">
        <v>3477</v>
      </c>
      <c r="F3" s="3829">
        <v>481</v>
      </c>
      <c r="G3" s="3829">
        <v>20250502</v>
      </c>
      <c r="H3" s="3829">
        <v>468</v>
      </c>
      <c r="I3" s="3829">
        <v>83378</v>
      </c>
    </row>
    <row r="4" spans="1:9" hidden="1">
      <c r="A4" s="3831">
        <v>45892</v>
      </c>
      <c r="B4" s="3829" t="s">
        <v>3480</v>
      </c>
      <c r="C4" s="3829">
        <v>85</v>
      </c>
      <c r="D4" s="3829" t="s">
        <v>3497</v>
      </c>
      <c r="E4" s="3829" t="s">
        <v>3486</v>
      </c>
      <c r="F4" s="3829">
        <v>720</v>
      </c>
      <c r="G4" s="3831">
        <v>45723</v>
      </c>
      <c r="H4" s="3829">
        <v>698</v>
      </c>
      <c r="I4" s="3829">
        <v>81580</v>
      </c>
    </row>
    <row r="5" spans="1:9" hidden="1">
      <c r="A5" s="3831">
        <v>45835</v>
      </c>
      <c r="B5" s="3829" t="s">
        <v>3478</v>
      </c>
      <c r="C5" s="3829">
        <v>56</v>
      </c>
      <c r="D5" s="3829" t="s">
        <v>3483</v>
      </c>
      <c r="E5" s="3829" t="s">
        <v>3477</v>
      </c>
      <c r="F5" s="3829">
        <v>428</v>
      </c>
      <c r="G5" s="3831">
        <v>45795</v>
      </c>
      <c r="H5" s="3829">
        <v>428</v>
      </c>
      <c r="I5" s="3829">
        <v>75631</v>
      </c>
    </row>
    <row r="6" spans="1:9" hidden="1">
      <c r="A6" s="3831">
        <v>45831</v>
      </c>
      <c r="B6" s="3829" t="s">
        <v>3478</v>
      </c>
      <c r="C6" s="3829">
        <v>56</v>
      </c>
      <c r="D6" s="3829" t="s">
        <v>3498</v>
      </c>
      <c r="E6" s="3829" t="s">
        <v>3477</v>
      </c>
      <c r="F6" s="3829">
        <v>505</v>
      </c>
      <c r="G6" s="3831">
        <v>45657</v>
      </c>
      <c r="H6" s="3829">
        <v>503</v>
      </c>
      <c r="I6" s="3829">
        <v>88618</v>
      </c>
    </row>
    <row r="7" spans="1:9" hidden="1">
      <c r="A7" s="3831">
        <v>45640</v>
      </c>
      <c r="B7" s="3829" t="s">
        <v>3481</v>
      </c>
      <c r="C7" s="3829">
        <v>43</v>
      </c>
      <c r="D7" s="3829" t="s">
        <v>3497</v>
      </c>
      <c r="E7" s="3829" t="s">
        <v>3476</v>
      </c>
      <c r="F7" s="3829">
        <v>425</v>
      </c>
      <c r="G7" s="3831">
        <v>45617</v>
      </c>
      <c r="H7" s="3829">
        <v>407</v>
      </c>
      <c r="I7" s="3829">
        <v>93627</v>
      </c>
    </row>
    <row r="8" spans="1:9" hidden="1">
      <c r="A8" s="3831">
        <v>45621</v>
      </c>
      <c r="B8" s="3829" t="s">
        <v>3478</v>
      </c>
      <c r="C8" s="3829">
        <v>61</v>
      </c>
      <c r="D8" s="3829" t="s">
        <v>3499</v>
      </c>
      <c r="E8" s="3829" t="s">
        <v>3476</v>
      </c>
      <c r="F8" s="3829">
        <v>570</v>
      </c>
      <c r="G8" s="3831">
        <v>45379</v>
      </c>
      <c r="H8" s="3829">
        <v>528</v>
      </c>
      <c r="I8" s="3829">
        <v>85630</v>
      </c>
    </row>
    <row r="9" spans="1:9" hidden="1">
      <c r="A9" s="3831">
        <v>45522</v>
      </c>
      <c r="B9" s="3829" t="s">
        <v>3480</v>
      </c>
      <c r="C9" s="3829">
        <v>79</v>
      </c>
      <c r="D9" s="3829" t="s">
        <v>3500</v>
      </c>
      <c r="E9" s="3829" t="s">
        <v>3501</v>
      </c>
      <c r="F9" s="3829">
        <v>710</v>
      </c>
      <c r="G9" s="3831">
        <v>45459</v>
      </c>
      <c r="H9" s="3829">
        <v>657</v>
      </c>
      <c r="I9" s="3829">
        <v>82372</v>
      </c>
    </row>
    <row r="10" spans="1:9" hidden="1">
      <c r="A10" s="3831">
        <v>45467</v>
      </c>
      <c r="B10" s="3829" t="s">
        <v>3480</v>
      </c>
      <c r="C10" s="3829">
        <v>70</v>
      </c>
      <c r="D10" s="3829" t="s">
        <v>3502</v>
      </c>
      <c r="E10" s="3829" t="s">
        <v>3477</v>
      </c>
      <c r="F10" s="3829">
        <v>698</v>
      </c>
      <c r="G10" s="3831">
        <v>45250</v>
      </c>
      <c r="H10" s="3829">
        <v>630</v>
      </c>
      <c r="I10" s="3829">
        <v>89425</v>
      </c>
    </row>
    <row r="11" spans="1:9" hidden="1">
      <c r="A11" s="3831">
        <v>45465</v>
      </c>
      <c r="B11" s="3829" t="s">
        <v>3481</v>
      </c>
      <c r="C11" s="3829">
        <v>40</v>
      </c>
      <c r="D11" s="3829" t="s">
        <v>3484</v>
      </c>
      <c r="E11" s="3829" t="s">
        <v>3477</v>
      </c>
      <c r="F11" s="3829">
        <v>430</v>
      </c>
      <c r="G11" s="3831">
        <v>45459</v>
      </c>
      <c r="H11" s="3829">
        <v>405</v>
      </c>
      <c r="I11" s="3829">
        <v>99435</v>
      </c>
    </row>
    <row r="12" spans="1:9" hidden="1">
      <c r="A12" s="3831">
        <v>45436</v>
      </c>
      <c r="B12" s="3829" t="s">
        <v>3478</v>
      </c>
      <c r="C12" s="3829">
        <v>56</v>
      </c>
      <c r="D12" s="3829" t="s">
        <v>3498</v>
      </c>
      <c r="E12" s="3829" t="s">
        <v>3477</v>
      </c>
      <c r="F12" s="3829">
        <v>550</v>
      </c>
      <c r="G12" s="3831">
        <v>45365</v>
      </c>
      <c r="H12" s="3829">
        <v>453</v>
      </c>
      <c r="I12" s="3829">
        <v>80049</v>
      </c>
    </row>
    <row r="13" spans="1:9" hidden="1">
      <c r="A13" s="3831">
        <v>45168</v>
      </c>
      <c r="B13" s="3829" t="s">
        <v>3478</v>
      </c>
      <c r="C13" s="3829">
        <v>56</v>
      </c>
      <c r="D13" s="3829" t="s">
        <v>3483</v>
      </c>
      <c r="E13" s="3829" t="s">
        <v>3477</v>
      </c>
      <c r="F13" s="3829">
        <v>610</v>
      </c>
      <c r="G13" s="3831">
        <v>45158</v>
      </c>
      <c r="H13" s="3829">
        <v>585</v>
      </c>
      <c r="I13" s="3829">
        <v>104222</v>
      </c>
    </row>
    <row r="14" spans="1:9" hidden="1">
      <c r="A14" s="3831">
        <v>44927</v>
      </c>
      <c r="B14" s="3829" t="s">
        <v>3478</v>
      </c>
      <c r="C14" s="3829">
        <v>60</v>
      </c>
      <c r="D14" s="3829" t="s">
        <v>3487</v>
      </c>
      <c r="E14" s="3829" t="s">
        <v>3477</v>
      </c>
      <c r="F14" s="3829">
        <v>680</v>
      </c>
      <c r="G14" s="3831">
        <v>44807</v>
      </c>
      <c r="H14" s="3829">
        <v>660</v>
      </c>
      <c r="I14" s="3829">
        <v>109109</v>
      </c>
    </row>
    <row r="15" spans="1:9" hidden="1">
      <c r="A15" s="3831">
        <v>44906</v>
      </c>
      <c r="B15" s="3829" t="s">
        <v>3478</v>
      </c>
      <c r="C15" s="3829">
        <v>58</v>
      </c>
      <c r="D15" s="3829" t="s">
        <v>3503</v>
      </c>
      <c r="E15" s="3829" t="s">
        <v>3476</v>
      </c>
      <c r="F15" s="3829">
        <v>658</v>
      </c>
      <c r="G15" s="3831">
        <v>44906</v>
      </c>
      <c r="H15" s="3829">
        <v>645</v>
      </c>
      <c r="I15" s="3829">
        <v>109713</v>
      </c>
    </row>
    <row r="16" spans="1:9" hidden="1">
      <c r="A16" s="3831">
        <v>44833</v>
      </c>
      <c r="B16" s="3829" t="s">
        <v>3478</v>
      </c>
      <c r="C16" s="3829">
        <v>56</v>
      </c>
      <c r="D16" s="3829" t="s">
        <v>3479</v>
      </c>
      <c r="E16" s="3829" t="s">
        <v>3477</v>
      </c>
      <c r="F16" s="3829">
        <v>659</v>
      </c>
      <c r="G16" s="3831">
        <v>44743</v>
      </c>
      <c r="H16" s="3829">
        <v>640</v>
      </c>
      <c r="I16" s="3829">
        <v>112755</v>
      </c>
    </row>
    <row r="17" spans="1:9" hidden="1">
      <c r="A17" s="3831">
        <v>44729</v>
      </c>
      <c r="B17" s="3829" t="s">
        <v>3478</v>
      </c>
      <c r="C17" s="3829">
        <v>56</v>
      </c>
      <c r="D17" s="3829" t="s">
        <v>3504</v>
      </c>
      <c r="E17" s="3829" t="s">
        <v>3477</v>
      </c>
      <c r="F17" s="3829">
        <v>655</v>
      </c>
      <c r="G17" s="3831">
        <v>44654</v>
      </c>
      <c r="H17" s="3829">
        <v>640</v>
      </c>
      <c r="I17" s="3829">
        <v>113095</v>
      </c>
    </row>
    <row r="18" spans="1:9" hidden="1">
      <c r="A18" s="3831">
        <v>44527</v>
      </c>
      <c r="B18" s="3829" t="s">
        <v>3480</v>
      </c>
      <c r="C18" s="3829">
        <v>76</v>
      </c>
      <c r="D18" s="3829" t="s">
        <v>3505</v>
      </c>
      <c r="E18" s="3829" t="s">
        <v>3477</v>
      </c>
      <c r="F18" s="3829">
        <v>810</v>
      </c>
      <c r="G18" s="3831">
        <v>44450</v>
      </c>
      <c r="H18" s="3829">
        <v>810</v>
      </c>
      <c r="I18" s="3829">
        <v>105994</v>
      </c>
    </row>
    <row r="19" spans="1:9" hidden="1">
      <c r="A19" s="3831">
        <v>44507</v>
      </c>
      <c r="B19" s="3829" t="s">
        <v>3481</v>
      </c>
      <c r="C19" s="3829">
        <v>43</v>
      </c>
      <c r="D19" s="3829" t="s">
        <v>3506</v>
      </c>
      <c r="E19" s="3829" t="s">
        <v>3486</v>
      </c>
      <c r="F19" s="3829">
        <v>520</v>
      </c>
      <c r="G19" s="3831">
        <v>44497</v>
      </c>
      <c r="H19" s="3829">
        <v>509</v>
      </c>
      <c r="I19" s="3829">
        <v>117093</v>
      </c>
    </row>
    <row r="20" spans="1:9" hidden="1">
      <c r="A20" s="3831">
        <v>44500</v>
      </c>
      <c r="B20" s="3829" t="s">
        <v>3478</v>
      </c>
      <c r="C20" s="3829">
        <v>58</v>
      </c>
      <c r="D20" s="3829" t="s">
        <v>3506</v>
      </c>
      <c r="E20" s="3829" t="s">
        <v>3486</v>
      </c>
      <c r="F20" s="3829">
        <v>645</v>
      </c>
      <c r="G20" s="3831">
        <v>44287</v>
      </c>
      <c r="H20" s="3829">
        <v>634</v>
      </c>
      <c r="I20" s="3829">
        <v>107842</v>
      </c>
    </row>
    <row r="21" spans="1:9" hidden="1">
      <c r="A21" s="3831">
        <v>44358</v>
      </c>
      <c r="B21" s="3829" t="s">
        <v>3481</v>
      </c>
      <c r="C21" s="3829">
        <v>43</v>
      </c>
      <c r="D21" s="3829" t="s">
        <v>3503</v>
      </c>
      <c r="E21" s="3829" t="s">
        <v>3476</v>
      </c>
      <c r="F21" s="3829">
        <v>568</v>
      </c>
      <c r="G21" s="3831">
        <v>44342</v>
      </c>
      <c r="H21" s="3829">
        <v>555</v>
      </c>
      <c r="I21" s="3829">
        <v>127674</v>
      </c>
    </row>
    <row r="22" spans="1:9" hidden="1">
      <c r="A22" s="3831">
        <v>44330</v>
      </c>
      <c r="B22" s="3829" t="s">
        <v>3480</v>
      </c>
      <c r="C22" s="3829">
        <v>74</v>
      </c>
      <c r="D22" s="3829" t="s">
        <v>3507</v>
      </c>
      <c r="E22" s="3829" t="s">
        <v>3477</v>
      </c>
      <c r="F22" s="3829">
        <v>880</v>
      </c>
      <c r="G22" s="3831">
        <v>44283</v>
      </c>
      <c r="H22" s="3829">
        <v>850</v>
      </c>
      <c r="I22" s="3829">
        <v>114432</v>
      </c>
    </row>
    <row r="23" spans="1:9" hidden="1">
      <c r="A23" s="3831">
        <v>44277</v>
      </c>
      <c r="B23" s="3829" t="s">
        <v>3481</v>
      </c>
      <c r="C23" s="3829">
        <v>43</v>
      </c>
      <c r="D23" s="3829" t="s">
        <v>3497</v>
      </c>
      <c r="E23" s="3829" t="s">
        <v>3476</v>
      </c>
      <c r="F23" s="3829">
        <v>535</v>
      </c>
      <c r="G23" s="3831">
        <v>44277</v>
      </c>
      <c r="H23" s="3829">
        <v>530</v>
      </c>
      <c r="I23" s="3829">
        <v>121923</v>
      </c>
    </row>
    <row r="24" spans="1:9" hidden="1">
      <c r="A24" s="3831">
        <v>44223</v>
      </c>
      <c r="B24" s="3829" t="s">
        <v>3491</v>
      </c>
      <c r="C24" s="3829">
        <v>55</v>
      </c>
      <c r="D24" s="3829" t="s">
        <v>3490</v>
      </c>
      <c r="E24" s="3829" t="s">
        <v>3454</v>
      </c>
      <c r="F24" s="3829">
        <v>595</v>
      </c>
      <c r="G24" s="3831">
        <v>44216</v>
      </c>
      <c r="H24" s="3829">
        <v>593</v>
      </c>
      <c r="I24" s="3829">
        <v>107682</v>
      </c>
    </row>
    <row r="25" spans="1:9" hidden="1">
      <c r="A25" s="3831">
        <v>44220</v>
      </c>
      <c r="B25" s="3829" t="s">
        <v>3478</v>
      </c>
      <c r="C25" s="3829">
        <v>57</v>
      </c>
      <c r="D25" s="3829" t="s">
        <v>3482</v>
      </c>
      <c r="E25" s="3829" t="s">
        <v>3477</v>
      </c>
      <c r="F25" s="3829">
        <v>635</v>
      </c>
      <c r="G25" s="3831">
        <v>44219</v>
      </c>
      <c r="H25" s="3829">
        <v>635</v>
      </c>
      <c r="I25" s="3829">
        <v>109900</v>
      </c>
    </row>
    <row r="26" spans="1:9" hidden="1">
      <c r="A26" s="3831">
        <v>44210</v>
      </c>
      <c r="B26" s="3829" t="s">
        <v>3480</v>
      </c>
      <c r="C26" s="3829">
        <v>74</v>
      </c>
      <c r="D26" s="3829" t="s">
        <v>3493</v>
      </c>
      <c r="E26" s="3829" t="s">
        <v>3477</v>
      </c>
      <c r="F26" s="3829">
        <v>710</v>
      </c>
      <c r="G26" s="3831">
        <v>43813</v>
      </c>
      <c r="H26" s="3829">
        <v>680</v>
      </c>
      <c r="I26" s="3829">
        <v>91546</v>
      </c>
    </row>
    <row r="27" spans="1:9" hidden="1">
      <c r="A27" s="3831">
        <v>44191</v>
      </c>
      <c r="B27" s="3829" t="s">
        <v>3478</v>
      </c>
      <c r="C27" s="3829">
        <v>58</v>
      </c>
      <c r="D27" s="3829" t="s">
        <v>3508</v>
      </c>
      <c r="E27" s="3829" t="s">
        <v>3476</v>
      </c>
      <c r="F27" s="3829">
        <v>599</v>
      </c>
      <c r="G27" s="3831">
        <v>43803</v>
      </c>
      <c r="H27" s="3829">
        <v>590</v>
      </c>
      <c r="I27" s="3829">
        <v>100358</v>
      </c>
    </row>
    <row r="28" spans="1:9" hidden="1">
      <c r="A28" s="3831">
        <v>44190</v>
      </c>
      <c r="B28" s="3829" t="s">
        <v>3478</v>
      </c>
      <c r="C28" s="3829">
        <v>59</v>
      </c>
      <c r="D28" s="3829" t="s">
        <v>3509</v>
      </c>
      <c r="E28" s="3829" t="s">
        <v>3510</v>
      </c>
      <c r="F28" s="3829">
        <v>585</v>
      </c>
      <c r="G28" s="3831">
        <v>44125</v>
      </c>
      <c r="H28" s="3829">
        <v>575</v>
      </c>
      <c r="I28" s="3829">
        <v>95866</v>
      </c>
    </row>
    <row r="29" spans="1:9" hidden="1">
      <c r="A29" s="3831">
        <v>44084</v>
      </c>
      <c r="B29" s="3829" t="s">
        <v>3480</v>
      </c>
      <c r="C29" s="3829">
        <v>79</v>
      </c>
      <c r="D29" s="3829" t="s">
        <v>3508</v>
      </c>
      <c r="E29" s="3829" t="s">
        <v>3510</v>
      </c>
      <c r="F29" s="3829">
        <v>730</v>
      </c>
      <c r="G29" s="3831">
        <v>43991</v>
      </c>
      <c r="H29" s="3829">
        <v>720</v>
      </c>
      <c r="I29" s="3829">
        <v>90271</v>
      </c>
    </row>
    <row r="30" spans="1:9" hidden="1">
      <c r="A30" s="3831">
        <v>44080</v>
      </c>
      <c r="B30" s="3829" t="s">
        <v>3478</v>
      </c>
      <c r="C30" s="3829">
        <v>56</v>
      </c>
      <c r="D30" s="3829" t="s">
        <v>3511</v>
      </c>
      <c r="E30" s="3829" t="s">
        <v>3477</v>
      </c>
      <c r="F30" s="3829">
        <v>600</v>
      </c>
      <c r="G30" s="3831">
        <v>44031</v>
      </c>
      <c r="H30" s="3829">
        <v>588</v>
      </c>
      <c r="I30" s="3829">
        <v>103906</v>
      </c>
    </row>
    <row r="31" spans="1:9" hidden="1">
      <c r="A31" s="3831">
        <v>44028</v>
      </c>
      <c r="B31" s="3829" t="s">
        <v>3480</v>
      </c>
      <c r="C31" s="3829">
        <v>70</v>
      </c>
      <c r="D31" s="3829" t="s">
        <v>3492</v>
      </c>
      <c r="E31" s="3829" t="s">
        <v>3477</v>
      </c>
      <c r="F31" s="3829">
        <v>728</v>
      </c>
      <c r="G31" s="3831">
        <v>43917</v>
      </c>
      <c r="H31" s="3829">
        <v>713</v>
      </c>
      <c r="I31" s="3829">
        <v>101510</v>
      </c>
    </row>
    <row r="32" spans="1:9" hidden="1">
      <c r="A32" s="3831">
        <v>44012</v>
      </c>
      <c r="B32" s="3829" t="s">
        <v>3478</v>
      </c>
      <c r="C32" s="3829">
        <v>54</v>
      </c>
      <c r="D32" s="3829" t="s">
        <v>3492</v>
      </c>
      <c r="E32" s="3829" t="s">
        <v>3454</v>
      </c>
      <c r="F32" s="3829">
        <v>538</v>
      </c>
      <c r="G32" s="3831">
        <v>43998</v>
      </c>
      <c r="H32" s="3829">
        <v>525</v>
      </c>
      <c r="I32" s="3829">
        <v>95629</v>
      </c>
    </row>
    <row r="33" spans="1:9" hidden="1">
      <c r="A33" s="3831">
        <v>43961</v>
      </c>
      <c r="B33" s="3829" t="s">
        <v>3480</v>
      </c>
      <c r="C33" s="3829">
        <v>74</v>
      </c>
      <c r="D33" s="3829" t="s">
        <v>3508</v>
      </c>
      <c r="E33" s="3829" t="s">
        <v>3501</v>
      </c>
      <c r="F33" s="3829">
        <v>680</v>
      </c>
      <c r="G33" s="3831">
        <v>43702</v>
      </c>
      <c r="H33" s="3829">
        <v>670</v>
      </c>
      <c r="I33" s="3829">
        <v>89789</v>
      </c>
    </row>
    <row r="34" spans="1:9" hidden="1">
      <c r="A34" s="3831">
        <v>43950</v>
      </c>
      <c r="B34" s="3829" t="s">
        <v>3480</v>
      </c>
      <c r="C34" s="3829">
        <v>74</v>
      </c>
      <c r="D34" s="3829" t="s">
        <v>3508</v>
      </c>
      <c r="E34" s="3829" t="s">
        <v>3476</v>
      </c>
      <c r="F34" s="3829">
        <v>675</v>
      </c>
      <c r="G34" s="3831">
        <v>43832</v>
      </c>
      <c r="H34" s="3829">
        <v>659</v>
      </c>
      <c r="I34" s="3829">
        <v>88315</v>
      </c>
    </row>
    <row r="35" spans="1:9" hidden="1">
      <c r="A35" s="3831">
        <v>43932</v>
      </c>
      <c r="B35" s="3829" t="s">
        <v>3478</v>
      </c>
      <c r="C35" s="3829">
        <v>55</v>
      </c>
      <c r="D35" s="3829" t="s">
        <v>3490</v>
      </c>
      <c r="E35" s="3829" t="s">
        <v>3454</v>
      </c>
      <c r="F35" s="3829">
        <v>495</v>
      </c>
      <c r="G35" s="3831">
        <v>43836</v>
      </c>
      <c r="H35" s="3829">
        <v>491</v>
      </c>
      <c r="I35" s="3829">
        <v>89160</v>
      </c>
    </row>
    <row r="36" spans="1:9" hidden="1">
      <c r="A36" s="3831">
        <v>43832</v>
      </c>
      <c r="B36" s="3829" t="s">
        <v>3480</v>
      </c>
      <c r="C36" s="3829">
        <v>74</v>
      </c>
      <c r="D36" s="3829" t="s">
        <v>3509</v>
      </c>
      <c r="E36" s="3829" t="s">
        <v>3501</v>
      </c>
      <c r="F36" s="3829">
        <v>710</v>
      </c>
      <c r="G36" s="3831">
        <v>43692</v>
      </c>
      <c r="H36" s="3829">
        <v>652</v>
      </c>
      <c r="I36" s="3829">
        <v>87377</v>
      </c>
    </row>
    <row r="37" spans="1:9" hidden="1">
      <c r="A37" s="3831">
        <v>43691</v>
      </c>
      <c r="B37" s="3829" t="s">
        <v>3481</v>
      </c>
      <c r="C37" s="3829">
        <v>43</v>
      </c>
      <c r="D37" s="3829" t="s">
        <v>3508</v>
      </c>
      <c r="E37" s="3829" t="s">
        <v>3476</v>
      </c>
      <c r="F37" s="3829">
        <v>450</v>
      </c>
      <c r="G37" s="3831">
        <v>43616</v>
      </c>
      <c r="H37" s="3829">
        <v>430</v>
      </c>
      <c r="I37" s="3829">
        <v>98919</v>
      </c>
    </row>
    <row r="38" spans="1:9" hidden="1">
      <c r="A38" s="3831">
        <v>43613</v>
      </c>
      <c r="B38" s="3829" t="s">
        <v>3478</v>
      </c>
      <c r="C38" s="3829">
        <v>59</v>
      </c>
      <c r="D38" s="3829" t="s">
        <v>3509</v>
      </c>
      <c r="E38" s="3829" t="s">
        <v>3510</v>
      </c>
      <c r="F38" s="3829">
        <v>580</v>
      </c>
      <c r="G38" s="3831">
        <v>43597</v>
      </c>
      <c r="H38" s="3829">
        <v>542</v>
      </c>
      <c r="I38" s="3829">
        <v>90364</v>
      </c>
    </row>
    <row r="39" spans="1:9" hidden="1">
      <c r="A39" s="3831">
        <v>43612</v>
      </c>
      <c r="B39" s="3829" t="s">
        <v>3478</v>
      </c>
      <c r="C39" s="3829">
        <v>54</v>
      </c>
      <c r="D39" s="3829" t="s">
        <v>3492</v>
      </c>
      <c r="E39" s="3829" t="s">
        <v>3454</v>
      </c>
      <c r="F39" s="3829">
        <v>530</v>
      </c>
      <c r="G39" s="3831">
        <v>43576</v>
      </c>
      <c r="H39" s="3829">
        <v>522</v>
      </c>
      <c r="I39" s="3829">
        <v>95082</v>
      </c>
    </row>
    <row r="40" spans="1:9" hidden="1">
      <c r="A40" s="3831">
        <v>43584</v>
      </c>
      <c r="B40" s="3829" t="s">
        <v>3478</v>
      </c>
      <c r="C40" s="3829">
        <v>55</v>
      </c>
      <c r="D40" s="3829" t="s">
        <v>3498</v>
      </c>
      <c r="E40" s="3829" t="s">
        <v>3454</v>
      </c>
      <c r="F40" s="3829">
        <v>510</v>
      </c>
      <c r="G40" s="3831">
        <v>43566</v>
      </c>
      <c r="H40" s="3829">
        <v>480</v>
      </c>
      <c r="I40" s="3829">
        <v>87162</v>
      </c>
    </row>
    <row r="41" spans="1:9" hidden="1">
      <c r="A41" s="3831">
        <v>43577</v>
      </c>
      <c r="B41" s="3829" t="s">
        <v>3481</v>
      </c>
      <c r="C41" s="3829">
        <v>43</v>
      </c>
      <c r="D41" s="3829" t="s">
        <v>3512</v>
      </c>
      <c r="E41" s="3829" t="s">
        <v>3510</v>
      </c>
      <c r="F41" s="3829">
        <v>480</v>
      </c>
      <c r="G41" s="3831">
        <v>43563</v>
      </c>
      <c r="H41" s="3829">
        <v>455</v>
      </c>
      <c r="I41" s="3829">
        <v>104670</v>
      </c>
    </row>
    <row r="42" spans="1:9" hidden="1">
      <c r="A42" s="3831">
        <v>43547</v>
      </c>
      <c r="B42" s="3829" t="s">
        <v>3480</v>
      </c>
      <c r="C42" s="3829">
        <v>56</v>
      </c>
      <c r="D42" s="3829" t="s">
        <v>3490</v>
      </c>
      <c r="E42" s="3829" t="s">
        <v>3477</v>
      </c>
      <c r="F42" s="3829">
        <v>525</v>
      </c>
      <c r="G42" s="3831">
        <v>43334</v>
      </c>
      <c r="H42" s="3829">
        <v>515</v>
      </c>
      <c r="I42" s="3829">
        <v>91006</v>
      </c>
    </row>
    <row r="43" spans="1:9" hidden="1">
      <c r="A43" s="3831">
        <v>43535</v>
      </c>
      <c r="B43" s="3829" t="s">
        <v>3480</v>
      </c>
      <c r="C43" s="3829">
        <v>79</v>
      </c>
      <c r="D43" s="3829" t="s">
        <v>3509</v>
      </c>
      <c r="E43" s="3829" t="s">
        <v>3501</v>
      </c>
      <c r="F43" s="3829">
        <v>708</v>
      </c>
      <c r="G43" s="3831">
        <v>43162</v>
      </c>
      <c r="H43" s="3829">
        <v>695</v>
      </c>
      <c r="I43" s="3829">
        <v>87137</v>
      </c>
    </row>
    <row r="44" spans="1:9" hidden="1">
      <c r="A44" s="3831">
        <v>43425</v>
      </c>
      <c r="B44" s="3829" t="s">
        <v>3480</v>
      </c>
      <c r="C44" s="3829">
        <v>79</v>
      </c>
      <c r="D44" s="3829" t="s">
        <v>3513</v>
      </c>
      <c r="E44" s="3829" t="s">
        <v>3501</v>
      </c>
      <c r="F44" s="3829">
        <v>655</v>
      </c>
      <c r="G44" s="3831">
        <v>43356</v>
      </c>
      <c r="H44" s="3829">
        <v>650</v>
      </c>
      <c r="I44" s="3829">
        <v>81495</v>
      </c>
    </row>
    <row r="45" spans="1:9" hidden="1">
      <c r="A45" s="3831">
        <v>43416</v>
      </c>
      <c r="B45" s="3829" t="s">
        <v>3478</v>
      </c>
      <c r="C45" s="3829">
        <v>86</v>
      </c>
      <c r="D45" s="3829" t="s">
        <v>3509</v>
      </c>
      <c r="E45" s="3829" t="s">
        <v>3510</v>
      </c>
      <c r="F45" s="3829">
        <v>660</v>
      </c>
      <c r="G45" s="3831">
        <v>43216</v>
      </c>
      <c r="H45" s="3829">
        <v>651</v>
      </c>
      <c r="I45" s="3829">
        <v>75009</v>
      </c>
    </row>
    <row r="46" spans="1:9" hidden="1">
      <c r="A46" s="3831">
        <v>43400</v>
      </c>
      <c r="B46" s="3829" t="s">
        <v>3481</v>
      </c>
      <c r="C46" s="3829">
        <v>40</v>
      </c>
      <c r="D46" s="3829" t="s">
        <v>3485</v>
      </c>
      <c r="E46" s="3829" t="s">
        <v>3454</v>
      </c>
      <c r="F46" s="3829">
        <v>460</v>
      </c>
      <c r="G46" s="3831">
        <v>43379</v>
      </c>
      <c r="H46" s="3829">
        <v>430</v>
      </c>
      <c r="I46" s="3829">
        <v>105574</v>
      </c>
    </row>
    <row r="47" spans="1:9" hidden="1">
      <c r="A47" s="3831">
        <v>43384</v>
      </c>
      <c r="B47" s="3829" t="s">
        <v>3481</v>
      </c>
      <c r="C47" s="3829">
        <v>38</v>
      </c>
      <c r="D47" s="3829" t="s">
        <v>3494</v>
      </c>
      <c r="E47" s="3829" t="s">
        <v>3454</v>
      </c>
      <c r="F47" s="3829">
        <v>395</v>
      </c>
      <c r="G47" s="3831">
        <v>43183</v>
      </c>
      <c r="H47" s="3829">
        <v>380</v>
      </c>
      <c r="I47" s="3829">
        <v>99948</v>
      </c>
    </row>
    <row r="48" spans="1:9" hidden="1">
      <c r="A48" s="3831">
        <v>43354</v>
      </c>
      <c r="B48" s="3829" t="s">
        <v>3478</v>
      </c>
      <c r="C48" s="3829">
        <v>58</v>
      </c>
      <c r="D48" s="3829" t="s">
        <v>3509</v>
      </c>
      <c r="E48" s="3829" t="s">
        <v>3510</v>
      </c>
      <c r="F48" s="3829">
        <v>555</v>
      </c>
      <c r="G48" s="3831">
        <v>43323</v>
      </c>
      <c r="H48" s="3829">
        <v>539</v>
      </c>
      <c r="I48" s="3829">
        <v>91683</v>
      </c>
    </row>
    <row r="49" spans="1:9" hidden="1">
      <c r="A49" s="3831">
        <v>43312</v>
      </c>
      <c r="B49" s="3829" t="s">
        <v>3480</v>
      </c>
      <c r="C49" s="3829">
        <v>56</v>
      </c>
      <c r="D49" s="3829" t="s">
        <v>3492</v>
      </c>
      <c r="E49" s="3829" t="s">
        <v>3477</v>
      </c>
      <c r="F49" s="3829">
        <v>560</v>
      </c>
      <c r="G49" s="3831">
        <v>43262</v>
      </c>
      <c r="H49" s="3829">
        <v>537</v>
      </c>
      <c r="I49" s="3829">
        <v>95000</v>
      </c>
    </row>
    <row r="50" spans="1:9" hidden="1">
      <c r="A50" s="3831">
        <v>43245</v>
      </c>
      <c r="B50" s="3829" t="s">
        <v>3480</v>
      </c>
      <c r="C50" s="3829">
        <v>74</v>
      </c>
      <c r="D50" s="3829" t="s">
        <v>3509</v>
      </c>
      <c r="E50" s="3829" t="s">
        <v>3510</v>
      </c>
      <c r="F50" s="3829">
        <v>690</v>
      </c>
      <c r="G50" s="3831">
        <v>43231</v>
      </c>
      <c r="H50" s="3829">
        <v>666</v>
      </c>
      <c r="I50" s="3829">
        <v>89253</v>
      </c>
    </row>
    <row r="51" spans="1:9" hidden="1">
      <c r="A51" s="3831">
        <v>43218</v>
      </c>
      <c r="B51" s="3829" t="s">
        <v>3480</v>
      </c>
      <c r="C51" s="3829">
        <v>56</v>
      </c>
      <c r="D51" s="3829" t="s">
        <v>3492</v>
      </c>
      <c r="E51" s="3829" t="s">
        <v>3477</v>
      </c>
      <c r="F51" s="3829">
        <v>565</v>
      </c>
      <c r="G51" s="3831">
        <v>43049</v>
      </c>
      <c r="H51" s="3829">
        <v>510</v>
      </c>
      <c r="I51" s="3829">
        <v>89853</v>
      </c>
    </row>
    <row r="52" spans="1:9" hidden="1">
      <c r="A52" s="3831">
        <v>43215</v>
      </c>
      <c r="B52" s="3829" t="s">
        <v>3480</v>
      </c>
      <c r="C52" s="3829">
        <v>79</v>
      </c>
      <c r="D52" s="3829" t="s">
        <v>3508</v>
      </c>
      <c r="E52" s="3829" t="s">
        <v>3510</v>
      </c>
      <c r="F52" s="3829">
        <v>720</v>
      </c>
      <c r="G52" s="3831">
        <v>43161</v>
      </c>
      <c r="H52" s="3829">
        <v>680</v>
      </c>
      <c r="I52" s="3829">
        <v>85256</v>
      </c>
    </row>
    <row r="53" spans="1:9" hidden="1">
      <c r="A53" s="3831">
        <v>42931</v>
      </c>
      <c r="B53" s="3829" t="s">
        <v>3480</v>
      </c>
      <c r="C53" s="3829">
        <v>76</v>
      </c>
      <c r="D53" s="3829" t="s">
        <v>3488</v>
      </c>
      <c r="E53" s="3829" t="s">
        <v>3477</v>
      </c>
      <c r="F53" s="3829">
        <v>725</v>
      </c>
      <c r="G53" s="3831">
        <v>42931</v>
      </c>
      <c r="H53" s="3829">
        <v>695</v>
      </c>
      <c r="I53" s="3829">
        <v>90945</v>
      </c>
    </row>
    <row r="54" spans="1:9" hidden="1">
      <c r="A54" s="3831">
        <v>42711</v>
      </c>
      <c r="B54" s="3829" t="s">
        <v>3480</v>
      </c>
      <c r="C54" s="3829">
        <v>70</v>
      </c>
      <c r="D54" s="3829" t="s">
        <v>3490</v>
      </c>
      <c r="E54" s="3829" t="s">
        <v>3477</v>
      </c>
      <c r="F54" s="3829">
        <v>567</v>
      </c>
      <c r="G54" s="3831">
        <v>42616</v>
      </c>
      <c r="H54" s="3829">
        <v>553</v>
      </c>
      <c r="I54" s="3829">
        <v>78731</v>
      </c>
    </row>
    <row r="55" spans="1:9" hidden="1">
      <c r="A55" s="3831">
        <v>42680</v>
      </c>
      <c r="B55" s="3829" t="s">
        <v>3478</v>
      </c>
      <c r="C55" s="3829">
        <v>55</v>
      </c>
      <c r="D55" s="3829" t="s">
        <v>3492</v>
      </c>
      <c r="E55" s="3829" t="s">
        <v>3454</v>
      </c>
      <c r="F55" s="3829">
        <v>480</v>
      </c>
      <c r="G55" s="3831">
        <v>42638</v>
      </c>
      <c r="H55" s="3829">
        <v>467</v>
      </c>
      <c r="I55" s="3829">
        <v>84802</v>
      </c>
    </row>
    <row r="56" spans="1:9" hidden="1">
      <c r="A56" s="3831">
        <v>42638</v>
      </c>
      <c r="B56" s="3829" t="s">
        <v>3478</v>
      </c>
      <c r="C56" s="3829">
        <v>59</v>
      </c>
      <c r="D56" s="3829" t="s">
        <v>3512</v>
      </c>
      <c r="E56" s="3829" t="s">
        <v>3476</v>
      </c>
      <c r="F56" s="3829">
        <v>470</v>
      </c>
      <c r="G56" s="3831">
        <v>42629</v>
      </c>
      <c r="H56" s="3829">
        <v>462</v>
      </c>
      <c r="I56" s="3829">
        <v>77026</v>
      </c>
    </row>
    <row r="57" spans="1:9" hidden="1">
      <c r="A57" s="3831">
        <v>42488</v>
      </c>
      <c r="B57" s="3829" t="s">
        <v>3480</v>
      </c>
      <c r="C57" s="3829">
        <v>56</v>
      </c>
      <c r="D57" s="3829" t="s">
        <v>3492</v>
      </c>
      <c r="E57" s="3829" t="s">
        <v>3477</v>
      </c>
      <c r="F57" s="3829">
        <v>390</v>
      </c>
      <c r="G57" s="3831">
        <v>42488</v>
      </c>
      <c r="H57" s="3829">
        <v>385</v>
      </c>
      <c r="I57" s="3829">
        <v>67830</v>
      </c>
    </row>
    <row r="58" spans="1:9" hidden="1">
      <c r="A58" s="3831">
        <v>42470</v>
      </c>
      <c r="B58" s="3829" t="s">
        <v>3478</v>
      </c>
      <c r="C58" s="3829">
        <v>55</v>
      </c>
      <c r="D58" s="3829" t="s">
        <v>3492</v>
      </c>
      <c r="E58" s="3829" t="s">
        <v>3454</v>
      </c>
      <c r="F58" s="3829">
        <v>375</v>
      </c>
      <c r="G58" s="3831">
        <v>42470</v>
      </c>
      <c r="H58" s="3829">
        <v>374</v>
      </c>
      <c r="I58" s="3829">
        <v>67914</v>
      </c>
    </row>
    <row r="59" spans="1:9" hidden="1">
      <c r="A59" s="3831">
        <v>42386</v>
      </c>
      <c r="B59" s="3829" t="s">
        <v>3480</v>
      </c>
      <c r="C59" s="3829">
        <v>70</v>
      </c>
      <c r="D59" s="3829" t="s">
        <v>3490</v>
      </c>
      <c r="E59" s="3829" t="s">
        <v>3477</v>
      </c>
      <c r="F59" s="3829">
        <v>410</v>
      </c>
      <c r="G59" s="3831">
        <v>42386</v>
      </c>
      <c r="H59" s="3829">
        <v>370</v>
      </c>
      <c r="I59" s="3829">
        <v>52677</v>
      </c>
    </row>
    <row r="60" spans="1:9" hidden="1">
      <c r="A60" s="3831">
        <v>42358</v>
      </c>
      <c r="B60" s="3829" t="s">
        <v>3480</v>
      </c>
      <c r="C60" s="3829">
        <v>74</v>
      </c>
      <c r="D60" s="3829" t="s">
        <v>3508</v>
      </c>
      <c r="E60" s="3829" t="s">
        <v>3486</v>
      </c>
      <c r="F60" s="3829">
        <v>415</v>
      </c>
      <c r="G60" s="3831">
        <v>42358</v>
      </c>
      <c r="H60" s="3829">
        <v>419</v>
      </c>
      <c r="I60" s="3829">
        <v>56152</v>
      </c>
    </row>
    <row r="61" spans="1:9" hidden="1">
      <c r="A61" s="3831">
        <v>42358</v>
      </c>
      <c r="B61" s="3829" t="s">
        <v>3480</v>
      </c>
      <c r="C61" s="3829">
        <v>79</v>
      </c>
      <c r="D61" s="3829" t="s">
        <v>3509</v>
      </c>
      <c r="E61" s="3829" t="s">
        <v>3486</v>
      </c>
      <c r="F61" s="3829">
        <v>450</v>
      </c>
      <c r="G61" s="3831">
        <v>42358</v>
      </c>
      <c r="H61" s="3829">
        <v>448</v>
      </c>
      <c r="I61" s="3829">
        <v>56169</v>
      </c>
    </row>
    <row r="62" spans="1:9" hidden="1">
      <c r="A62" s="3831">
        <v>42344</v>
      </c>
      <c r="B62" s="3829" t="s">
        <v>3478</v>
      </c>
      <c r="C62" s="3829">
        <v>63</v>
      </c>
      <c r="D62" s="3829" t="s">
        <v>3509</v>
      </c>
      <c r="E62" s="3829" t="s">
        <v>3486</v>
      </c>
      <c r="F62" s="3829">
        <v>338</v>
      </c>
      <c r="G62" s="3831">
        <v>42344</v>
      </c>
      <c r="H62" s="3829">
        <v>332</v>
      </c>
      <c r="I62" s="3829">
        <v>52399</v>
      </c>
    </row>
    <row r="63" spans="1:9" hidden="1">
      <c r="A63" s="3831">
        <v>42251</v>
      </c>
      <c r="B63" s="3829" t="s">
        <v>3478</v>
      </c>
      <c r="C63" s="3829">
        <v>63</v>
      </c>
      <c r="D63" s="3829" t="s">
        <v>3509</v>
      </c>
      <c r="E63" s="3829" t="s">
        <v>3486</v>
      </c>
      <c r="F63" s="3829">
        <v>300</v>
      </c>
      <c r="G63" s="3831">
        <v>42252</v>
      </c>
      <c r="H63" s="3829">
        <v>295</v>
      </c>
      <c r="I63" s="3829">
        <v>46560</v>
      </c>
    </row>
    <row r="64" spans="1:9" hidden="1">
      <c r="A64" s="3831">
        <v>42184</v>
      </c>
      <c r="B64" s="3829" t="s">
        <v>3478</v>
      </c>
      <c r="C64" s="3829">
        <v>56</v>
      </c>
      <c r="D64" s="3829" t="s">
        <v>3490</v>
      </c>
      <c r="E64" s="3829" t="s">
        <v>3477</v>
      </c>
      <c r="F64" s="3829">
        <v>273</v>
      </c>
      <c r="G64" s="3831">
        <v>42184</v>
      </c>
      <c r="H64" s="3829">
        <v>270</v>
      </c>
      <c r="I64" s="3829">
        <v>47712</v>
      </c>
    </row>
    <row r="65" spans="1:9" hidden="1">
      <c r="A65" s="3831">
        <v>42168</v>
      </c>
      <c r="B65" s="3829" t="s">
        <v>3480</v>
      </c>
      <c r="C65" s="3829">
        <v>84</v>
      </c>
      <c r="D65" s="3829" t="s">
        <v>3509</v>
      </c>
      <c r="E65" s="3829" t="s">
        <v>3486</v>
      </c>
      <c r="F65" s="3829">
        <v>420</v>
      </c>
      <c r="G65" s="3831">
        <v>42168</v>
      </c>
      <c r="H65" s="3829">
        <v>403</v>
      </c>
      <c r="I65" s="3829">
        <v>47710</v>
      </c>
    </row>
    <row r="66" spans="1:9" hidden="1">
      <c r="A66" s="3831">
        <v>42148</v>
      </c>
      <c r="B66" s="3829" t="s">
        <v>3478</v>
      </c>
      <c r="C66" s="3829">
        <v>59</v>
      </c>
      <c r="D66" s="3829" t="s">
        <v>3509</v>
      </c>
      <c r="E66" s="3829" t="s">
        <v>3476</v>
      </c>
      <c r="F66" s="3829">
        <v>278</v>
      </c>
      <c r="G66" s="3831">
        <v>42149</v>
      </c>
      <c r="H66" s="3829">
        <v>278</v>
      </c>
      <c r="I66" s="3829">
        <v>46349</v>
      </c>
    </row>
    <row r="67" spans="1:9" hidden="1">
      <c r="A67" s="3831">
        <v>42078</v>
      </c>
      <c r="B67" s="3829" t="s">
        <v>3478</v>
      </c>
      <c r="C67" s="3829">
        <v>60</v>
      </c>
      <c r="D67" s="3829" t="s">
        <v>3488</v>
      </c>
      <c r="E67" s="3829" t="s">
        <v>3477</v>
      </c>
      <c r="F67" s="3829">
        <v>310</v>
      </c>
      <c r="G67" s="3831">
        <v>42078</v>
      </c>
      <c r="H67" s="3829">
        <v>303</v>
      </c>
      <c r="I67" s="3829">
        <v>50091</v>
      </c>
    </row>
    <row r="68" spans="1:9" hidden="1">
      <c r="A68" s="3831">
        <v>42077</v>
      </c>
      <c r="B68" s="3829" t="s">
        <v>3480</v>
      </c>
      <c r="C68" s="3829">
        <v>56</v>
      </c>
      <c r="D68" s="3829" t="s">
        <v>3490</v>
      </c>
      <c r="E68" s="3829" t="s">
        <v>3477</v>
      </c>
      <c r="F68" s="3829">
        <v>266</v>
      </c>
      <c r="G68" s="3831">
        <v>42078</v>
      </c>
      <c r="H68" s="3829">
        <v>266</v>
      </c>
      <c r="I68" s="3829">
        <v>47005</v>
      </c>
    </row>
    <row r="69" spans="1:9" hidden="1">
      <c r="A69" s="3831">
        <v>42021</v>
      </c>
      <c r="B69" s="3829" t="s">
        <v>3478</v>
      </c>
      <c r="C69" s="3829">
        <v>56</v>
      </c>
      <c r="D69" s="3829" t="s">
        <v>3492</v>
      </c>
      <c r="E69" s="3829" t="s">
        <v>3477</v>
      </c>
      <c r="F69" s="3829">
        <v>270</v>
      </c>
      <c r="G69" s="3831">
        <v>42022</v>
      </c>
      <c r="H69" s="3829">
        <v>270</v>
      </c>
      <c r="I69" s="3829">
        <v>47712</v>
      </c>
    </row>
    <row r="70" spans="1:9" hidden="1">
      <c r="A70" s="3831">
        <v>42010</v>
      </c>
      <c r="B70" s="3829" t="s">
        <v>3478</v>
      </c>
      <c r="C70" s="3829">
        <v>59</v>
      </c>
      <c r="D70" s="3829" t="s">
        <v>3508</v>
      </c>
      <c r="E70" s="3829" t="s">
        <v>3486</v>
      </c>
      <c r="F70" s="3829">
        <v>256</v>
      </c>
      <c r="G70" s="3831">
        <v>42010</v>
      </c>
      <c r="H70" s="3829">
        <v>252</v>
      </c>
      <c r="I70" s="3829">
        <v>42098</v>
      </c>
    </row>
    <row r="71" spans="1:9" hidden="1">
      <c r="A71" s="3831">
        <v>42008</v>
      </c>
      <c r="B71" s="3829" t="s">
        <v>3481</v>
      </c>
      <c r="C71" s="3829">
        <v>40</v>
      </c>
      <c r="D71" s="3829" t="s">
        <v>3492</v>
      </c>
      <c r="E71" s="3829" t="s">
        <v>3477</v>
      </c>
      <c r="F71" s="3829">
        <v>220</v>
      </c>
      <c r="G71" s="3831">
        <v>42009</v>
      </c>
      <c r="H71" s="3829">
        <v>210</v>
      </c>
      <c r="I71" s="3829">
        <v>52317</v>
      </c>
    </row>
    <row r="72" spans="1:9" hidden="1">
      <c r="A72" s="3831">
        <v>41962</v>
      </c>
      <c r="B72" s="3829" t="s">
        <v>3478</v>
      </c>
      <c r="C72" s="3829">
        <v>55</v>
      </c>
      <c r="D72" s="3829" t="s">
        <v>3492</v>
      </c>
      <c r="E72" s="3829" t="s">
        <v>3454</v>
      </c>
      <c r="F72" s="3829">
        <v>265</v>
      </c>
      <c r="G72" s="3831">
        <v>41965</v>
      </c>
      <c r="H72" s="3829">
        <v>265</v>
      </c>
      <c r="I72" s="3829">
        <v>48121</v>
      </c>
    </row>
    <row r="73" spans="1:9" hidden="1">
      <c r="A73" s="3831">
        <v>41929</v>
      </c>
      <c r="B73" s="3829" t="s">
        <v>3478</v>
      </c>
      <c r="C73" s="3829">
        <v>60</v>
      </c>
      <c r="D73" s="3829" t="s">
        <v>3488</v>
      </c>
      <c r="E73" s="3829" t="s">
        <v>3477</v>
      </c>
      <c r="F73" s="3829">
        <v>298</v>
      </c>
      <c r="G73" s="3831">
        <v>41936</v>
      </c>
      <c r="H73" s="3829">
        <v>298</v>
      </c>
      <c r="I73" s="3829">
        <v>49265</v>
      </c>
    </row>
    <row r="74" spans="1:9" hidden="1">
      <c r="A74" s="3831">
        <v>41897</v>
      </c>
      <c r="B74" s="3829" t="s">
        <v>3478</v>
      </c>
      <c r="C74" s="3829">
        <v>61</v>
      </c>
      <c r="D74" s="3829" t="s">
        <v>3512</v>
      </c>
      <c r="E74" s="3829" t="s">
        <v>3486</v>
      </c>
      <c r="F74" s="3829">
        <v>263</v>
      </c>
      <c r="G74" s="3831">
        <v>41899</v>
      </c>
      <c r="H74" s="3829">
        <v>263</v>
      </c>
      <c r="I74" s="3829">
        <v>42654</v>
      </c>
    </row>
    <row r="75" spans="1:9" hidden="1">
      <c r="A75" s="3831">
        <v>41892</v>
      </c>
      <c r="B75" s="3829" t="s">
        <v>3481</v>
      </c>
      <c r="C75" s="3829">
        <v>43</v>
      </c>
      <c r="D75" s="3829" t="s">
        <v>3509</v>
      </c>
      <c r="E75" s="3829" t="s">
        <v>3486</v>
      </c>
      <c r="F75" s="3829">
        <v>198</v>
      </c>
      <c r="G75" s="3831">
        <v>41901</v>
      </c>
      <c r="H75" s="3829">
        <v>198</v>
      </c>
      <c r="I75" s="3829">
        <v>45549</v>
      </c>
    </row>
    <row r="76" spans="1:9" hidden="1">
      <c r="A76" s="3831">
        <v>41874</v>
      </c>
      <c r="B76" s="3829" t="s">
        <v>3478</v>
      </c>
      <c r="C76" s="3829">
        <v>59</v>
      </c>
      <c r="D76" s="3829" t="s">
        <v>3508</v>
      </c>
      <c r="E76" s="3829" t="s">
        <v>3486</v>
      </c>
      <c r="F76" s="3829">
        <v>290</v>
      </c>
      <c r="G76" s="3831">
        <v>41876</v>
      </c>
      <c r="H76" s="3829">
        <v>265</v>
      </c>
      <c r="I76" s="3829">
        <v>44182</v>
      </c>
    </row>
    <row r="77" spans="1:9" hidden="1">
      <c r="A77" s="3831">
        <v>41831</v>
      </c>
      <c r="B77" s="3829" t="s">
        <v>3478</v>
      </c>
      <c r="C77" s="3829">
        <v>60</v>
      </c>
      <c r="D77" s="3829" t="s">
        <v>3488</v>
      </c>
      <c r="E77" s="3829" t="s">
        <v>3477</v>
      </c>
      <c r="F77" s="3829">
        <v>275</v>
      </c>
      <c r="G77" s="3831">
        <v>41832</v>
      </c>
      <c r="H77" s="3829">
        <v>268</v>
      </c>
      <c r="I77" s="3829">
        <v>44305</v>
      </c>
    </row>
    <row r="78" spans="1:9">
      <c r="A78" s="3843">
        <v>41365</v>
      </c>
      <c r="B78" s="3844" t="s">
        <v>3478</v>
      </c>
      <c r="C78" s="3844">
        <v>61</v>
      </c>
      <c r="D78" s="3844" t="s">
        <v>3509</v>
      </c>
      <c r="E78" s="3844" t="s">
        <v>3476</v>
      </c>
      <c r="F78" s="3844">
        <v>290</v>
      </c>
      <c r="G78" s="3843">
        <v>41367</v>
      </c>
      <c r="H78" s="3844">
        <v>285</v>
      </c>
      <c r="I78" s="3844">
        <v>46222</v>
      </c>
    </row>
    <row r="79" spans="1:9">
      <c r="A79" s="3831">
        <v>41328</v>
      </c>
      <c r="B79" s="3829" t="s">
        <v>3481</v>
      </c>
      <c r="C79" s="3829">
        <v>61</v>
      </c>
      <c r="D79" s="3829" t="s">
        <v>3513</v>
      </c>
      <c r="E79" s="3829" t="s">
        <v>3486</v>
      </c>
      <c r="F79" s="3829">
        <v>190</v>
      </c>
      <c r="G79" s="3831">
        <v>41328</v>
      </c>
      <c r="H79" s="3829">
        <v>190</v>
      </c>
      <c r="I79" s="3829">
        <v>31092</v>
      </c>
    </row>
    <row r="80" spans="1:9">
      <c r="A80" s="3831">
        <v>41261</v>
      </c>
      <c r="B80" s="3829" t="s">
        <v>3480</v>
      </c>
      <c r="C80" s="3829">
        <v>79</v>
      </c>
      <c r="D80" s="3829" t="s">
        <v>3508</v>
      </c>
      <c r="E80" s="3829" t="s">
        <v>3486</v>
      </c>
      <c r="F80" s="3829">
        <v>315</v>
      </c>
      <c r="G80" s="3831">
        <v>41262</v>
      </c>
      <c r="H80" s="3829">
        <v>309</v>
      </c>
      <c r="I80" s="3829">
        <v>38742</v>
      </c>
    </row>
    <row r="81" spans="1:9">
      <c r="A81" s="3831">
        <v>41195</v>
      </c>
      <c r="B81" s="3829" t="s">
        <v>3478</v>
      </c>
      <c r="C81" s="3829">
        <v>58</v>
      </c>
      <c r="D81" s="3829" t="s">
        <v>3488</v>
      </c>
      <c r="E81" s="3829" t="s">
        <v>3477</v>
      </c>
      <c r="F81" s="3829">
        <v>230</v>
      </c>
      <c r="G81" s="3831">
        <v>41197</v>
      </c>
      <c r="H81" s="3829">
        <v>223</v>
      </c>
      <c r="I81" s="3829">
        <v>37913</v>
      </c>
    </row>
    <row r="82" spans="1:9">
      <c r="A82" s="3831">
        <v>41153</v>
      </c>
      <c r="B82" s="3829" t="s">
        <v>3478</v>
      </c>
      <c r="C82" s="3829">
        <v>58</v>
      </c>
      <c r="D82" s="3829" t="s">
        <v>3508</v>
      </c>
      <c r="E82" s="3829" t="s">
        <v>3486</v>
      </c>
      <c r="F82" s="3829">
        <v>190</v>
      </c>
      <c r="G82" s="3831">
        <v>41155</v>
      </c>
      <c r="H82" s="3829">
        <v>189</v>
      </c>
      <c r="I82" s="3829">
        <v>32149</v>
      </c>
    </row>
    <row r="83" spans="1:9">
      <c r="A83" s="3831">
        <v>41111</v>
      </c>
      <c r="B83" s="3829" t="s">
        <v>3478</v>
      </c>
      <c r="C83" s="3829">
        <v>56</v>
      </c>
      <c r="D83" s="3829" t="s">
        <v>3492</v>
      </c>
      <c r="E83" s="3829" t="s">
        <v>3477</v>
      </c>
      <c r="F83" s="3829">
        <v>215</v>
      </c>
      <c r="G83" s="3831">
        <v>41112</v>
      </c>
      <c r="H83" s="3829">
        <v>210</v>
      </c>
      <c r="I83" s="3829">
        <v>36998</v>
      </c>
    </row>
    <row r="84" spans="1:9">
      <c r="A84" s="3831">
        <v>41106</v>
      </c>
      <c r="B84" s="3829" t="s">
        <v>3478</v>
      </c>
      <c r="C84" s="3829">
        <v>58</v>
      </c>
      <c r="D84" s="3829" t="s">
        <v>3508</v>
      </c>
      <c r="E84" s="3829" t="s">
        <v>3486</v>
      </c>
      <c r="F84" s="3829">
        <v>189</v>
      </c>
      <c r="G84" s="3831">
        <v>41108</v>
      </c>
      <c r="H84" s="3829">
        <v>186</v>
      </c>
      <c r="I84" s="3829">
        <v>31639</v>
      </c>
    </row>
    <row r="85" spans="1:9">
      <c r="A85" s="3831">
        <v>41100</v>
      </c>
      <c r="B85" s="3829" t="s">
        <v>3481</v>
      </c>
      <c r="C85" s="3829">
        <v>41</v>
      </c>
      <c r="D85" s="3829" t="s">
        <v>3489</v>
      </c>
      <c r="E85" s="3829" t="s">
        <v>3454</v>
      </c>
      <c r="F85" s="3829">
        <v>150</v>
      </c>
      <c r="G85" s="3831">
        <v>41103</v>
      </c>
      <c r="H85" s="3829">
        <v>149</v>
      </c>
      <c r="I85" s="3829">
        <v>36342</v>
      </c>
    </row>
    <row r="86" spans="1:9">
      <c r="A86" s="3831">
        <v>41093</v>
      </c>
      <c r="B86" s="3829" t="s">
        <v>3478</v>
      </c>
      <c r="C86" s="3829">
        <v>56</v>
      </c>
      <c r="D86" s="3829" t="s">
        <v>3492</v>
      </c>
      <c r="E86" s="3829" t="s">
        <v>3477</v>
      </c>
      <c r="F86" s="3829">
        <v>225</v>
      </c>
      <c r="G86" s="3831">
        <v>41096</v>
      </c>
      <c r="H86" s="3829">
        <v>220</v>
      </c>
      <c r="I86" s="3829">
        <v>38760</v>
      </c>
    </row>
    <row r="87" spans="1:9">
      <c r="A87" s="3831">
        <v>40979</v>
      </c>
      <c r="B87" s="3829" t="s">
        <v>3478</v>
      </c>
      <c r="C87" s="3829">
        <v>54</v>
      </c>
      <c r="D87" s="3829" t="s">
        <v>3494</v>
      </c>
      <c r="E87" s="3829" t="s">
        <v>3477</v>
      </c>
      <c r="F87" s="3829">
        <v>170</v>
      </c>
      <c r="G87" s="3831">
        <v>40981</v>
      </c>
      <c r="H87" s="3829">
        <v>165</v>
      </c>
      <c r="I87" s="3829">
        <v>30006</v>
      </c>
    </row>
    <row r="88" spans="1:9">
      <c r="A88" s="3831">
        <v>40861</v>
      </c>
      <c r="B88" s="3829" t="s">
        <v>3478</v>
      </c>
      <c r="C88" s="3829">
        <v>63</v>
      </c>
      <c r="D88" s="3829" t="s">
        <v>3508</v>
      </c>
      <c r="E88" s="3829" t="s">
        <v>3486</v>
      </c>
      <c r="F88" s="3829">
        <v>185</v>
      </c>
      <c r="G88" s="3831">
        <v>40861</v>
      </c>
      <c r="H88" s="3829">
        <v>177</v>
      </c>
      <c r="I88" s="3829">
        <v>27936</v>
      </c>
    </row>
  </sheetData>
  <phoneticPr fontId="136" type="noConversion"/>
  <pageMargins left="0.75" right="0.75" top="1" bottom="1" header="0.5" footer="0.5"/>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56.19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29" t="s">
        <v>1771</v>
      </c>
      <c r="AC4" s="3710" t="s">
        <v>1772</v>
      </c>
    </row>
    <row r="5" spans="1:29">
      <c r="A5" s="358"/>
      <c r="B5" s="359"/>
      <c r="C5" s="3744" t="s">
        <v>1673</v>
      </c>
      <c r="D5" s="3738"/>
      <c r="E5" s="3746" t="s">
        <v>1674</v>
      </c>
      <c r="F5" s="3747"/>
      <c r="G5" s="3744" t="s">
        <v>1675</v>
      </c>
      <c r="H5" s="3738"/>
      <c r="I5" s="3744" t="s">
        <v>1676</v>
      </c>
      <c r="J5" s="3738"/>
      <c r="K5" s="559"/>
      <c r="L5" s="2715"/>
      <c r="M5" s="2716"/>
      <c r="N5" s="2716"/>
      <c r="O5" s="2716"/>
      <c r="P5" s="3719"/>
      <c r="Q5" s="3720"/>
      <c r="R5" s="3725"/>
      <c r="S5" s="3726"/>
      <c r="T5" s="3725"/>
      <c r="U5" s="3726"/>
      <c r="V5" s="3729"/>
      <c r="W5" s="3729"/>
      <c r="X5" s="1355"/>
      <c r="Y5" s="3725"/>
      <c r="Z5" s="3726"/>
      <c r="AA5" s="3711"/>
      <c r="AB5" s="3729"/>
      <c r="AC5" s="3711"/>
    </row>
    <row r="6" spans="1:29" ht="15" thickBot="1">
      <c r="A6" s="360"/>
      <c r="B6" s="361"/>
      <c r="C6" s="3743" t="s">
        <v>1677</v>
      </c>
      <c r="D6" s="3731"/>
      <c r="E6" s="3745" t="s">
        <v>1677</v>
      </c>
      <c r="F6" s="3740"/>
      <c r="G6" s="3743" t="s">
        <v>1677</v>
      </c>
      <c r="H6" s="3731"/>
      <c r="I6" s="3743"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 thickBot="1">
      <c r="A7" s="362" t="s">
        <v>1679</v>
      </c>
      <c r="B7" s="363"/>
      <c r="C7" s="364">
        <f>'数据-取费表'!B2</f>
        <v>41530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1695</v>
      </c>
      <c r="Q32" s="1352" t="str">
        <f t="shared" si="11"/>
        <v>商业类型</v>
      </c>
      <c r="R32" s="705" t="s">
        <v>14</v>
      </c>
      <c r="S32" s="706">
        <f t="shared" si="12"/>
        <v>100</v>
      </c>
      <c r="T32" s="705" t="s">
        <v>14</v>
      </c>
      <c r="U32" s="706">
        <f t="shared" si="13"/>
        <v>100</v>
      </c>
      <c r="V32" s="705" t="s">
        <v>14</v>
      </c>
      <c r="W32" s="706">
        <f t="shared" si="14"/>
        <v>100</v>
      </c>
      <c r="X32" s="1355"/>
      <c r="Y32" s="370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1695</v>
      </c>
      <c r="Q38" s="1352" t="str">
        <f t="shared" si="11"/>
        <v>业态</v>
      </c>
      <c r="R38" s="705" t="s">
        <v>14</v>
      </c>
      <c r="S38" s="706">
        <f t="shared" si="12"/>
        <v>100</v>
      </c>
      <c r="T38" s="705" t="s">
        <v>14</v>
      </c>
      <c r="U38" s="706">
        <f t="shared" si="13"/>
        <v>100</v>
      </c>
      <c r="V38" s="705" t="s">
        <v>14</v>
      </c>
      <c r="W38" s="706">
        <f t="shared" si="14"/>
        <v>100</v>
      </c>
      <c r="X38" s="1355"/>
      <c r="Y38" s="370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2013-9</v>
      </c>
      <c r="D58" s="1185">
        <f>EDATE(C58,-1)</f>
        <v>41487</v>
      </c>
      <c r="E58" s="1185">
        <f t="shared" ref="E58:N58" si="16">EDATE(D58,-1)</f>
        <v>41456</v>
      </c>
      <c r="F58" s="1185">
        <f t="shared" si="16"/>
        <v>41426</v>
      </c>
      <c r="G58" s="1185">
        <f t="shared" si="16"/>
        <v>41395</v>
      </c>
      <c r="H58" s="1185">
        <f t="shared" si="16"/>
        <v>41365</v>
      </c>
      <c r="I58" s="1185">
        <f t="shared" si="16"/>
        <v>41334</v>
      </c>
      <c r="J58" s="1185">
        <f t="shared" si="16"/>
        <v>41306</v>
      </c>
      <c r="K58" s="1185">
        <f t="shared" si="16"/>
        <v>41275</v>
      </c>
      <c r="L58" s="1185">
        <f t="shared" si="16"/>
        <v>41244</v>
      </c>
      <c r="M58" s="1185">
        <f t="shared" si="16"/>
        <v>41214</v>
      </c>
      <c r="N58" s="1185">
        <f t="shared" si="16"/>
        <v>41183</v>
      </c>
      <c r="O58" s="1185">
        <f>EDATE(N58,-1)</f>
        <v>41153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估价对象为北京市房地产，为所有。根据《国有土地使用证》[]，估价对象（分摊）出让国有建设用地使用权面积为0平方米，建筑面积为56.19平方米。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估价对象为北京市房地产,属开发建设的，该项目尚在开发建设中。根据《国有土地使用证》[]，估价对象（分摊）出让国有建设用地使用权面积为0平方米，规划建筑面积为56.19平方米。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2013年9月13日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9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56.19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54" t="s">
        <v>1774</v>
      </c>
      <c r="Q4" s="3755"/>
      <c r="R4" s="3758" t="s">
        <v>1770</v>
      </c>
      <c r="S4" s="3759"/>
      <c r="T4" s="3758" t="s">
        <v>1771</v>
      </c>
      <c r="U4" s="3759"/>
      <c r="V4" s="3760" t="s">
        <v>1772</v>
      </c>
      <c r="W4" s="3760"/>
      <c r="X4" s="1958"/>
      <c r="Y4" s="3758" t="s">
        <v>1774</v>
      </c>
      <c r="Z4" s="3759"/>
      <c r="AA4" s="3762" t="s">
        <v>1770</v>
      </c>
      <c r="AB4" s="3762" t="s">
        <v>1771</v>
      </c>
      <c r="AC4" s="3751" t="s">
        <v>1772</v>
      </c>
    </row>
    <row r="5" spans="1:29">
      <c r="A5" s="358"/>
      <c r="B5" s="359"/>
      <c r="C5" s="3744" t="s">
        <v>1673</v>
      </c>
      <c r="D5" s="3738"/>
      <c r="E5" s="3746" t="s">
        <v>1674</v>
      </c>
      <c r="F5" s="3747"/>
      <c r="G5" s="3744" t="s">
        <v>1675</v>
      </c>
      <c r="H5" s="3738"/>
      <c r="I5" s="3744" t="s">
        <v>1676</v>
      </c>
      <c r="J5" s="3738"/>
      <c r="K5" s="559"/>
      <c r="L5" s="2715"/>
      <c r="M5" s="2716"/>
      <c r="N5" s="2716"/>
      <c r="O5" s="2716"/>
      <c r="P5" s="3756"/>
      <c r="Q5" s="3720"/>
      <c r="R5" s="3725"/>
      <c r="S5" s="3726"/>
      <c r="T5" s="3725"/>
      <c r="U5" s="3726"/>
      <c r="V5" s="3729"/>
      <c r="W5" s="3729"/>
      <c r="X5" s="1355"/>
      <c r="Y5" s="3725"/>
      <c r="Z5" s="3726"/>
      <c r="AA5" s="3711"/>
      <c r="AB5" s="3711"/>
      <c r="AC5" s="3752"/>
    </row>
    <row r="6" spans="1:29" ht="15" thickBot="1">
      <c r="A6" s="360"/>
      <c r="B6" s="361"/>
      <c r="C6" s="3743" t="s">
        <v>1677</v>
      </c>
      <c r="D6" s="3731"/>
      <c r="E6" s="3745" t="s">
        <v>1677</v>
      </c>
      <c r="F6" s="3740"/>
      <c r="G6" s="3743" t="s">
        <v>1677</v>
      </c>
      <c r="H6" s="3731"/>
      <c r="I6" s="3743" t="s">
        <v>1677</v>
      </c>
      <c r="J6" s="3731"/>
      <c r="K6" s="559" t="s">
        <v>1678</v>
      </c>
      <c r="L6" s="2715"/>
      <c r="M6" s="2716"/>
      <c r="N6" s="2716"/>
      <c r="O6" s="2716"/>
      <c r="P6" s="3757"/>
      <c r="Q6" s="3722"/>
      <c r="R6" s="3725"/>
      <c r="S6" s="3726"/>
      <c r="T6" s="3727"/>
      <c r="U6" s="3728"/>
      <c r="V6" s="3729"/>
      <c r="W6" s="3729"/>
      <c r="X6" s="1355"/>
      <c r="Y6" s="3727"/>
      <c r="Z6" s="3728"/>
      <c r="AA6" s="3712"/>
      <c r="AB6" s="3712"/>
      <c r="AC6" s="3753"/>
    </row>
    <row r="7" spans="1:29" s="108" customFormat="1" ht="15" thickBot="1">
      <c r="A7" s="362" t="s">
        <v>1679</v>
      </c>
      <c r="B7" s="363"/>
      <c r="C7" s="364">
        <f>'数据-取费表'!B2</f>
        <v>41530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1695</v>
      </c>
      <c r="Q33" s="1352" t="str">
        <f t="shared" si="11"/>
        <v>建筑类型</v>
      </c>
      <c r="R33" s="705" t="s">
        <v>14</v>
      </c>
      <c r="S33" s="706">
        <f t="shared" si="12"/>
        <v>100</v>
      </c>
      <c r="T33" s="705" t="s">
        <v>14</v>
      </c>
      <c r="U33" s="706">
        <f t="shared" si="13"/>
        <v>100</v>
      </c>
      <c r="V33" s="705" t="s">
        <v>14</v>
      </c>
      <c r="W33" s="706">
        <f t="shared" si="14"/>
        <v>100</v>
      </c>
      <c r="X33" s="1355"/>
      <c r="Y33" s="370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1695</v>
      </c>
      <c r="Q39" s="1352" t="str">
        <f t="shared" si="11"/>
        <v>物业管理</v>
      </c>
      <c r="R39" s="705" t="s">
        <v>14</v>
      </c>
      <c r="S39" s="706">
        <f t="shared" si="12"/>
        <v>100</v>
      </c>
      <c r="T39" s="705" t="s">
        <v>14</v>
      </c>
      <c r="U39" s="706">
        <f t="shared" si="13"/>
        <v>100</v>
      </c>
      <c r="V39" s="705" t="s">
        <v>14</v>
      </c>
      <c r="W39" s="706">
        <f t="shared" si="14"/>
        <v>100</v>
      </c>
      <c r="X39" s="1355"/>
      <c r="Y39" s="370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2013-9</v>
      </c>
      <c r="D59" s="1185">
        <f>EDATE(C59,-1)</f>
        <v>41487</v>
      </c>
      <c r="E59" s="1185">
        <f>EDATE(D59,-1)</f>
        <v>41456</v>
      </c>
      <c r="F59" s="1185">
        <f t="shared" ref="F59:O59" si="16">EDATE(E59,-1)</f>
        <v>41426</v>
      </c>
      <c r="G59" s="1185">
        <f t="shared" si="16"/>
        <v>41395</v>
      </c>
      <c r="H59" s="1185">
        <f t="shared" si="16"/>
        <v>41365</v>
      </c>
      <c r="I59" s="1185">
        <f t="shared" si="16"/>
        <v>41334</v>
      </c>
      <c r="J59" s="1185">
        <f t="shared" si="16"/>
        <v>41306</v>
      </c>
      <c r="K59" s="1185">
        <f t="shared" si="16"/>
        <v>41275</v>
      </c>
      <c r="L59" s="1185">
        <f t="shared" si="16"/>
        <v>41244</v>
      </c>
      <c r="M59" s="1185">
        <f t="shared" si="16"/>
        <v>41214</v>
      </c>
      <c r="N59" s="1185">
        <f t="shared" si="16"/>
        <v>41183</v>
      </c>
      <c r="O59" s="1185">
        <f t="shared" si="16"/>
        <v>41153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56.19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913"/>
      <c r="M4" s="914"/>
      <c r="N4" s="914"/>
      <c r="O4" s="914"/>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c r="A5" s="358"/>
      <c r="B5" s="359"/>
      <c r="C5" s="3744" t="s">
        <v>1673</v>
      </c>
      <c r="D5" s="3738"/>
      <c r="E5" s="3746" t="s">
        <v>1674</v>
      </c>
      <c r="F5" s="3747"/>
      <c r="G5" s="3744" t="s">
        <v>1675</v>
      </c>
      <c r="H5" s="3738"/>
      <c r="I5" s="3744" t="s">
        <v>1676</v>
      </c>
      <c r="J5" s="3738"/>
      <c r="K5" s="559"/>
      <c r="L5" s="913"/>
      <c r="M5" s="914"/>
      <c r="N5" s="914"/>
      <c r="O5" s="914"/>
      <c r="P5" s="3719"/>
      <c r="Q5" s="3720"/>
      <c r="R5" s="3725"/>
      <c r="S5" s="3726"/>
      <c r="T5" s="3725"/>
      <c r="U5" s="3726"/>
      <c r="V5" s="3729"/>
      <c r="W5" s="3729"/>
      <c r="X5" s="1355"/>
      <c r="Y5" s="3725"/>
      <c r="Z5" s="3726"/>
      <c r="AA5" s="3711"/>
      <c r="AB5" s="3711"/>
      <c r="AC5" s="3711"/>
    </row>
    <row r="6" spans="1:29" ht="15" thickBot="1">
      <c r="A6" s="360"/>
      <c r="B6" s="361"/>
      <c r="C6" s="3743" t="s">
        <v>1677</v>
      </c>
      <c r="D6" s="3731"/>
      <c r="E6" s="3745" t="s">
        <v>1677</v>
      </c>
      <c r="F6" s="3740"/>
      <c r="G6" s="3743" t="s">
        <v>1677</v>
      </c>
      <c r="H6" s="3731"/>
      <c r="I6" s="3743"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41530</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3" t="s">
        <v>1695</v>
      </c>
      <c r="Q29" s="1352" t="str">
        <f t="shared" si="11"/>
        <v>建筑类型</v>
      </c>
      <c r="R29" s="705" t="s">
        <v>14</v>
      </c>
      <c r="S29" s="706">
        <f t="shared" si="12"/>
        <v>100</v>
      </c>
      <c r="T29" s="705" t="s">
        <v>14</v>
      </c>
      <c r="U29" s="706">
        <f t="shared" si="13"/>
        <v>100</v>
      </c>
      <c r="V29" s="705" t="s">
        <v>14</v>
      </c>
      <c r="W29" s="706">
        <f t="shared" si="14"/>
        <v>100</v>
      </c>
      <c r="X29" s="1355"/>
      <c r="Y29" s="370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1695</v>
      </c>
      <c r="Q35" s="1352" t="str">
        <f t="shared" si="11"/>
        <v>市政基础设施</v>
      </c>
      <c r="R35" s="705" t="s">
        <v>14</v>
      </c>
      <c r="S35" s="706">
        <f t="shared" si="12"/>
        <v>100</v>
      </c>
      <c r="T35" s="705" t="s">
        <v>14</v>
      </c>
      <c r="U35" s="706">
        <f t="shared" si="13"/>
        <v>100</v>
      </c>
      <c r="V35" s="705" t="s">
        <v>14</v>
      </c>
      <c r="W35" s="706">
        <f t="shared" si="14"/>
        <v>100</v>
      </c>
      <c r="X35" s="1355"/>
      <c r="Y35" s="370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2013-9</v>
      </c>
      <c r="D52" s="1185">
        <f>EDATE(C52,-1)</f>
        <v>41487</v>
      </c>
      <c r="E52" s="1185">
        <f t="shared" ref="E52:O52" si="16">EDATE(D52,-1)</f>
        <v>41456</v>
      </c>
      <c r="F52" s="1185">
        <f t="shared" si="16"/>
        <v>41426</v>
      </c>
      <c r="G52" s="1185">
        <f t="shared" si="16"/>
        <v>41395</v>
      </c>
      <c r="H52" s="1185">
        <f t="shared" si="16"/>
        <v>41365</v>
      </c>
      <c r="I52" s="1185">
        <f t="shared" si="16"/>
        <v>41334</v>
      </c>
      <c r="J52" s="1185">
        <f t="shared" si="16"/>
        <v>41306</v>
      </c>
      <c r="K52" s="1185">
        <f t="shared" si="16"/>
        <v>41275</v>
      </c>
      <c r="L52" s="1185">
        <f t="shared" si="16"/>
        <v>41244</v>
      </c>
      <c r="M52" s="1185">
        <f t="shared" si="16"/>
        <v>41214</v>
      </c>
      <c r="N52" s="1185">
        <f t="shared" si="16"/>
        <v>41183</v>
      </c>
      <c r="O52" s="1185">
        <f t="shared" si="16"/>
        <v>41153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c r="A5" s="358"/>
      <c r="B5" s="359"/>
      <c r="C5" s="3744" t="s">
        <v>1673</v>
      </c>
      <c r="D5" s="3738"/>
      <c r="E5" s="3746" t="s">
        <v>1674</v>
      </c>
      <c r="F5" s="3747"/>
      <c r="G5" s="3744" t="s">
        <v>1675</v>
      </c>
      <c r="H5" s="3738"/>
      <c r="I5" s="3744" t="s">
        <v>1676</v>
      </c>
      <c r="J5" s="3738"/>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43" t="s">
        <v>1677</v>
      </c>
      <c r="D6" s="3731"/>
      <c r="E6" s="3745" t="s">
        <v>1677</v>
      </c>
      <c r="F6" s="3740"/>
      <c r="G6" s="3743" t="s">
        <v>1677</v>
      </c>
      <c r="H6" s="3731"/>
      <c r="I6" s="3743"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41530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1695</v>
      </c>
      <c r="Q32" s="1352" t="str">
        <f t="shared" si="11"/>
        <v>车位类型</v>
      </c>
      <c r="R32" s="705" t="s">
        <v>14</v>
      </c>
      <c r="S32" s="706">
        <f t="shared" si="12"/>
        <v>100</v>
      </c>
      <c r="T32" s="705" t="s">
        <v>14</v>
      </c>
      <c r="U32" s="706">
        <f t="shared" si="13"/>
        <v>100</v>
      </c>
      <c r="V32" s="705" t="s">
        <v>14</v>
      </c>
      <c r="W32" s="706">
        <f t="shared" si="14"/>
        <v>100</v>
      </c>
      <c r="X32" s="1355"/>
      <c r="Y32" s="370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1843</v>
      </c>
      <c r="B37" s="1973" t="s">
        <v>3354</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2013-9</v>
      </c>
      <c r="D48" s="1185">
        <f>EDATE(C48,-1)</f>
        <v>41487</v>
      </c>
      <c r="E48" s="1185">
        <f t="shared" ref="E48:O48" si="16">EDATE(D48,-1)</f>
        <v>41456</v>
      </c>
      <c r="F48" s="1185">
        <f t="shared" si="16"/>
        <v>41426</v>
      </c>
      <c r="G48" s="1185">
        <f t="shared" si="16"/>
        <v>41395</v>
      </c>
      <c r="H48" s="1185">
        <f t="shared" si="16"/>
        <v>41365</v>
      </c>
      <c r="I48" s="1185">
        <f t="shared" si="16"/>
        <v>41334</v>
      </c>
      <c r="J48" s="1185">
        <f t="shared" si="16"/>
        <v>41306</v>
      </c>
      <c r="K48" s="1185">
        <f t="shared" si="16"/>
        <v>41275</v>
      </c>
      <c r="L48" s="1185">
        <f t="shared" si="16"/>
        <v>41244</v>
      </c>
      <c r="M48" s="1185">
        <f t="shared" si="16"/>
        <v>41214</v>
      </c>
      <c r="N48" s="1185">
        <f t="shared" si="16"/>
        <v>41183</v>
      </c>
      <c r="O48" s="1185">
        <f t="shared" si="16"/>
        <v>41153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c r="A5" s="358"/>
      <c r="B5" s="359"/>
      <c r="C5" s="3744" t="s">
        <v>1673</v>
      </c>
      <c r="D5" s="3738"/>
      <c r="E5" s="3746" t="s">
        <v>1674</v>
      </c>
      <c r="F5" s="3747"/>
      <c r="G5" s="3744" t="s">
        <v>1675</v>
      </c>
      <c r="H5" s="3738"/>
      <c r="I5" s="3744" t="s">
        <v>1676</v>
      </c>
      <c r="J5" s="3738"/>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43" t="s">
        <v>1677</v>
      </c>
      <c r="D6" s="3731"/>
      <c r="E6" s="3745" t="s">
        <v>1677</v>
      </c>
      <c r="F6" s="3740"/>
      <c r="G6" s="3743" t="s">
        <v>1677</v>
      </c>
      <c r="H6" s="3731"/>
      <c r="I6" s="3743"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41530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1695</v>
      </c>
      <c r="Q32" s="1352">
        <f t="shared" si="11"/>
        <v>111</v>
      </c>
      <c r="R32" s="705" t="s">
        <v>14</v>
      </c>
      <c r="S32" s="706">
        <f t="shared" si="12"/>
        <v>100</v>
      </c>
      <c r="T32" s="705" t="s">
        <v>14</v>
      </c>
      <c r="U32" s="706">
        <f t="shared" si="13"/>
        <v>100</v>
      </c>
      <c r="V32" s="705" t="s">
        <v>14</v>
      </c>
      <c r="W32" s="706">
        <f t="shared" si="14"/>
        <v>100</v>
      </c>
      <c r="X32" s="1355"/>
      <c r="Y32" s="370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2013-9</v>
      </c>
      <c r="D46" s="1185">
        <f>EDATE(C46,-1)</f>
        <v>41487</v>
      </c>
      <c r="E46" s="1185">
        <f t="shared" ref="E46:O46" si="16">EDATE(D46,-1)</f>
        <v>41456</v>
      </c>
      <c r="F46" s="1185">
        <f t="shared" si="16"/>
        <v>41426</v>
      </c>
      <c r="G46" s="1185">
        <f t="shared" si="16"/>
        <v>41395</v>
      </c>
      <c r="H46" s="1185">
        <f t="shared" si="16"/>
        <v>41365</v>
      </c>
      <c r="I46" s="1185">
        <f t="shared" si="16"/>
        <v>41334</v>
      </c>
      <c r="J46" s="1185">
        <f t="shared" si="16"/>
        <v>41306</v>
      </c>
      <c r="K46" s="1185">
        <f t="shared" si="16"/>
        <v>41275</v>
      </c>
      <c r="L46" s="1185">
        <f t="shared" si="16"/>
        <v>41244</v>
      </c>
      <c r="M46" s="1185">
        <f t="shared" si="16"/>
        <v>41214</v>
      </c>
      <c r="N46" s="1185">
        <f t="shared" si="16"/>
        <v>41183</v>
      </c>
      <c r="O46" s="1185">
        <f t="shared" si="16"/>
        <v>41153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30">
      <c r="A5" s="358"/>
      <c r="B5" s="359"/>
      <c r="C5" s="3744" t="s">
        <v>1673</v>
      </c>
      <c r="D5" s="3738"/>
      <c r="E5" s="3746" t="s">
        <v>1674</v>
      </c>
      <c r="F5" s="3747"/>
      <c r="G5" s="3744" t="s">
        <v>1675</v>
      </c>
      <c r="H5" s="3738"/>
      <c r="I5" s="3744" t="s">
        <v>1676</v>
      </c>
      <c r="J5" s="3738"/>
      <c r="K5" s="559"/>
      <c r="L5" s="2715"/>
      <c r="M5" s="2716"/>
      <c r="N5" s="2716"/>
      <c r="O5" s="2716"/>
      <c r="P5" s="3719"/>
      <c r="Q5" s="3720"/>
      <c r="R5" s="3725"/>
      <c r="S5" s="3726"/>
      <c r="T5" s="3725"/>
      <c r="U5" s="3726"/>
      <c r="V5" s="3729"/>
      <c r="W5" s="3729"/>
      <c r="X5" s="1355"/>
      <c r="Y5" s="3725"/>
      <c r="Z5" s="3726"/>
      <c r="AA5" s="3711"/>
      <c r="AB5" s="3711"/>
      <c r="AC5" s="3711"/>
    </row>
    <row r="6" spans="1:30" ht="15" thickBot="1">
      <c r="A6" s="360"/>
      <c r="B6" s="361"/>
      <c r="C6" s="3743" t="s">
        <v>1677</v>
      </c>
      <c r="D6" s="3731"/>
      <c r="E6" s="3745" t="s">
        <v>1677</v>
      </c>
      <c r="F6" s="3740"/>
      <c r="G6" s="3743" t="s">
        <v>1677</v>
      </c>
      <c r="H6" s="3731"/>
      <c r="I6" s="3743"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 thickBot="1">
      <c r="A7" s="362" t="s">
        <v>1679</v>
      </c>
      <c r="B7" s="363"/>
      <c r="C7" s="364">
        <f>'数据-取费表'!B2</f>
        <v>41530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3" t="s">
        <v>1695</v>
      </c>
      <c r="Q36" s="1352">
        <f t="shared" si="8"/>
        <v>111</v>
      </c>
      <c r="R36" s="705" t="s">
        <v>14</v>
      </c>
      <c r="S36" s="706">
        <f t="shared" si="10"/>
        <v>100</v>
      </c>
      <c r="T36" s="705" t="s">
        <v>14</v>
      </c>
      <c r="U36" s="706">
        <f t="shared" si="11"/>
        <v>100</v>
      </c>
      <c r="V36" s="705" t="s">
        <v>14</v>
      </c>
      <c r="W36" s="706">
        <f t="shared" si="12"/>
        <v>100</v>
      </c>
      <c r="X36" s="1355"/>
      <c r="Y36" s="370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1695</v>
      </c>
      <c r="Q42" s="1352" t="str">
        <f t="shared" si="14"/>
        <v>工程地质条件</v>
      </c>
      <c r="R42" s="705" t="s">
        <v>14</v>
      </c>
      <c r="S42" s="706">
        <f t="shared" si="10"/>
        <v>100</v>
      </c>
      <c r="T42" s="705" t="s">
        <v>14</v>
      </c>
      <c r="U42" s="706">
        <f t="shared" si="11"/>
        <v>100</v>
      </c>
      <c r="V42" s="705" t="s">
        <v>14</v>
      </c>
      <c r="W42" s="706">
        <f t="shared" si="12"/>
        <v>100</v>
      </c>
      <c r="X42" s="1355"/>
      <c r="Y42" s="370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66" t="e">
        <f>ROUND(IF(D47="简单平均",AVERAGE(R47:W47),R47*F47+T47*H47+V47*J47),0)</f>
        <v>#DIV/0!</v>
      </c>
      <c r="S48" s="3766"/>
      <c r="T48" s="3766"/>
      <c r="U48" s="3766"/>
      <c r="V48" s="3766"/>
      <c r="W48" s="376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3" t="s">
        <v>1886</v>
      </c>
      <c r="H55" s="376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56.19</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56.19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2013-9-1</v>
      </c>
      <c r="D67" s="692">
        <f>EDATE(C67,-3)</f>
        <v>41426</v>
      </c>
      <c r="E67" s="692">
        <f>EDATE(D67,-3)</f>
        <v>41334</v>
      </c>
      <c r="F67" s="692">
        <f t="shared" ref="F67:O67" si="18">EDATE(E67,-3)</f>
        <v>41244</v>
      </c>
      <c r="G67" s="692">
        <f t="shared" si="18"/>
        <v>41153</v>
      </c>
      <c r="H67" s="692">
        <f t="shared" si="18"/>
        <v>41061</v>
      </c>
      <c r="I67" s="692">
        <f t="shared" si="18"/>
        <v>40969</v>
      </c>
      <c r="J67" s="692">
        <f t="shared" si="18"/>
        <v>40878</v>
      </c>
      <c r="K67" s="692">
        <f t="shared" si="18"/>
        <v>40787</v>
      </c>
      <c r="L67" s="692">
        <f t="shared" si="18"/>
        <v>40695</v>
      </c>
      <c r="M67" s="692">
        <f t="shared" si="18"/>
        <v>40603</v>
      </c>
      <c r="N67" s="692">
        <f t="shared" si="18"/>
        <v>40513</v>
      </c>
      <c r="O67" s="692">
        <f t="shared" si="18"/>
        <v>40422</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2013-3</v>
      </c>
      <c r="D69" s="1182" t="str">
        <f>YEAR(D67)&amp;"-"&amp;ROUNDUP(MONTH(D67)/3,0)</f>
        <v>2013-2</v>
      </c>
      <c r="E69" s="1182" t="str">
        <f t="shared" ref="E69:O69" si="19">YEAR(E67)&amp;"-"&amp;ROUNDUP(MONTH(E67)/3,0)</f>
        <v>2013-1</v>
      </c>
      <c r="F69" s="1182" t="str">
        <f t="shared" si="19"/>
        <v>2012-4</v>
      </c>
      <c r="G69" s="1182" t="str">
        <f t="shared" si="19"/>
        <v>2012-3</v>
      </c>
      <c r="H69" s="1182" t="str">
        <f t="shared" si="19"/>
        <v>2012-2</v>
      </c>
      <c r="I69" s="1182" t="str">
        <f t="shared" si="19"/>
        <v>2012-1</v>
      </c>
      <c r="J69" s="1182" t="str">
        <f t="shared" si="19"/>
        <v>2011-4</v>
      </c>
      <c r="K69" s="1182" t="str">
        <f t="shared" si="19"/>
        <v>2011-3</v>
      </c>
      <c r="L69" s="1182" t="str">
        <f t="shared" si="19"/>
        <v>2011-2</v>
      </c>
      <c r="M69" s="1182" t="str">
        <f t="shared" si="19"/>
        <v>2011-1</v>
      </c>
      <c r="N69" s="1182" t="str">
        <f t="shared" si="19"/>
        <v>2010-4</v>
      </c>
      <c r="O69" s="1182" t="str">
        <f t="shared" si="19"/>
        <v>2010-3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13" t="s">
        <v>1769</v>
      </c>
      <c r="D4" s="3714"/>
      <c r="E4" s="3715" t="s">
        <v>1770</v>
      </c>
      <c r="F4" s="3716"/>
      <c r="G4" s="3713" t="s">
        <v>1771</v>
      </c>
      <c r="H4" s="3714"/>
      <c r="I4" s="3713" t="s">
        <v>1772</v>
      </c>
      <c r="J4" s="3714"/>
      <c r="K4" s="559" t="s">
        <v>1773</v>
      </c>
      <c r="L4" s="2715"/>
      <c r="M4" s="2716"/>
      <c r="N4" s="2716"/>
      <c r="O4" s="2716"/>
      <c r="P4" s="3717" t="s">
        <v>1774</v>
      </c>
      <c r="Q4" s="3718"/>
      <c r="R4" s="3723" t="s">
        <v>1770</v>
      </c>
      <c r="S4" s="3724"/>
      <c r="T4" s="3723" t="s">
        <v>1771</v>
      </c>
      <c r="U4" s="3724"/>
      <c r="V4" s="3729" t="s">
        <v>1772</v>
      </c>
      <c r="W4" s="3729"/>
      <c r="X4" s="1355"/>
      <c r="Y4" s="3723" t="s">
        <v>1774</v>
      </c>
      <c r="Z4" s="3724"/>
      <c r="AA4" s="3710" t="s">
        <v>1770</v>
      </c>
      <c r="AB4" s="3711" t="s">
        <v>1771</v>
      </c>
      <c r="AC4" s="3710" t="s">
        <v>1772</v>
      </c>
    </row>
    <row r="5" spans="1:29">
      <c r="A5" s="358"/>
      <c r="B5" s="359"/>
      <c r="C5" s="3744" t="s">
        <v>1673</v>
      </c>
      <c r="D5" s="3738"/>
      <c r="E5" s="3746" t="s">
        <v>1674</v>
      </c>
      <c r="F5" s="3747"/>
      <c r="G5" s="3744" t="s">
        <v>1675</v>
      </c>
      <c r="H5" s="3738"/>
      <c r="I5" s="3744" t="s">
        <v>1676</v>
      </c>
      <c r="J5" s="3738"/>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68" t="s">
        <v>1918</v>
      </c>
      <c r="D6" s="3769"/>
      <c r="E6" s="3770" t="s">
        <v>1918</v>
      </c>
      <c r="F6" s="3771"/>
      <c r="G6" s="3768" t="s">
        <v>1918</v>
      </c>
      <c r="H6" s="3769"/>
      <c r="I6" s="3768" t="s">
        <v>1918</v>
      </c>
      <c r="J6" s="3769"/>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41530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3" t="s">
        <v>1695</v>
      </c>
      <c r="Q32" s="1352">
        <f t="shared" si="8"/>
        <v>111</v>
      </c>
      <c r="R32" s="705" t="s">
        <v>14</v>
      </c>
      <c r="S32" s="706">
        <f t="shared" si="10"/>
        <v>100</v>
      </c>
      <c r="T32" s="705" t="s">
        <v>14</v>
      </c>
      <c r="U32" s="706">
        <f t="shared" si="11"/>
        <v>100</v>
      </c>
      <c r="V32" s="705" t="s">
        <v>14</v>
      </c>
      <c r="W32" s="706">
        <f t="shared" si="12"/>
        <v>100</v>
      </c>
      <c r="X32" s="1355"/>
      <c r="Y32" s="370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1695</v>
      </c>
      <c r="Q37" s="1352" t="str">
        <f t="shared" si="14"/>
        <v>工程地质条件</v>
      </c>
      <c r="R37" s="705" t="s">
        <v>14</v>
      </c>
      <c r="S37" s="706">
        <f t="shared" si="10"/>
        <v>100</v>
      </c>
      <c r="T37" s="705" t="s">
        <v>14</v>
      </c>
      <c r="U37" s="706">
        <f t="shared" si="11"/>
        <v>100</v>
      </c>
      <c r="V37" s="705" t="s">
        <v>14</v>
      </c>
      <c r="W37" s="706">
        <f t="shared" si="12"/>
        <v>100</v>
      </c>
      <c r="X37" s="1355"/>
      <c r="Y37" s="370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66" t="e">
        <f>ROUND(IF(D42="简单平均",AVERAGE(R42:W42),R42*F42+T42*H42+V42*J42),0)</f>
        <v>#DIV/0!</v>
      </c>
      <c r="S43" s="3766"/>
      <c r="T43" s="3766"/>
      <c r="U43" s="3766"/>
      <c r="V43" s="3766"/>
      <c r="W43" s="376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13" t="s">
        <v>1886</v>
      </c>
      <c r="H50" s="376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56.19</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2013-9-1</v>
      </c>
      <c r="D63" s="692">
        <f>EDATE(C63,-3)</f>
        <v>41426</v>
      </c>
      <c r="E63" s="692">
        <f>EDATE(D63,-3)</f>
        <v>41334</v>
      </c>
      <c r="F63" s="692">
        <f t="shared" ref="F63:O63" si="18">EDATE(E63,-3)</f>
        <v>41244</v>
      </c>
      <c r="G63" s="692">
        <f t="shared" si="18"/>
        <v>41153</v>
      </c>
      <c r="H63" s="692">
        <f t="shared" si="18"/>
        <v>41061</v>
      </c>
      <c r="I63" s="692">
        <f t="shared" si="18"/>
        <v>40969</v>
      </c>
      <c r="J63" s="692">
        <f t="shared" si="18"/>
        <v>40878</v>
      </c>
      <c r="K63" s="692">
        <f t="shared" si="18"/>
        <v>40787</v>
      </c>
      <c r="L63" s="692">
        <f t="shared" si="18"/>
        <v>40695</v>
      </c>
      <c r="M63" s="692">
        <f t="shared" si="18"/>
        <v>40603</v>
      </c>
      <c r="N63" s="692">
        <f t="shared" si="18"/>
        <v>40513</v>
      </c>
      <c r="O63" s="692">
        <f t="shared" si="18"/>
        <v>40422</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2013-3</v>
      </c>
      <c r="D65" s="1182" t="str">
        <f t="shared" ref="D65:O65" si="19">YEAR(D63)&amp;"-"&amp;ROUNDUP(MONTH(D63)/3,0)</f>
        <v>2013-2</v>
      </c>
      <c r="E65" s="1182" t="str">
        <f t="shared" si="19"/>
        <v>2013-1</v>
      </c>
      <c r="F65" s="1182" t="str">
        <f t="shared" si="19"/>
        <v>2012-4</v>
      </c>
      <c r="G65" s="1182" t="str">
        <f t="shared" si="19"/>
        <v>2012-3</v>
      </c>
      <c r="H65" s="1182" t="str">
        <f t="shared" si="19"/>
        <v>2012-2</v>
      </c>
      <c r="I65" s="1182" t="str">
        <f t="shared" si="19"/>
        <v>2012-1</v>
      </c>
      <c r="J65" s="1182" t="str">
        <f t="shared" si="19"/>
        <v>2011-4</v>
      </c>
      <c r="K65" s="1182" t="str">
        <f t="shared" si="19"/>
        <v>2011-3</v>
      </c>
      <c r="L65" s="1182" t="str">
        <f t="shared" si="19"/>
        <v>2011-2</v>
      </c>
      <c r="M65" s="1182" t="str">
        <f t="shared" si="19"/>
        <v>2011-1</v>
      </c>
      <c r="N65" s="1182" t="str">
        <f t="shared" si="19"/>
        <v>2010-4</v>
      </c>
      <c r="O65" s="1182" t="str">
        <f t="shared" si="19"/>
        <v>2010-3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5" t="s">
        <v>2083</v>
      </c>
      <c r="D1" s="3776"/>
      <c r="E1" s="3776"/>
      <c r="F1" s="3776"/>
      <c r="G1" s="3776"/>
      <c r="H1" s="3776"/>
      <c r="I1" s="3776"/>
      <c r="J1" s="3776"/>
      <c r="K1" s="3776"/>
      <c r="L1" s="3776"/>
      <c r="M1" s="3776"/>
      <c r="N1" s="3776"/>
      <c r="O1" s="3776"/>
      <c r="P1" s="3776"/>
      <c r="Q1" s="3776"/>
      <c r="R1" s="3776"/>
      <c r="S1" s="377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6">
      <c r="A3" s="2145" t="s">
        <v>2075</v>
      </c>
      <c r="B3" s="2602" t="e">
        <f ca="1">ROUND(B2*10000/E2,0)</f>
        <v>#DIV/0!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20"/>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5"/>
      <c r="B4" s="3786"/>
      <c r="C4" s="3786"/>
      <c r="D4" s="3787"/>
      <c r="E4" s="3787"/>
      <c r="F4" s="3787"/>
      <c r="G4" s="3787"/>
      <c r="H4" s="3787"/>
      <c r="I4" s="3787"/>
      <c r="J4" s="378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2" t="s">
        <v>1959</v>
      </c>
      <c r="X8" s="378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9" t="s">
        <v>3254</v>
      </c>
      <c r="B20" s="167" t="s">
        <v>1993</v>
      </c>
      <c r="C20" s="3325" t="e">
        <f>ROUND(IF(F21="与级别开发程度一致",0,(G21-E21)/C21),0)</f>
        <v>#DIV/0!</v>
      </c>
      <c r="D20" s="3341" t="s">
        <v>1997</v>
      </c>
      <c r="E20" s="3342"/>
      <c r="F20" s="3795" t="s">
        <v>1994</v>
      </c>
      <c r="G20" s="379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9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41530</v>
      </c>
      <c r="H23" s="3343" t="s">
        <v>3256</v>
      </c>
      <c r="I23" s="3344" t="str">
        <f>IF(H23="季度增幅（自定义）",SUMIF(N25:N28,E2,O25:O28),"")</f>
        <v/>
      </c>
      <c r="J23" s="3446" t="s">
        <v>3255</v>
      </c>
      <c r="K23" s="1125"/>
      <c r="L23" s="2055" t="s">
        <v>2003</v>
      </c>
      <c r="M23" s="1328">
        <f>ROUND(SUMIF(地价!B2:G2,E2,地价!B16:G16),0)</f>
        <v>0</v>
      </c>
      <c r="N23" s="2056" t="s">
        <v>2004</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3265</v>
      </c>
      <c r="L36" s="3447">
        <f ca="1">'数据-取费表'!B40</f>
        <v>0.06</v>
      </c>
      <c r="M36" s="3358">
        <f ca="1">ROUND($L$36*(1+M31),3)</f>
        <v>7.4999999999999997E-2</v>
      </c>
      <c r="N36" s="3358">
        <f ca="1">ROUND($L$36*(1+N31),3)</f>
        <v>7.1999999999999995E-2</v>
      </c>
      <c r="O36" s="3358">
        <f ca="1">ROUND($L$36*(1+O31),3)</f>
        <v>6.9000000000000006E-2</v>
      </c>
      <c r="P36" s="3358">
        <f ca="1">ROUND($L$36*(1+P31),3)</f>
        <v>6.6000000000000003E-2</v>
      </c>
      <c r="Q36" s="3358">
        <f ca="1">ROUND($L$36*(1+Q31),3)</f>
        <v>6.9000000000000006E-2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6.5000000000000002E-2</v>
      </c>
      <c r="M37" s="3358">
        <f ca="1">ROUND($L$37*(1+M31),3)</f>
        <v>8.1000000000000003E-2</v>
      </c>
      <c r="N37" s="3358">
        <f t="shared" ref="N37:Q37" ca="1" si="3">ROUND($L$37*(1+N31),3)</f>
        <v>7.8E-2</v>
      </c>
      <c r="O37" s="3358">
        <f t="shared" ca="1" si="3"/>
        <v>7.4999999999999997E-2</v>
      </c>
      <c r="P37" s="3358">
        <f t="shared" ca="1" si="3"/>
        <v>7.1999999999999995E-2</v>
      </c>
      <c r="Q37" s="3358">
        <f t="shared" ca="1" si="3"/>
        <v>7.4999999999999997E-2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1" t="s">
        <v>3294</v>
      </c>
      <c r="B103" s="3791"/>
      <c r="C103" s="3791"/>
      <c r="D103" s="3791"/>
      <c r="E103" s="3791"/>
      <c r="F103" s="3791"/>
      <c r="G103" s="3791"/>
      <c r="H103" s="3791"/>
      <c r="I103" s="3791"/>
      <c r="J103" s="3791"/>
      <c r="K103" s="3390"/>
      <c r="L103" s="3390"/>
      <c r="M103" s="3390"/>
      <c r="N103" s="3390"/>
    </row>
    <row r="104" spans="1:14">
      <c r="A104" s="3792" t="s">
        <v>3295</v>
      </c>
      <c r="B104" s="3792" t="s">
        <v>3296</v>
      </c>
      <c r="C104" s="3391" t="s">
        <v>3297</v>
      </c>
      <c r="D104" s="3392"/>
      <c r="E104" s="3392"/>
      <c r="F104" s="3392"/>
      <c r="G104" s="3392"/>
      <c r="H104" s="3392"/>
      <c r="I104" s="3392"/>
      <c r="J104" s="3393"/>
      <c r="K104" s="3394"/>
      <c r="L104" s="3394"/>
      <c r="M104" s="3394"/>
      <c r="N104" s="3394"/>
    </row>
    <row r="105" spans="1:14">
      <c r="A105" s="3792"/>
      <c r="B105" s="379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9"/>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8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1" t="s">
        <v>3311</v>
      </c>
      <c r="B113" s="3781"/>
      <c r="C113" s="3781"/>
      <c r="D113" s="3781"/>
      <c r="E113" s="3781"/>
      <c r="F113" s="3781"/>
      <c r="G113" s="3781"/>
      <c r="H113" s="3781"/>
      <c r="I113" s="3781"/>
      <c r="J113" s="378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6" t="s">
        <v>2607</v>
      </c>
      <c r="B20" s="3801" t="s">
        <v>2628</v>
      </c>
      <c r="C20" s="3103" t="s">
        <v>2439</v>
      </c>
      <c r="D20" s="3104"/>
      <c r="E20" s="3105">
        <v>1</v>
      </c>
      <c r="F20" s="3106" t="s">
        <v>2440</v>
      </c>
      <c r="G20" s="3106"/>
    </row>
    <row r="21" spans="1:13" ht="19.5" customHeight="1">
      <c r="A21" s="3807"/>
      <c r="B21" s="3800"/>
      <c r="C21" s="3107" t="s">
        <v>2441</v>
      </c>
      <c r="D21" s="3108"/>
      <c r="E21" s="3109">
        <v>1</v>
      </c>
      <c r="F21" s="3106" t="s">
        <v>2442</v>
      </c>
      <c r="G21" s="3106"/>
    </row>
    <row r="22" spans="1:13" ht="19.5" customHeight="1">
      <c r="A22" s="3807"/>
      <c r="B22" s="3800"/>
      <c r="C22" s="3107" t="s">
        <v>2443</v>
      </c>
      <c r="D22" s="3108"/>
      <c r="E22" s="3109">
        <v>0.9</v>
      </c>
      <c r="F22" s="3106" t="s">
        <v>2444</v>
      </c>
      <c r="G22" s="3106"/>
    </row>
    <row r="23" spans="1:13" ht="19.5" customHeight="1">
      <c r="A23" s="3807"/>
      <c r="B23" s="3800"/>
      <c r="C23" s="3107" t="s">
        <v>2445</v>
      </c>
      <c r="D23" s="3108"/>
      <c r="E23" s="3109">
        <v>0.9</v>
      </c>
      <c r="F23" s="3106" t="s">
        <v>2446</v>
      </c>
      <c r="G23" s="3106"/>
    </row>
    <row r="24" spans="1:13" ht="19.5" customHeight="1">
      <c r="A24" s="3807"/>
      <c r="B24" s="3800"/>
      <c r="C24" s="3107" t="s">
        <v>2447</v>
      </c>
      <c r="D24" s="3108"/>
      <c r="E24" s="3109">
        <v>0.8</v>
      </c>
      <c r="F24" s="3106" t="s">
        <v>2448</v>
      </c>
      <c r="G24" s="3106"/>
    </row>
    <row r="25" spans="1:13" ht="19.5" customHeight="1" thickBot="1">
      <c r="A25" s="3808"/>
      <c r="B25" s="380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3" t="s">
        <v>2631</v>
      </c>
      <c r="B27" s="3801" t="s">
        <v>2612</v>
      </c>
      <c r="C27" s="3103" t="s">
        <v>2452</v>
      </c>
      <c r="D27" s="3104"/>
      <c r="E27" s="3105">
        <v>1</v>
      </c>
      <c r="F27" s="3106" t="s">
        <v>2453</v>
      </c>
      <c r="G27" s="3106"/>
    </row>
    <row r="28" spans="1:13" ht="19.5" customHeight="1">
      <c r="A28" s="3804"/>
      <c r="B28" s="3800"/>
      <c r="C28" s="3107" t="s">
        <v>2454</v>
      </c>
      <c r="D28" s="3108"/>
      <c r="E28" s="3109">
        <v>1</v>
      </c>
      <c r="F28" s="3106" t="s">
        <v>2455</v>
      </c>
      <c r="G28" s="3106"/>
    </row>
    <row r="29" spans="1:13" ht="19.5" customHeight="1">
      <c r="A29" s="3804"/>
      <c r="B29" s="3800"/>
      <c r="C29" s="3107" t="s">
        <v>2456</v>
      </c>
      <c r="D29" s="3108"/>
      <c r="E29" s="3109">
        <v>0.8</v>
      </c>
      <c r="F29" s="3106" t="s">
        <v>2457</v>
      </c>
      <c r="G29" s="3106"/>
    </row>
    <row r="30" spans="1:13" ht="19.5" customHeight="1">
      <c r="A30" s="3804"/>
      <c r="B30" s="3800"/>
      <c r="C30" s="3107" t="s">
        <v>2458</v>
      </c>
      <c r="D30" s="3108"/>
      <c r="E30" s="3109">
        <v>0.8</v>
      </c>
      <c r="F30" s="3106" t="s">
        <v>2459</v>
      </c>
      <c r="G30" s="3106"/>
    </row>
    <row r="31" spans="1:13" ht="19.5" customHeight="1">
      <c r="A31" s="3804"/>
      <c r="B31" s="3800"/>
      <c r="C31" s="3107" t="s">
        <v>2460</v>
      </c>
      <c r="D31" s="3108"/>
      <c r="E31" s="3109">
        <v>0.8</v>
      </c>
      <c r="F31" s="3106" t="s">
        <v>2461</v>
      </c>
      <c r="G31" s="3106"/>
    </row>
    <row r="32" spans="1:13" ht="19.5" customHeight="1">
      <c r="A32" s="3804"/>
      <c r="B32" s="3800"/>
      <c r="C32" s="3107" t="s">
        <v>2462</v>
      </c>
      <c r="D32" s="3108"/>
      <c r="E32" s="3109">
        <v>0.7</v>
      </c>
      <c r="F32" s="3106" t="s">
        <v>2463</v>
      </c>
      <c r="G32" s="3106"/>
    </row>
    <row r="33" spans="1:7" ht="19.5" customHeight="1">
      <c r="A33" s="3804"/>
      <c r="B33" s="3800"/>
      <c r="C33" s="3107" t="s">
        <v>2464</v>
      </c>
      <c r="D33" s="3108"/>
      <c r="E33" s="3109">
        <v>0.8</v>
      </c>
      <c r="F33" s="3106" t="s">
        <v>2465</v>
      </c>
      <c r="G33" s="3106"/>
    </row>
    <row r="34" spans="1:7" ht="19.5" customHeight="1">
      <c r="A34" s="3804"/>
      <c r="B34" s="3800"/>
      <c r="C34" s="3107" t="s">
        <v>2466</v>
      </c>
      <c r="D34" s="3108"/>
      <c r="E34" s="3109">
        <v>0.6</v>
      </c>
      <c r="F34" s="3106" t="s">
        <v>2467</v>
      </c>
      <c r="G34" s="3106"/>
    </row>
    <row r="35" spans="1:7" ht="19.5" customHeight="1">
      <c r="A35" s="3804"/>
      <c r="B35" s="3800"/>
      <c r="C35" s="3107" t="s">
        <v>2468</v>
      </c>
      <c r="D35" s="3108"/>
      <c r="E35" s="3109">
        <v>0.2</v>
      </c>
      <c r="F35" s="3106" t="s">
        <v>2469</v>
      </c>
      <c r="G35" s="3106"/>
    </row>
    <row r="36" spans="1:7" ht="19.5" customHeight="1">
      <c r="A36" s="3804"/>
      <c r="B36" s="3800"/>
      <c r="C36" s="3107" t="s">
        <v>2470</v>
      </c>
      <c r="D36" s="3108"/>
      <c r="E36" s="3109">
        <v>0.2</v>
      </c>
      <c r="F36" s="3106" t="s">
        <v>2471</v>
      </c>
      <c r="G36" s="3106"/>
    </row>
    <row r="37" spans="1:7" ht="19.5" customHeight="1">
      <c r="A37" s="3804"/>
      <c r="B37" s="3798" t="s">
        <v>2632</v>
      </c>
      <c r="C37" s="3107" t="s">
        <v>2472</v>
      </c>
      <c r="D37" s="3108"/>
      <c r="E37" s="3109">
        <v>0.6</v>
      </c>
      <c r="F37" s="3106" t="s">
        <v>2473</v>
      </c>
      <c r="G37" s="3106"/>
    </row>
    <row r="38" spans="1:7" ht="19.5" customHeight="1">
      <c r="A38" s="3804"/>
      <c r="B38" s="3800"/>
      <c r="C38" s="3107" t="s">
        <v>2474</v>
      </c>
      <c r="D38" s="3108"/>
      <c r="E38" s="3109">
        <v>0.6</v>
      </c>
      <c r="F38" s="3106" t="s">
        <v>2475</v>
      </c>
      <c r="G38" s="3106"/>
    </row>
    <row r="39" spans="1:7" ht="19.5" customHeight="1" thickBot="1">
      <c r="A39" s="3805"/>
      <c r="B39" s="380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6" t="s">
        <v>2610</v>
      </c>
      <c r="B41" s="3801" t="s">
        <v>2634</v>
      </c>
      <c r="C41" s="3103" t="s">
        <v>2479</v>
      </c>
      <c r="D41" s="3104"/>
      <c r="E41" s="3105">
        <v>1</v>
      </c>
      <c r="F41" s="3106" t="s">
        <v>2480</v>
      </c>
      <c r="G41" s="3106"/>
    </row>
    <row r="42" spans="1:7" ht="19.5" customHeight="1">
      <c r="A42" s="3807"/>
      <c r="B42" s="3800"/>
      <c r="C42" s="3107" t="s">
        <v>2481</v>
      </c>
      <c r="D42" s="3108"/>
      <c r="E42" s="3109">
        <v>1</v>
      </c>
      <c r="F42" s="3106" t="s">
        <v>2482</v>
      </c>
      <c r="G42" s="3106"/>
    </row>
    <row r="43" spans="1:7" ht="19.5" customHeight="1">
      <c r="A43" s="3807"/>
      <c r="B43" s="3799"/>
      <c r="C43" s="3107" t="s">
        <v>2483</v>
      </c>
      <c r="D43" s="3108"/>
      <c r="E43" s="3109">
        <v>1.5</v>
      </c>
      <c r="F43" s="3106" t="s">
        <v>2484</v>
      </c>
      <c r="G43" s="3106"/>
    </row>
    <row r="44" spans="1:7" ht="19.5" customHeight="1">
      <c r="A44" s="3807"/>
      <c r="B44" s="3118" t="s">
        <v>2635</v>
      </c>
      <c r="C44" s="3107" t="s">
        <v>2636</v>
      </c>
      <c r="D44" s="3108"/>
      <c r="E44" s="3109">
        <v>2</v>
      </c>
      <c r="F44" s="3106" t="s">
        <v>2485</v>
      </c>
      <c r="G44" s="3106"/>
    </row>
    <row r="45" spans="1:7" ht="19.5" customHeight="1">
      <c r="A45" s="3807"/>
      <c r="B45" s="3798" t="s">
        <v>2637</v>
      </c>
      <c r="C45" s="3107" t="s">
        <v>2486</v>
      </c>
      <c r="D45" s="3108"/>
      <c r="E45" s="3109">
        <v>1</v>
      </c>
      <c r="F45" s="3106" t="s">
        <v>2487</v>
      </c>
      <c r="G45" s="3106"/>
    </row>
    <row r="46" spans="1:7" ht="19.5" customHeight="1">
      <c r="A46" s="3807"/>
      <c r="B46" s="3800"/>
      <c r="C46" s="3107" t="s">
        <v>2488</v>
      </c>
      <c r="D46" s="3108"/>
      <c r="E46" s="3109">
        <v>1</v>
      </c>
      <c r="F46" s="3106" t="s">
        <v>2489</v>
      </c>
      <c r="G46" s="3106"/>
    </row>
    <row r="47" spans="1:7" ht="19.5" customHeight="1">
      <c r="A47" s="3807"/>
      <c r="B47" s="3800"/>
      <c r="C47" s="3107" t="s">
        <v>2490</v>
      </c>
      <c r="D47" s="3108"/>
      <c r="E47" s="3109">
        <v>1</v>
      </c>
      <c r="F47" s="3106" t="s">
        <v>2491</v>
      </c>
      <c r="G47" s="3106"/>
    </row>
    <row r="48" spans="1:7" ht="19.5" customHeight="1">
      <c r="A48" s="3807"/>
      <c r="B48" s="3800"/>
      <c r="C48" s="3107" t="s">
        <v>2492</v>
      </c>
      <c r="D48" s="3108"/>
      <c r="E48" s="3109">
        <v>1</v>
      </c>
      <c r="F48" s="3106" t="s">
        <v>2493</v>
      </c>
      <c r="G48" s="3106"/>
    </row>
    <row r="49" spans="1:7" ht="19.5" customHeight="1">
      <c r="A49" s="3807"/>
      <c r="B49" s="3800"/>
      <c r="C49" s="3107" t="s">
        <v>2494</v>
      </c>
      <c r="D49" s="3108"/>
      <c r="E49" s="3109">
        <v>1</v>
      </c>
      <c r="F49" s="3106" t="s">
        <v>2495</v>
      </c>
      <c r="G49" s="3106"/>
    </row>
    <row r="50" spans="1:7" ht="19.5" customHeight="1">
      <c r="A50" s="3807"/>
      <c r="B50" s="3800"/>
      <c r="C50" s="3107" t="s">
        <v>2496</v>
      </c>
      <c r="D50" s="3108"/>
      <c r="E50" s="3109">
        <v>1</v>
      </c>
      <c r="F50" s="3106" t="s">
        <v>2497</v>
      </c>
      <c r="G50" s="3106"/>
    </row>
    <row r="51" spans="1:7" ht="19.5" customHeight="1" thickBot="1">
      <c r="A51" s="3808"/>
      <c r="B51" s="380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8" t="s">
        <v>2651</v>
      </c>
      <c r="C73" s="3092" t="s">
        <v>2652</v>
      </c>
      <c r="D73" s="3092" t="s">
        <v>2653</v>
      </c>
      <c r="E73" s="3118">
        <v>0.2</v>
      </c>
      <c r="F73" s="3118">
        <v>25</v>
      </c>
    </row>
    <row r="74" spans="1:7" ht="24">
      <c r="A74" s="3118">
        <v>2</v>
      </c>
      <c r="B74" s="3800"/>
      <c r="C74" s="3092" t="s">
        <v>2654</v>
      </c>
      <c r="D74" s="3092" t="s">
        <v>2655</v>
      </c>
      <c r="E74" s="3118">
        <v>0.2</v>
      </c>
      <c r="F74" s="3118">
        <v>25</v>
      </c>
    </row>
    <row r="75" spans="1:7" ht="24">
      <c r="A75" s="3118">
        <v>3</v>
      </c>
      <c r="B75" s="3800"/>
      <c r="C75" s="3092" t="s">
        <v>2656</v>
      </c>
      <c r="D75" s="3092" t="s">
        <v>2657</v>
      </c>
      <c r="E75" s="3118">
        <v>0.2</v>
      </c>
      <c r="F75" s="3118">
        <v>25</v>
      </c>
    </row>
    <row r="76" spans="1:7" ht="14.4">
      <c r="A76" s="3118">
        <v>4</v>
      </c>
      <c r="B76" s="3800"/>
      <c r="C76" s="3092" t="s">
        <v>2658</v>
      </c>
      <c r="D76" s="3092" t="s">
        <v>2659</v>
      </c>
      <c r="E76" s="3118">
        <v>0.15</v>
      </c>
      <c r="F76" s="3118">
        <v>20</v>
      </c>
    </row>
    <row r="77" spans="1:7" ht="24">
      <c r="A77" s="3118">
        <v>5</v>
      </c>
      <c r="B77" s="3800"/>
      <c r="C77" s="3092" t="s">
        <v>2660</v>
      </c>
      <c r="D77" s="3092" t="s">
        <v>2661</v>
      </c>
      <c r="E77" s="3118">
        <v>0.15</v>
      </c>
      <c r="F77" s="3118">
        <v>20</v>
      </c>
    </row>
    <row r="78" spans="1:7" ht="24">
      <c r="A78" s="3118">
        <v>6</v>
      </c>
      <c r="B78" s="3800"/>
      <c r="C78" s="3092" t="s">
        <v>2662</v>
      </c>
      <c r="D78" s="3092" t="s">
        <v>2663</v>
      </c>
      <c r="E78" s="3118">
        <v>0.15</v>
      </c>
      <c r="F78" s="3118">
        <v>20</v>
      </c>
    </row>
    <row r="79" spans="1:7" ht="24">
      <c r="A79" s="3118">
        <v>7</v>
      </c>
      <c r="B79" s="3800"/>
      <c r="C79" s="3092" t="s">
        <v>2664</v>
      </c>
      <c r="D79" s="3092" t="s">
        <v>2665</v>
      </c>
      <c r="E79" s="3118">
        <v>0.15</v>
      </c>
      <c r="F79" s="3118">
        <v>20</v>
      </c>
    </row>
    <row r="80" spans="1:7" ht="24">
      <c r="A80" s="3118">
        <v>8</v>
      </c>
      <c r="B80" s="3800"/>
      <c r="C80" s="3092" t="s">
        <v>2666</v>
      </c>
      <c r="D80" s="3092" t="s">
        <v>2667</v>
      </c>
      <c r="E80" s="3118">
        <v>0.1</v>
      </c>
      <c r="F80" s="3118">
        <v>15</v>
      </c>
    </row>
    <row r="81" spans="1:6" ht="24">
      <c r="A81" s="3118">
        <v>9</v>
      </c>
      <c r="B81" s="3800"/>
      <c r="C81" s="3092" t="s">
        <v>2668</v>
      </c>
      <c r="D81" s="3092" t="s">
        <v>2669</v>
      </c>
      <c r="E81" s="3118">
        <v>0.1</v>
      </c>
      <c r="F81" s="3118">
        <v>15</v>
      </c>
    </row>
    <row r="82" spans="1:6" ht="24">
      <c r="A82" s="3118">
        <v>10</v>
      </c>
      <c r="B82" s="3800"/>
      <c r="C82" s="3092" t="s">
        <v>2670</v>
      </c>
      <c r="D82" s="3092" t="s">
        <v>2671</v>
      </c>
      <c r="E82" s="3118">
        <v>0.1</v>
      </c>
      <c r="F82" s="3118">
        <v>15</v>
      </c>
    </row>
    <row r="83" spans="1:6" ht="24">
      <c r="A83" s="3118">
        <v>11</v>
      </c>
      <c r="B83" s="3800"/>
      <c r="C83" s="3092" t="s">
        <v>2672</v>
      </c>
      <c r="D83" s="3092" t="s">
        <v>2673</v>
      </c>
      <c r="E83" s="3118">
        <v>0.1</v>
      </c>
      <c r="F83" s="3118">
        <v>15</v>
      </c>
    </row>
    <row r="84" spans="1:6" ht="24">
      <c r="A84" s="3118">
        <v>12</v>
      </c>
      <c r="B84" s="3800"/>
      <c r="C84" s="3092" t="s">
        <v>2674</v>
      </c>
      <c r="D84" s="3092" t="s">
        <v>2675</v>
      </c>
      <c r="E84" s="3118">
        <v>0.1</v>
      </c>
      <c r="F84" s="3118">
        <v>15</v>
      </c>
    </row>
    <row r="85" spans="1:6" ht="24">
      <c r="A85" s="3118">
        <v>13</v>
      </c>
      <c r="B85" s="3800"/>
      <c r="C85" s="3092" t="s">
        <v>2676</v>
      </c>
      <c r="D85" s="3092" t="s">
        <v>2677</v>
      </c>
      <c r="E85" s="3118">
        <v>0.1</v>
      </c>
      <c r="F85" s="3118">
        <v>15</v>
      </c>
    </row>
    <row r="86" spans="1:6" ht="24">
      <c r="A86" s="3118">
        <v>14</v>
      </c>
      <c r="B86" s="3800"/>
      <c r="C86" s="3092" t="s">
        <v>2678</v>
      </c>
      <c r="D86" s="3092" t="s">
        <v>2679</v>
      </c>
      <c r="E86" s="3118">
        <v>0.1</v>
      </c>
      <c r="F86" s="3118">
        <v>15</v>
      </c>
    </row>
    <row r="87" spans="1:6" ht="24">
      <c r="A87" s="3118">
        <v>15</v>
      </c>
      <c r="B87" s="3800"/>
      <c r="C87" s="3092" t="s">
        <v>2680</v>
      </c>
      <c r="D87" s="3092" t="s">
        <v>2681</v>
      </c>
      <c r="E87" s="3118">
        <v>0.1</v>
      </c>
      <c r="F87" s="3118">
        <v>15</v>
      </c>
    </row>
    <row r="88" spans="1:6" ht="24">
      <c r="A88" s="3118">
        <v>16</v>
      </c>
      <c r="B88" s="3800"/>
      <c r="C88" s="3092" t="s">
        <v>2682</v>
      </c>
      <c r="D88" s="3092" t="s">
        <v>2683</v>
      </c>
      <c r="E88" s="3118">
        <v>0.1</v>
      </c>
      <c r="F88" s="3118">
        <v>15</v>
      </c>
    </row>
    <row r="89" spans="1:6" ht="24">
      <c r="A89" s="3118">
        <v>17</v>
      </c>
      <c r="B89" s="3799"/>
      <c r="C89" s="3092" t="s">
        <v>2684</v>
      </c>
      <c r="D89" s="3092" t="s">
        <v>2685</v>
      </c>
      <c r="E89" s="3118">
        <v>0.1</v>
      </c>
      <c r="F89" s="3118">
        <v>15</v>
      </c>
    </row>
    <row r="90" spans="1:6" ht="14.4">
      <c r="A90" s="3118">
        <v>18</v>
      </c>
      <c r="B90" s="3798" t="s">
        <v>2686</v>
      </c>
      <c r="C90" s="3092" t="s">
        <v>2687</v>
      </c>
      <c r="D90" s="3092" t="s">
        <v>2688</v>
      </c>
      <c r="E90" s="3118">
        <v>0.2</v>
      </c>
      <c r="F90" s="3118">
        <v>25</v>
      </c>
    </row>
    <row r="91" spans="1:6" ht="24">
      <c r="A91" s="3118">
        <v>19</v>
      </c>
      <c r="B91" s="3800"/>
      <c r="C91" s="3092" t="s">
        <v>2689</v>
      </c>
      <c r="D91" s="3092" t="s">
        <v>2690</v>
      </c>
      <c r="E91" s="3118">
        <v>0.2</v>
      </c>
      <c r="F91" s="3118">
        <v>25</v>
      </c>
    </row>
    <row r="92" spans="1:6" ht="14.4">
      <c r="A92" s="3118">
        <v>20</v>
      </c>
      <c r="B92" s="3800"/>
      <c r="C92" s="3092" t="s">
        <v>2691</v>
      </c>
      <c r="D92" s="3092" t="s">
        <v>2692</v>
      </c>
      <c r="E92" s="3118">
        <v>0.15</v>
      </c>
      <c r="F92" s="3118">
        <v>20</v>
      </c>
    </row>
    <row r="93" spans="1:6" ht="24">
      <c r="A93" s="3118">
        <v>21</v>
      </c>
      <c r="B93" s="3800"/>
      <c r="C93" s="3092" t="s">
        <v>2693</v>
      </c>
      <c r="D93" s="3092" t="s">
        <v>2694</v>
      </c>
      <c r="E93" s="3118">
        <v>0.15</v>
      </c>
      <c r="F93" s="3118">
        <v>20</v>
      </c>
    </row>
    <row r="94" spans="1:6" ht="24">
      <c r="A94" s="3118">
        <v>22</v>
      </c>
      <c r="B94" s="3800"/>
      <c r="C94" s="3092" t="s">
        <v>2695</v>
      </c>
      <c r="D94" s="3092" t="s">
        <v>2696</v>
      </c>
      <c r="E94" s="3118">
        <v>0.15</v>
      </c>
      <c r="F94" s="3118">
        <v>20</v>
      </c>
    </row>
    <row r="95" spans="1:6" ht="36">
      <c r="A95" s="3118">
        <v>23</v>
      </c>
      <c r="B95" s="3800"/>
      <c r="C95" s="3092" t="s">
        <v>2697</v>
      </c>
      <c r="D95" s="3092" t="s">
        <v>2698</v>
      </c>
      <c r="E95" s="3118">
        <v>0.15</v>
      </c>
      <c r="F95" s="3118">
        <v>20</v>
      </c>
    </row>
    <row r="96" spans="1:6" ht="24">
      <c r="A96" s="3118">
        <v>24</v>
      </c>
      <c r="B96" s="3800"/>
      <c r="C96" s="3092" t="s">
        <v>2699</v>
      </c>
      <c r="D96" s="3092" t="s">
        <v>2700</v>
      </c>
      <c r="E96" s="3118">
        <v>0.1</v>
      </c>
      <c r="F96" s="3118">
        <v>15</v>
      </c>
    </row>
    <row r="97" spans="1:6" ht="24">
      <c r="A97" s="3118">
        <v>25</v>
      </c>
      <c r="B97" s="3800"/>
      <c r="C97" s="3092" t="s">
        <v>2701</v>
      </c>
      <c r="D97" s="3092" t="s">
        <v>2702</v>
      </c>
      <c r="E97" s="3118">
        <v>0.1</v>
      </c>
      <c r="F97" s="3118">
        <v>15</v>
      </c>
    </row>
    <row r="98" spans="1:6" ht="24">
      <c r="A98" s="3118">
        <v>26</v>
      </c>
      <c r="B98" s="3800"/>
      <c r="C98" s="3092" t="s">
        <v>2703</v>
      </c>
      <c r="D98" s="3092" t="s">
        <v>2704</v>
      </c>
      <c r="E98" s="3118">
        <v>0.1</v>
      </c>
      <c r="F98" s="3118">
        <v>15</v>
      </c>
    </row>
    <row r="99" spans="1:6" ht="24">
      <c r="A99" s="3118">
        <v>27</v>
      </c>
      <c r="B99" s="3800"/>
      <c r="C99" s="3092" t="s">
        <v>2705</v>
      </c>
      <c r="D99" s="3092" t="s">
        <v>2706</v>
      </c>
      <c r="E99" s="3118">
        <v>0.1</v>
      </c>
      <c r="F99" s="3118">
        <v>15</v>
      </c>
    </row>
    <row r="100" spans="1:6" ht="24">
      <c r="A100" s="3118">
        <v>28</v>
      </c>
      <c r="B100" s="3800"/>
      <c r="C100" s="3092" t="s">
        <v>2707</v>
      </c>
      <c r="D100" s="3092" t="s">
        <v>2708</v>
      </c>
      <c r="E100" s="3118">
        <v>0.1</v>
      </c>
      <c r="F100" s="3118">
        <v>15</v>
      </c>
    </row>
    <row r="101" spans="1:6" ht="24">
      <c r="A101" s="3118">
        <v>29</v>
      </c>
      <c r="B101" s="3800"/>
      <c r="C101" s="3092" t="s">
        <v>2709</v>
      </c>
      <c r="D101" s="3092" t="s">
        <v>2710</v>
      </c>
      <c r="E101" s="3118">
        <v>0.1</v>
      </c>
      <c r="F101" s="3118">
        <v>15</v>
      </c>
    </row>
    <row r="102" spans="1:6" ht="24">
      <c r="A102" s="3118">
        <v>30</v>
      </c>
      <c r="B102" s="3800"/>
      <c r="C102" s="3092" t="s">
        <v>2711</v>
      </c>
      <c r="D102" s="3092" t="s">
        <v>2712</v>
      </c>
      <c r="E102" s="3118">
        <v>0.1</v>
      </c>
      <c r="F102" s="3118">
        <v>15</v>
      </c>
    </row>
    <row r="103" spans="1:6" ht="24">
      <c r="A103" s="3118">
        <v>31</v>
      </c>
      <c r="B103" s="3800"/>
      <c r="C103" s="3092" t="s">
        <v>2713</v>
      </c>
      <c r="D103" s="3092" t="s">
        <v>2714</v>
      </c>
      <c r="E103" s="3118">
        <v>0.1</v>
      </c>
      <c r="F103" s="3118">
        <v>15</v>
      </c>
    </row>
    <row r="104" spans="1:6" ht="24">
      <c r="A104" s="3118">
        <v>32</v>
      </c>
      <c r="B104" s="3800"/>
      <c r="C104" s="3092" t="s">
        <v>2715</v>
      </c>
      <c r="D104" s="3092" t="s">
        <v>2716</v>
      </c>
      <c r="E104" s="3118">
        <v>0.1</v>
      </c>
      <c r="F104" s="3118">
        <v>15</v>
      </c>
    </row>
    <row r="105" spans="1:6" ht="24">
      <c r="A105" s="3118">
        <v>33</v>
      </c>
      <c r="B105" s="3800"/>
      <c r="C105" s="3092" t="s">
        <v>2717</v>
      </c>
      <c r="D105" s="3092" t="s">
        <v>2718</v>
      </c>
      <c r="E105" s="3118">
        <v>0.1</v>
      </c>
      <c r="F105" s="3118">
        <v>15</v>
      </c>
    </row>
    <row r="106" spans="1:6" ht="24">
      <c r="A106" s="3118">
        <v>34</v>
      </c>
      <c r="B106" s="3799"/>
      <c r="C106" s="3092" t="s">
        <v>2719</v>
      </c>
      <c r="D106" s="3092" t="s">
        <v>2720</v>
      </c>
      <c r="E106" s="3118">
        <v>0.1</v>
      </c>
      <c r="F106" s="3118">
        <v>15</v>
      </c>
    </row>
    <row r="107" spans="1:6" ht="36">
      <c r="A107" s="3118">
        <v>35</v>
      </c>
      <c r="B107" s="3798" t="s">
        <v>2721</v>
      </c>
      <c r="C107" s="3118" t="s">
        <v>2722</v>
      </c>
      <c r="D107" s="3092" t="s">
        <v>2723</v>
      </c>
      <c r="E107" s="3118">
        <v>0.15</v>
      </c>
      <c r="F107" s="3118">
        <v>20</v>
      </c>
    </row>
    <row r="108" spans="1:6" ht="24">
      <c r="A108" s="3118">
        <v>36</v>
      </c>
      <c r="B108" s="3800"/>
      <c r="C108" s="3118" t="s">
        <v>2724</v>
      </c>
      <c r="D108" s="3092" t="s">
        <v>2725</v>
      </c>
      <c r="E108" s="3118">
        <v>0.15</v>
      </c>
      <c r="F108" s="3118">
        <v>20</v>
      </c>
    </row>
    <row r="109" spans="1:6" ht="24">
      <c r="A109" s="3118">
        <v>37</v>
      </c>
      <c r="B109" s="3800"/>
      <c r="C109" s="3118" t="s">
        <v>2726</v>
      </c>
      <c r="D109" s="3092" t="s">
        <v>2727</v>
      </c>
      <c r="E109" s="3118">
        <v>0.15</v>
      </c>
      <c r="F109" s="3118">
        <v>20</v>
      </c>
    </row>
    <row r="110" spans="1:6" ht="24">
      <c r="A110" s="3118">
        <v>38</v>
      </c>
      <c r="B110" s="3800"/>
      <c r="C110" s="3118" t="s">
        <v>2728</v>
      </c>
      <c r="D110" s="3092" t="s">
        <v>2729</v>
      </c>
      <c r="E110" s="3118">
        <v>0.1</v>
      </c>
      <c r="F110" s="3118">
        <v>15</v>
      </c>
    </row>
    <row r="111" spans="1:6" ht="24">
      <c r="A111" s="3118">
        <v>39</v>
      </c>
      <c r="B111" s="3800"/>
      <c r="C111" s="3118" t="s">
        <v>2730</v>
      </c>
      <c r="D111" s="3092" t="s">
        <v>2731</v>
      </c>
      <c r="E111" s="3118">
        <v>0.1</v>
      </c>
      <c r="F111" s="3118">
        <v>15</v>
      </c>
    </row>
    <row r="112" spans="1:6" ht="24">
      <c r="A112" s="3118">
        <v>40</v>
      </c>
      <c r="B112" s="3799"/>
      <c r="C112" s="3118" t="s">
        <v>2732</v>
      </c>
      <c r="D112" s="3092" t="s">
        <v>2733</v>
      </c>
      <c r="E112" s="3118">
        <v>0.1</v>
      </c>
      <c r="F112" s="3118">
        <v>15</v>
      </c>
    </row>
    <row r="113" spans="1:6" ht="24">
      <c r="A113" s="3118">
        <v>41</v>
      </c>
      <c r="B113" s="3797" t="s">
        <v>2734</v>
      </c>
      <c r="C113" s="3118" t="s">
        <v>2735</v>
      </c>
      <c r="D113" s="3092" t="s">
        <v>2736</v>
      </c>
      <c r="E113" s="3118">
        <v>0.1</v>
      </c>
      <c r="F113" s="3118">
        <v>15</v>
      </c>
    </row>
    <row r="114" spans="1:6" ht="24">
      <c r="A114" s="3118">
        <v>42</v>
      </c>
      <c r="B114" s="3797"/>
      <c r="C114" s="3118" t="s">
        <v>2737</v>
      </c>
      <c r="D114" s="3092" t="s">
        <v>2738</v>
      </c>
      <c r="E114" s="3118">
        <v>0.1</v>
      </c>
      <c r="F114" s="3118">
        <v>15</v>
      </c>
    </row>
    <row r="115" spans="1:6" ht="24">
      <c r="A115" s="3118">
        <v>43</v>
      </c>
      <c r="B115" s="3797"/>
      <c r="C115" s="3118" t="s">
        <v>2739</v>
      </c>
      <c r="D115" s="3092" t="s">
        <v>2740</v>
      </c>
      <c r="E115" s="3118">
        <v>0.1</v>
      </c>
      <c r="F115" s="3118">
        <v>15</v>
      </c>
    </row>
    <row r="116" spans="1:6" ht="24">
      <c r="A116" s="3118">
        <v>44</v>
      </c>
      <c r="B116" s="3798" t="s">
        <v>2741</v>
      </c>
      <c r="C116" s="3118" t="s">
        <v>2742</v>
      </c>
      <c r="D116" s="3092" t="s">
        <v>2743</v>
      </c>
      <c r="E116" s="3118">
        <v>0.1</v>
      </c>
      <c r="F116" s="3118">
        <v>15</v>
      </c>
    </row>
    <row r="117" spans="1:6" ht="24">
      <c r="A117" s="3118">
        <v>45</v>
      </c>
      <c r="B117" s="3799"/>
      <c r="C117" s="3092" t="s">
        <v>2744</v>
      </c>
      <c r="D117" s="3092" t="s">
        <v>2745</v>
      </c>
      <c r="E117" s="3118">
        <v>0.1</v>
      </c>
      <c r="F117" s="3118">
        <v>15</v>
      </c>
    </row>
    <row r="118" spans="1:6" ht="24">
      <c r="A118" s="3118">
        <v>46</v>
      </c>
      <c r="B118" s="3798" t="s">
        <v>2746</v>
      </c>
      <c r="C118" s="3118" t="s">
        <v>2747</v>
      </c>
      <c r="D118" s="3092" t="s">
        <v>2748</v>
      </c>
      <c r="E118" s="3118">
        <v>0.1</v>
      </c>
      <c r="F118" s="3118">
        <v>15</v>
      </c>
    </row>
    <row r="119" spans="1:6" ht="24">
      <c r="A119" s="3118">
        <v>47</v>
      </c>
      <c r="B119" s="3799"/>
      <c r="C119" s="3118" t="s">
        <v>2749</v>
      </c>
      <c r="D119" s="3092" t="s">
        <v>2750</v>
      </c>
      <c r="E119" s="3118">
        <v>0.1</v>
      </c>
      <c r="F119" s="3118">
        <v>15</v>
      </c>
    </row>
    <row r="120" spans="1:6" ht="24">
      <c r="A120" s="3118">
        <v>48</v>
      </c>
      <c r="B120" s="3798" t="s">
        <v>2751</v>
      </c>
      <c r="C120" s="3118" t="s">
        <v>2752</v>
      </c>
      <c r="D120" s="3092" t="s">
        <v>2753</v>
      </c>
      <c r="E120" s="3118">
        <v>0.1</v>
      </c>
      <c r="F120" s="3118">
        <v>15</v>
      </c>
    </row>
    <row r="121" spans="1:6" ht="24">
      <c r="A121" s="3118">
        <v>49</v>
      </c>
      <c r="B121" s="3799"/>
      <c r="C121" s="3118" t="s">
        <v>2754</v>
      </c>
      <c r="D121" s="3092" t="s">
        <v>2755</v>
      </c>
      <c r="E121" s="3118">
        <v>0.1</v>
      </c>
      <c r="F121" s="3118">
        <v>15</v>
      </c>
    </row>
    <row r="122" spans="1:6" ht="24">
      <c r="A122" s="3118">
        <v>50</v>
      </c>
      <c r="B122" s="3797" t="s">
        <v>2756</v>
      </c>
      <c r="C122" s="3118" t="s">
        <v>2757</v>
      </c>
      <c r="D122" s="3092" t="s">
        <v>2758</v>
      </c>
      <c r="E122" s="3118">
        <v>0.1</v>
      </c>
      <c r="F122" s="3118">
        <v>15</v>
      </c>
    </row>
    <row r="123" spans="1:6" ht="24">
      <c r="A123" s="3118">
        <v>51</v>
      </c>
      <c r="B123" s="3797"/>
      <c r="C123" s="3118" t="s">
        <v>2759</v>
      </c>
      <c r="D123" s="3092" t="s">
        <v>2760</v>
      </c>
      <c r="E123" s="3118">
        <v>0.1</v>
      </c>
      <c r="F123" s="3118">
        <v>15</v>
      </c>
    </row>
    <row r="124" spans="1:6" ht="24">
      <c r="A124" s="3118">
        <v>52</v>
      </c>
      <c r="B124" s="3797" t="s">
        <v>2761</v>
      </c>
      <c r="C124" s="3118" t="s">
        <v>2762</v>
      </c>
      <c r="D124" s="3092" t="s">
        <v>2763</v>
      </c>
      <c r="E124" s="3118">
        <v>0.1</v>
      </c>
      <c r="F124" s="3118">
        <v>15</v>
      </c>
    </row>
    <row r="125" spans="1:6" ht="24">
      <c r="A125" s="3118">
        <v>53</v>
      </c>
      <c r="B125" s="3797"/>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7" t="s">
        <v>2769</v>
      </c>
      <c r="C127" s="3118" t="s">
        <v>2770</v>
      </c>
      <c r="D127" s="3092" t="s">
        <v>2771</v>
      </c>
      <c r="E127" s="3118">
        <v>0.1</v>
      </c>
      <c r="F127" s="3118">
        <v>15</v>
      </c>
    </row>
    <row r="128" spans="1:6" ht="24">
      <c r="A128" s="3118">
        <v>56</v>
      </c>
      <c r="B128" s="3797"/>
      <c r="C128" s="3118" t="s">
        <v>2772</v>
      </c>
      <c r="D128" s="3092" t="s">
        <v>2773</v>
      </c>
      <c r="E128" s="3118">
        <v>0.1</v>
      </c>
      <c r="F128" s="3118">
        <v>15</v>
      </c>
    </row>
    <row r="129" spans="1:6" ht="24">
      <c r="A129" s="3118">
        <v>57</v>
      </c>
      <c r="B129" s="3797"/>
      <c r="C129" s="3118" t="s">
        <v>2774</v>
      </c>
      <c r="D129" s="3092" t="s">
        <v>2775</v>
      </c>
      <c r="E129" s="3118">
        <v>0.1</v>
      </c>
      <c r="F129" s="3118">
        <v>15</v>
      </c>
    </row>
    <row r="130" spans="1:6" ht="24">
      <c r="A130" s="3118">
        <v>58</v>
      </c>
      <c r="B130" s="3797" t="s">
        <v>2776</v>
      </c>
      <c r="C130" s="3118" t="s">
        <v>2777</v>
      </c>
      <c r="D130" s="3092" t="s">
        <v>2778</v>
      </c>
      <c r="E130" s="3118">
        <v>0.1</v>
      </c>
      <c r="F130" s="3118">
        <v>15</v>
      </c>
    </row>
    <row r="131" spans="1:6" ht="24">
      <c r="A131" s="3118">
        <v>59</v>
      </c>
      <c r="B131" s="3797"/>
      <c r="C131" s="3118" t="s">
        <v>2779</v>
      </c>
      <c r="D131" s="3092" t="s">
        <v>2780</v>
      </c>
      <c r="E131" s="3118">
        <v>0.1</v>
      </c>
      <c r="F131" s="3118">
        <v>15</v>
      </c>
    </row>
    <row r="132" spans="1:6" ht="24">
      <c r="A132" s="3118">
        <v>60</v>
      </c>
      <c r="B132" s="3798" t="s">
        <v>2781</v>
      </c>
      <c r="C132" s="3118" t="s">
        <v>2782</v>
      </c>
      <c r="D132" s="3092" t="s">
        <v>2783</v>
      </c>
      <c r="E132" s="3118">
        <v>0.1</v>
      </c>
      <c r="F132" s="3118">
        <v>15</v>
      </c>
    </row>
    <row r="133" spans="1:6" ht="24">
      <c r="A133" s="3118">
        <v>61</v>
      </c>
      <c r="B133" s="379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7" t="s">
        <v>2789</v>
      </c>
      <c r="C135" s="3118" t="s">
        <v>2790</v>
      </c>
      <c r="D135" s="3092" t="s">
        <v>2791</v>
      </c>
      <c r="E135" s="3118">
        <v>0.1</v>
      </c>
      <c r="F135" s="3118">
        <v>15</v>
      </c>
    </row>
    <row r="136" spans="1:6" ht="24">
      <c r="A136" s="3118">
        <v>64</v>
      </c>
      <c r="B136" s="3797"/>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26950</v>
      </c>
      <c r="C2" s="2" t="s">
        <v>106</v>
      </c>
      <c r="D2" s="199"/>
      <c r="E2" s="199"/>
      <c r="F2" s="199"/>
      <c r="G2" s="199"/>
    </row>
    <row r="3" spans="1:7" s="200" customFormat="1" ht="18" customHeight="1" thickBot="1">
      <c r="A3" s="203" t="s">
        <v>58</v>
      </c>
      <c r="B3" s="204">
        <f ca="1">ROUND(B2*10000/'数据-汇总表'!E3,0)</f>
        <v>4796227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56.19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56.19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1243</v>
      </c>
      <c r="D22" s="235">
        <f ca="1">C26</f>
        <v>2.9999999999999997E-4</v>
      </c>
      <c r="E22" s="236" t="s">
        <v>99</v>
      </c>
      <c r="F22" s="237">
        <f ca="1">'数据-取费表'!B40</f>
        <v>0.06</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1237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26938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56.19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2.9999999999999997E-4</v>
      </c>
      <c r="D44" s="238"/>
      <c r="E44" s="238"/>
      <c r="F44" s="239"/>
      <c r="G44" s="3668"/>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12</v>
      </c>
      <c r="D51" s="232"/>
      <c r="E51" s="232"/>
      <c r="F51" s="264"/>
      <c r="G51" s="234" t="s">
        <v>37</v>
      </c>
    </row>
    <row r="52" spans="1:7" s="208" customFormat="1" ht="16.8" thickBot="1">
      <c r="A52" s="265" t="s">
        <v>38</v>
      </c>
      <c r="B52" s="266"/>
      <c r="C52" s="267">
        <f ca="1">C31+C51</f>
        <v>26950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1" t="s">
        <v>2839</v>
      </c>
      <c r="B1" s="3811"/>
      <c r="C1" s="3811"/>
      <c r="D1" s="3811"/>
      <c r="E1" s="3811"/>
      <c r="F1" s="3811"/>
      <c r="G1" s="381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3" t="s">
        <v>3181</v>
      </c>
      <c r="B1" s="3813"/>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4" t="s">
        <v>3232</v>
      </c>
      <c r="B1" s="3814"/>
      <c r="C1" s="3814"/>
      <c r="D1" s="3814"/>
      <c r="E1" s="3814"/>
      <c r="F1" s="381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41530</v>
      </c>
      <c r="B1" s="3210" t="s">
        <v>3371</v>
      </c>
      <c r="C1" s="3211"/>
      <c r="D1" s="3211"/>
      <c r="E1" s="3211"/>
      <c r="F1" s="3211"/>
      <c r="G1" s="3211"/>
      <c r="H1" s="3211"/>
      <c r="I1" s="3211"/>
      <c r="J1" s="3165"/>
      <c r="K1" s="3211" t="s">
        <v>454</v>
      </c>
      <c r="L1" s="3211"/>
      <c r="M1" s="3211"/>
      <c r="N1" s="3211"/>
      <c r="O1" s="3211"/>
      <c r="P1" s="3211"/>
      <c r="Q1" s="3165"/>
      <c r="R1" s="3816" t="s">
        <v>456</v>
      </c>
      <c r="S1" s="3817"/>
      <c r="T1" s="3817"/>
      <c r="U1" s="3817"/>
      <c r="V1" s="3817"/>
      <c r="W1" s="3817"/>
      <c r="X1" s="3165"/>
      <c r="Y1" s="3816" t="s">
        <v>457</v>
      </c>
      <c r="Z1" s="3817"/>
      <c r="AA1" s="3817"/>
      <c r="AB1" s="3817"/>
      <c r="AC1" s="3817"/>
      <c r="AD1" s="3817"/>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3378</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3380</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3375</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3374</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3370</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3369</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3368</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3364</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3355</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3366</v>
      </c>
    </row>
    <row r="22" spans="1:30" s="3009" customFormat="1">
      <c r="I22" s="3208" t="s">
        <v>2825</v>
      </c>
    </row>
    <row r="23" spans="1:30" s="3009" customFormat="1"/>
    <row r="24" spans="1:30" s="3209" customFormat="1" ht="13.2">
      <c r="B24" s="3210" t="s">
        <v>3372</v>
      </c>
      <c r="C24" s="3211"/>
      <c r="D24" s="3211"/>
      <c r="E24" s="3211"/>
      <c r="F24" s="3211"/>
      <c r="G24" s="3211"/>
      <c r="H24" s="3211"/>
      <c r="I24" s="3211"/>
      <c r="J24" s="3165"/>
      <c r="K24" s="3211" t="s">
        <v>2826</v>
      </c>
      <c r="L24" s="3211"/>
      <c r="M24" s="3211"/>
      <c r="N24" s="3211"/>
      <c r="O24" s="3211"/>
      <c r="P24" s="3211"/>
      <c r="Q24" s="3165"/>
      <c r="R24" s="3816" t="s">
        <v>2827</v>
      </c>
      <c r="S24" s="3817"/>
      <c r="T24" s="3817"/>
      <c r="U24" s="3817"/>
      <c r="V24" s="3817"/>
      <c r="W24" s="3817"/>
      <c r="X24" s="3165"/>
      <c r="Y24" s="3816" t="s">
        <v>2828</v>
      </c>
      <c r="Z24" s="3817"/>
      <c r="AA24" s="3817"/>
      <c r="AB24" s="3817"/>
      <c r="AC24" s="3817"/>
      <c r="AD24" s="3817"/>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3377</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3378</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3379</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3376</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3374</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3373</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3369</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3368</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3365</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3355</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3367</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41530</v>
      </c>
      <c r="D1" s="1302" t="s">
        <v>603</v>
      </c>
      <c r="E1" s="1297">
        <f>'数据-取费表'!B22</f>
        <v>1</v>
      </c>
      <c r="F1" s="1302" t="s">
        <v>604</v>
      </c>
      <c r="G1" s="1298">
        <f ca="1">INDIRECT("d"&amp;$K$1)/100</f>
        <v>0.06</v>
      </c>
      <c r="H1" s="1302" t="s">
        <v>634</v>
      </c>
      <c r="I1" s="1298">
        <f ca="1">F4/100</f>
        <v>0.03</v>
      </c>
      <c r="J1" s="1303">
        <f>IF(C1&gt;C13,0,MATCH(C1,C$13:C$113,-1))+IF(SUMIF(C13:C113,C1,D13:D113)=0,13,12)</f>
        <v>32</v>
      </c>
      <c r="K1" s="1303">
        <f ca="1">MATCH(E1,C3:C7,1)+IF(SUMIF(C3:C7,E1,D3:D7)=0,2,1)</f>
        <v>4</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56.19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46010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3"/>
      <c r="E18" s="3522" t="s">
        <v>2161</v>
      </c>
      <c r="F18" s="3521"/>
      <c r="G18" s="352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Sheet2</vt:lpstr>
      <vt:lpstr>甘水桥</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2025-12-19T11:53:23Z</dcterms:modified>
</cp:coreProperties>
</file>