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 i="12" l="1"/>
  <c r="D8" i="12"/>
  <c r="C8" i="12"/>
  <c r="I46" i="39"/>
  <c r="G46" i="39"/>
  <c r="E46" i="39"/>
  <c r="E71" i="39"/>
  <c r="F71" i="39" s="1"/>
  <c r="G71" i="39" s="1"/>
  <c r="H71" i="39" s="1"/>
  <c r="I71" i="39" s="1"/>
  <c r="J71" i="39" s="1"/>
  <c r="K71" i="39" s="1"/>
  <c r="L71" i="39" s="1"/>
  <c r="M71" i="39" s="1"/>
  <c r="N71" i="39" s="1"/>
  <c r="O71" i="39" s="1"/>
  <c r="D71" i="39"/>
  <c r="I38" i="39"/>
  <c r="G38" i="39"/>
  <c r="E38" i="39"/>
  <c r="C38" i="39"/>
  <c r="I11" i="39"/>
  <c r="G11" i="39"/>
  <c r="E11" i="39"/>
  <c r="C11" i="39"/>
  <c r="G13" i="4"/>
  <c r="I7" i="39"/>
  <c r="G7" i="39"/>
  <c r="E7" i="39"/>
  <c r="I5" i="39"/>
  <c r="G5" i="39"/>
  <c r="E5" i="39"/>
  <c r="G21" i="6" l="1"/>
  <c r="F20" i="6"/>
  <c r="F19" i="6"/>
  <c r="AN13" i="3"/>
  <c r="AL13" i="3"/>
  <c r="AF13" i="3"/>
  <c r="AD13" i="3"/>
  <c r="M13" i="3"/>
  <c r="K13" i="3"/>
  <c r="I13" i="3"/>
  <c r="B10" i="77"/>
  <c r="B9" i="77"/>
  <c r="B5" i="77"/>
  <c r="C1" i="73" l="1"/>
  <c r="J1" i="73" s="1"/>
  <c r="G20" i="43"/>
  <c r="I15" i="4"/>
  <c r="I20" i="43"/>
  <c r="J20" i="43"/>
  <c r="C20" i="43"/>
  <c r="B2" i="1"/>
  <c r="G19" i="43"/>
  <c r="M20" i="43" s="1"/>
  <c r="C19" i="43" s="1"/>
  <c r="M19" i="43"/>
  <c r="G2" i="43"/>
  <c r="C6" i="43" s="1"/>
  <c r="G3" i="43"/>
  <c r="F22" i="43" s="1"/>
  <c r="C18" i="43"/>
  <c r="C24" i="43"/>
  <c r="BB10" i="3"/>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A6" i="1"/>
  <c r="J51" i="67"/>
  <c r="B24" i="1"/>
  <c r="J50" i="15"/>
  <c r="J51"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AB6" i="71"/>
  <c r="P7" i="71"/>
  <c r="AA6" i="71"/>
  <c r="O7" i="71"/>
  <c r="Y6" i="71"/>
  <c r="N7"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D13" i="71"/>
  <c r="AH11" i="71"/>
  <c r="AG11" i="71"/>
  <c r="AE11" i="71"/>
  <c r="AF11" i="71"/>
  <c r="AD11" i="71"/>
  <c r="BB13" i="3"/>
  <c r="BC13" i="3"/>
  <c r="BA13" i="3" s="1"/>
  <c r="BD13" i="3"/>
  <c r="BE13" i="3"/>
  <c r="BF13" i="3"/>
  <c r="BG13" i="3"/>
  <c r="BH13" i="3"/>
  <c r="BI13" i="3"/>
  <c r="BJ13" i="3"/>
  <c r="BK13" i="3"/>
  <c r="BM13" i="3"/>
  <c r="BN13" i="3"/>
  <c r="BO13" i="3"/>
  <c r="BP13" i="3"/>
  <c r="BQ13" i="3"/>
  <c r="BR13" i="3"/>
  <c r="BS13" i="3"/>
  <c r="BT13" i="3"/>
  <c r="H13" i="3"/>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C7" i="68"/>
  <c r="C5" i="68" s="1"/>
  <c r="W21" i="21"/>
  <c r="AC21" i="21"/>
  <c r="Q72" i="67"/>
  <c r="Q59" i="67"/>
  <c r="Q58" i="67"/>
  <c r="Q51" i="67"/>
  <c r="J50" i="67"/>
  <c r="M47" i="67"/>
  <c r="D46" i="67"/>
  <c r="F33" i="67"/>
  <c r="F61" i="67"/>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D84" i="43"/>
  <c r="D85" i="43"/>
  <c r="D86" i="43"/>
  <c r="K87" i="43"/>
  <c r="D87" i="43"/>
  <c r="K88" i="43"/>
  <c r="D88" i="43"/>
  <c r="K81" i="43"/>
  <c r="D81" i="43"/>
  <c r="D67" i="43"/>
  <c r="D60" i="43"/>
  <c r="D61" i="43"/>
  <c r="D62" i="43"/>
  <c r="D63" i="43"/>
  <c r="D64" i="43"/>
  <c r="D65" i="43"/>
  <c r="D66" i="43"/>
  <c r="D59" i="43"/>
  <c r="E59" i="43"/>
  <c r="B57" i="43"/>
  <c r="E81" i="43"/>
  <c r="B79" i="43"/>
  <c r="M88" i="43"/>
  <c r="N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G1" i="15" s="1"/>
  <c r="A8" i="1"/>
  <c r="B8" i="1"/>
  <c r="E8" i="1" s="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H15" i="4"/>
  <c r="G15" i="4"/>
  <c r="F8" i="1" s="1"/>
  <c r="G8" i="1" s="1"/>
  <c r="E15" i="4"/>
  <c r="D15" i="4"/>
  <c r="F6" i="1" s="1"/>
  <c r="G6"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F15" i="43"/>
  <c r="E15" i="43"/>
  <c r="D15" i="43"/>
  <c r="C15" i="43"/>
  <c r="C10" i="43"/>
  <c r="C11" i="43"/>
  <c r="C9" i="43"/>
  <c r="A7" i="43"/>
  <c r="F33" i="15"/>
  <c r="F61" i="15"/>
  <c r="M19" i="15"/>
  <c r="M10" i="1"/>
  <c r="O10" i="1" s="1"/>
  <c r="B22" i="1"/>
  <c r="B23" i="1"/>
  <c r="B43" i="1"/>
  <c r="D78" i="9" s="1"/>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s="1"/>
  <c r="F23" i="15"/>
  <c r="D24" i="15"/>
  <c r="M13" i="1"/>
  <c r="O13" i="1" s="1"/>
  <c r="P13" i="1" s="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L16"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27" i="39" s="1"/>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J27" i="39" s="1"/>
  <c r="J19" i="39"/>
  <c r="AC19" i="39"/>
  <c r="J17" i="39"/>
  <c r="F27" i="39"/>
  <c r="AA27"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c r="AC37" i="39"/>
  <c r="W37" i="39"/>
  <c r="H41" i="39"/>
  <c r="AB34" i="39"/>
  <c r="U40" i="39"/>
  <c r="S42" i="39"/>
  <c r="W14" i="39"/>
  <c r="AA41" i="39"/>
  <c r="W9" i="39"/>
  <c r="W8" i="39"/>
  <c r="J19" i="40"/>
  <c r="AC19" i="40"/>
  <c r="J50" i="40"/>
  <c r="B54" i="72"/>
  <c r="H103" i="9"/>
  <c r="D8" i="53"/>
  <c r="B16" i="53"/>
  <c r="B33" i="72"/>
  <c r="C7" i="37"/>
  <c r="C7" i="34"/>
  <c r="C7" i="36"/>
  <c r="W35" i="40"/>
  <c r="A118" i="9"/>
  <c r="A4" i="52"/>
  <c r="B41" i="72"/>
  <c r="F11" i="39"/>
  <c r="AA11" i="39" s="1"/>
  <c r="A12" i="52"/>
  <c r="B56" i="72"/>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c r="BB5" i="3"/>
  <c r="E12" i="6" s="1"/>
  <c r="BR5" i="3"/>
  <c r="G28" i="6"/>
  <c r="AZ380" i="3"/>
  <c r="AZ384" i="3"/>
  <c r="AZ388" i="3"/>
  <c r="AZ392" i="3"/>
  <c r="AZ396" i="3"/>
  <c r="AZ394" i="3"/>
  <c r="AZ499" i="3"/>
  <c r="AZ509" i="3"/>
  <c r="G509" i="3"/>
  <c r="BL493" i="3"/>
  <c r="AZ491" i="3"/>
  <c r="AZ376" i="3"/>
  <c r="AZ390" i="3"/>
  <c r="AZ382" i="3"/>
  <c r="AZ493" i="3"/>
  <c r="U36" i="40"/>
  <c r="F36" i="43"/>
  <c r="N9" i="43"/>
  <c r="F81" i="43"/>
  <c r="H83" i="43" s="1"/>
  <c r="F48" i="43"/>
  <c r="H52" i="43" s="1"/>
  <c r="F70" i="43"/>
  <c r="H73" i="43" s="1"/>
  <c r="M11" i="43"/>
  <c r="D17" i="43"/>
  <c r="F39" i="43"/>
  <c r="I17" i="43"/>
  <c r="F35" i="43"/>
  <c r="J17" i="43"/>
  <c r="U17" i="39"/>
  <c r="S14" i="35"/>
  <c r="U43" i="21"/>
  <c r="U35" i="21"/>
  <c r="AC35" i="21"/>
  <c r="U10" i="2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B113" i="43"/>
  <c r="K101" i="43"/>
  <c r="K103" i="43" s="1"/>
  <c r="F101" i="43"/>
  <c r="N101" i="43"/>
  <c r="N102" i="43" s="1"/>
  <c r="G101" i="43"/>
  <c r="C101" i="43"/>
  <c r="C104" i="43" s="1"/>
  <c r="J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O12" i="1" s="1"/>
  <c r="P12" i="1" s="1"/>
  <c r="S13" i="1"/>
  <c r="R13" i="1"/>
  <c r="S11" i="1"/>
  <c r="R11" i="1"/>
  <c r="S9" i="1"/>
  <c r="R9" i="1"/>
  <c r="C42" i="1"/>
  <c r="B41" i="1"/>
  <c r="F31" i="12" s="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31"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E10" i="6"/>
  <c r="E11" i="6"/>
  <c r="E61" i="39" s="1"/>
  <c r="BL17" i="3"/>
  <c r="AZ17" i="3"/>
  <c r="G30" i="6"/>
  <c r="G31" i="6"/>
  <c r="J56" i="9"/>
  <c r="J57" i="9"/>
  <c r="A24" i="51"/>
  <c r="B18" i="72" s="1"/>
  <c r="U29" i="34"/>
  <c r="C106" i="43"/>
  <c r="E14" i="6"/>
  <c r="E64" i="39" s="1"/>
  <c r="E5" i="6"/>
  <c r="D9" i="11" s="1"/>
  <c r="C9" i="11" s="1"/>
  <c r="I115" i="43"/>
  <c r="J115" i="43" s="1"/>
  <c r="K115" i="43" s="1"/>
  <c r="L115" i="43" s="1"/>
  <c r="M115" i="43" s="1"/>
  <c r="H22" i="43"/>
  <c r="L101" i="43"/>
  <c r="H101" i="43"/>
  <c r="H103" i="43" s="1"/>
  <c r="D101" i="43"/>
  <c r="D109" i="43" s="1"/>
  <c r="M101" i="43"/>
  <c r="M106" i="43" s="1"/>
  <c r="I101" i="43"/>
  <c r="I109" i="43" s="1"/>
  <c r="E101" i="43"/>
  <c r="E109" i="43" s="1"/>
  <c r="E32" i="6"/>
  <c r="L19" i="6"/>
  <c r="L27" i="6" s="1"/>
  <c r="G1" i="68"/>
  <c r="K1" i="12"/>
  <c r="E28" i="6"/>
  <c r="N103" i="43"/>
  <c r="N105" i="43"/>
  <c r="N106" i="43"/>
  <c r="J107" i="43"/>
  <c r="J102" i="43"/>
  <c r="F102" i="43"/>
  <c r="C107" i="43"/>
  <c r="C105" i="43"/>
  <c r="C103" i="43"/>
  <c r="K107" i="43"/>
  <c r="K102" i="43"/>
  <c r="K104" i="43"/>
  <c r="G107" i="43"/>
  <c r="G104" i="43"/>
  <c r="D116" i="43"/>
  <c r="E116" i="43" s="1"/>
  <c r="F116" i="43" s="1"/>
  <c r="G116" i="43" s="1"/>
  <c r="H116" i="43" s="1"/>
  <c r="D118" i="43"/>
  <c r="E118" i="43" s="1"/>
  <c r="F118" i="43" s="1"/>
  <c r="B116" i="43"/>
  <c r="C116" i="43" s="1"/>
  <c r="I117" i="43"/>
  <c r="J117" i="43" s="1"/>
  <c r="K117" i="43" s="1"/>
  <c r="L117" i="43" s="1"/>
  <c r="M117" i="43" s="1"/>
  <c r="I116" i="43"/>
  <c r="J116" i="43" s="1"/>
  <c r="K116" i="43" s="1"/>
  <c r="L116" i="43" s="1"/>
  <c r="M116" i="43" s="1"/>
  <c r="G106" i="43"/>
  <c r="K106" i="43"/>
  <c r="K105" i="43"/>
  <c r="C102" i="43"/>
  <c r="S5" i="43" s="1"/>
  <c r="L102" i="43"/>
  <c r="H104" i="43"/>
  <c r="N104" i="43"/>
  <c r="F105" i="43"/>
  <c r="L105" i="43"/>
  <c r="J106" i="43"/>
  <c r="N107" i="43"/>
  <c r="AR12" i="1"/>
  <c r="T12" i="1"/>
  <c r="T10" i="1"/>
  <c r="E19" i="69"/>
  <c r="E19" i="68"/>
  <c r="E19" i="11"/>
  <c r="E1" i="73"/>
  <c r="G41" i="69"/>
  <c r="G22" i="69"/>
  <c r="G41" i="68"/>
  <c r="G22" i="68"/>
  <c r="G27" i="12"/>
  <c r="G26" i="12"/>
  <c r="G41" i="11"/>
  <c r="G22" i="11"/>
  <c r="G25" i="12"/>
  <c r="C109" i="43"/>
  <c r="C100" i="43"/>
  <c r="K109" i="43"/>
  <c r="E11" i="43"/>
  <c r="E10" i="43"/>
  <c r="E9" i="43"/>
  <c r="E8" i="43"/>
  <c r="C7"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N109" i="43"/>
  <c r="F100" i="43"/>
  <c r="H17" i="43"/>
  <c r="D9" i="53"/>
  <c r="B25" i="72"/>
  <c r="B24" i="72"/>
  <c r="H85" i="43"/>
  <c r="H81" i="43"/>
  <c r="H84" i="43"/>
  <c r="H88" i="43"/>
  <c r="H53" i="43"/>
  <c r="H78" i="43"/>
  <c r="H71" i="43"/>
  <c r="C17" i="43"/>
  <c r="F33" i="43"/>
  <c r="K17" i="43"/>
  <c r="F34" i="43"/>
  <c r="N6" i="43"/>
  <c r="M9" i="43"/>
  <c r="N3" i="43"/>
  <c r="F38" i="43"/>
  <c r="F37" i="43"/>
  <c r="N5" i="43"/>
  <c r="M12" i="43"/>
  <c r="B19" i="53"/>
  <c r="B37" i="72"/>
  <c r="C7" i="39"/>
  <c r="C68" i="39" s="1"/>
  <c r="D68" i="39" s="1"/>
  <c r="D70" i="39" s="1"/>
  <c r="C7" i="35"/>
  <c r="C7" i="33"/>
  <c r="C58" i="33"/>
  <c r="D58" i="33" s="1"/>
  <c r="E58" i="33" s="1"/>
  <c r="F58" i="33" s="1"/>
  <c r="G58" i="33" s="1"/>
  <c r="H58" i="33" s="1"/>
  <c r="I58" i="33" s="1"/>
  <c r="J58" i="33" s="1"/>
  <c r="K58" i="33" s="1"/>
  <c r="L58" i="33" s="1"/>
  <c r="M58" i="33" s="1"/>
  <c r="N58" i="33" s="1"/>
  <c r="O58" i="33" s="1"/>
  <c r="C7" i="21"/>
  <c r="C58" i="21"/>
  <c r="C7" i="40"/>
  <c r="C63" i="40"/>
  <c r="C65" i="40" s="1"/>
  <c r="M47" i="9"/>
  <c r="O19" i="43"/>
  <c r="T35" i="4"/>
  <c r="A19" i="51"/>
  <c r="B14" i="72" s="1"/>
  <c r="C46" i="36"/>
  <c r="D46" i="36" s="1"/>
  <c r="C59" i="34"/>
  <c r="D59" i="34" s="1"/>
  <c r="E59" i="34"/>
  <c r="F59" i="34" s="1"/>
  <c r="G59" i="34" s="1"/>
  <c r="H59" i="34" s="1"/>
  <c r="C52" i="37"/>
  <c r="A4" i="51"/>
  <c r="B6" i="72"/>
  <c r="C48" i="35"/>
  <c r="C4" i="12"/>
  <c r="H66" i="43"/>
  <c r="H65" i="43"/>
  <c r="H64" i="43"/>
  <c r="H63" i="43"/>
  <c r="H55" i="43"/>
  <c r="H56" i="43"/>
  <c r="H72" i="43"/>
  <c r="L20" i="6"/>
  <c r="B6" i="1"/>
  <c r="E6" i="1" s="1"/>
  <c r="K11" i="1"/>
  <c r="M11" i="1" s="1"/>
  <c r="O11" i="1" s="1"/>
  <c r="AP6" i="1"/>
  <c r="B9" i="1"/>
  <c r="E9" i="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B11" i="39"/>
  <c r="U11"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M6" i="1"/>
  <c r="O6" i="1" s="1"/>
  <c r="P6" i="1" s="1"/>
  <c r="AQ9" i="1"/>
  <c r="E59" i="40"/>
  <c r="T13" i="1"/>
  <c r="E7" i="70"/>
  <c r="AA39" i="40"/>
  <c r="S39" i="40"/>
  <c r="S12" i="33"/>
  <c r="AA12" i="33"/>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J59" i="9"/>
  <c r="J61" i="9"/>
  <c r="R22" i="31"/>
  <c r="B21" i="31"/>
  <c r="B5" i="62"/>
  <c r="B73" i="72"/>
  <c r="AP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F34" i="68"/>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H7" i="33"/>
  <c r="AB7" i="33" s="1"/>
  <c r="T48" i="33" s="1"/>
  <c r="G48" i="33" s="1"/>
  <c r="H112" i="9"/>
  <c r="D21" i="53"/>
  <c r="B39" i="72"/>
  <c r="H111" i="9"/>
  <c r="D126" i="9"/>
  <c r="D19" i="53"/>
  <c r="D59" i="9"/>
  <c r="M55" i="9"/>
  <c r="B38" i="72"/>
  <c r="D20" i="53"/>
  <c r="B40" i="72"/>
  <c r="I14" i="74"/>
  <c r="B8" i="74"/>
  <c r="D127" i="9"/>
  <c r="D13" i="52"/>
  <c r="D12" i="52"/>
  <c r="AD3" i="71"/>
  <c r="B4" i="62"/>
  <c r="B71" i="72"/>
  <c r="D63" i="40"/>
  <c r="D65" i="40" s="1"/>
  <c r="C77" i="9"/>
  <c r="C74" i="9" s="1"/>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AC7" i="33"/>
  <c r="V48" i="33" s="1"/>
  <c r="I48" i="33" s="1"/>
  <c r="C70" i="39"/>
  <c r="U7" i="33"/>
  <c r="E46" i="36"/>
  <c r="F46" i="36" s="1"/>
  <c r="G46" i="36"/>
  <c r="H46" i="36" s="1"/>
  <c r="I46" i="36" s="1"/>
  <c r="J46" i="36" s="1"/>
  <c r="K46" i="36" s="1"/>
  <c r="L46" i="36" s="1"/>
  <c r="M46" i="36" s="1"/>
  <c r="N46" i="36" s="1"/>
  <c r="O46" i="36" s="1"/>
  <c r="D58" i="21"/>
  <c r="E58" i="21" s="1"/>
  <c r="C24" i="12"/>
  <c r="C10" i="71"/>
  <c r="D10" i="71"/>
  <c r="D11" i="71"/>
  <c r="D12" i="71"/>
  <c r="U12" i="71"/>
  <c r="S12" i="71"/>
  <c r="T12" i="71"/>
  <c r="AB10" i="71"/>
  <c r="X8" i="71"/>
  <c r="X7" i="71"/>
  <c r="AA8" i="71"/>
  <c r="AA7" i="71"/>
  <c r="X11" i="71"/>
  <c r="Z6" i="71"/>
  <c r="Y7" i="71"/>
  <c r="Z7" i="71"/>
  <c r="AB8" i="71"/>
  <c r="AB7" i="71"/>
  <c r="B7" i="71"/>
  <c r="S8" i="71"/>
  <c r="F9" i="71"/>
  <c r="F8" i="71"/>
  <c r="F7" i="71"/>
  <c r="Y8" i="71"/>
  <c r="Z8" i="71"/>
  <c r="AB3" i="71"/>
  <c r="X3" i="71"/>
  <c r="C9" i="71"/>
  <c r="E9" i="71"/>
  <c r="E8" i="71"/>
  <c r="AF3" i="71"/>
  <c r="P24" i="43"/>
  <c r="B66" i="40"/>
  <c r="P21" i="43"/>
  <c r="P22" i="43"/>
  <c r="E16" i="49"/>
  <c r="B22" i="49"/>
  <c r="E63" i="40"/>
  <c r="F63" i="40" s="1"/>
  <c r="F58" i="21"/>
  <c r="G58" i="21" s="1"/>
  <c r="H58" i="21" s="1"/>
  <c r="E68" i="39"/>
  <c r="E70" i="39" s="1"/>
  <c r="E7" i="71"/>
  <c r="V8" i="71"/>
  <c r="P23" i="43"/>
  <c r="B71" i="39"/>
  <c r="C8" i="71"/>
  <c r="D9" i="71"/>
  <c r="P25" i="43"/>
  <c r="E65" i="40"/>
  <c r="E41" i="43"/>
  <c r="C41" i="43"/>
  <c r="I59" i="34"/>
  <c r="J59" i="34" s="1"/>
  <c r="C7" i="71"/>
  <c r="D6" i="71"/>
  <c r="T8" i="71"/>
  <c r="D7" i="71"/>
  <c r="D8" i="71"/>
  <c r="F65" i="40"/>
  <c r="G63" i="40"/>
  <c r="H63" i="40" s="1"/>
  <c r="H65" i="40" s="1"/>
  <c r="U8" i="71"/>
  <c r="G65" i="40"/>
  <c r="I63" i="40"/>
  <c r="J63" i="40" s="1"/>
  <c r="I65" i="40"/>
  <c r="D3" i="73"/>
  <c r="F6" i="15"/>
  <c r="F7" i="15"/>
  <c r="C33" i="15"/>
  <c r="F16" i="15"/>
  <c r="F43" i="15"/>
  <c r="F36" i="15"/>
  <c r="F13" i="15"/>
  <c r="F37" i="15"/>
  <c r="F38" i="15"/>
  <c r="F42" i="15"/>
  <c r="F41" i="15"/>
  <c r="M6" i="15"/>
  <c r="D2" i="34"/>
  <c r="D2" i="33"/>
  <c r="E13" i="76"/>
  <c r="B10" i="76"/>
  <c r="AO8" i="1"/>
  <c r="B8" i="76"/>
  <c r="AO7" i="1"/>
  <c r="D2" i="35"/>
  <c r="M24" i="15"/>
  <c r="M26" i="15"/>
  <c r="L47" i="15"/>
  <c r="AO6" i="1"/>
  <c r="E11" i="76"/>
  <c r="F7" i="73"/>
  <c r="AO10" i="1"/>
  <c r="F6" i="73"/>
  <c r="F8" i="15"/>
  <c r="F4" i="73"/>
  <c r="F35" i="15"/>
  <c r="M9" i="15"/>
  <c r="M23" i="15"/>
  <c r="F3" i="73"/>
  <c r="F20" i="31"/>
  <c r="F5" i="73"/>
  <c r="C76" i="15"/>
  <c r="B12" i="76"/>
  <c r="E10" i="76"/>
  <c r="D34" i="9"/>
  <c r="E9" i="76"/>
  <c r="M27" i="15"/>
  <c r="E12" i="76"/>
  <c r="D2" i="36"/>
  <c r="B13" i="76"/>
  <c r="AO11" i="1"/>
  <c r="D35" i="9"/>
  <c r="L48" i="15"/>
  <c r="D5" i="73"/>
  <c r="F9" i="15"/>
  <c r="F26" i="15"/>
  <c r="F40" i="15"/>
  <c r="M21" i="15"/>
  <c r="E2" i="69"/>
  <c r="M28" i="15"/>
  <c r="M22" i="15"/>
  <c r="AO13" i="1"/>
  <c r="B9" i="76"/>
  <c r="B7" i="76"/>
  <c r="D6" i="73"/>
  <c r="D4" i="73"/>
  <c r="M8" i="15"/>
  <c r="E7" i="76"/>
  <c r="D2" i="21"/>
  <c r="M29" i="15"/>
  <c r="AO12" i="1"/>
  <c r="D2" i="37"/>
  <c r="E2" i="68"/>
  <c r="J15" i="15"/>
  <c r="AO9" i="1"/>
  <c r="B11" i="76"/>
  <c r="E8" i="76"/>
  <c r="D7" i="73"/>
  <c r="F31" i="15"/>
  <c r="AC27" i="39" l="1"/>
  <c r="W27" i="39"/>
  <c r="U27" i="39"/>
  <c r="AB27" i="39"/>
  <c r="S27" i="39"/>
  <c r="G101" i="39"/>
  <c r="C31" i="12"/>
  <c r="F81" i="39"/>
  <c r="G81" i="39" s="1"/>
  <c r="H81" i="39" s="1"/>
  <c r="I81" i="39" s="1"/>
  <c r="J81" i="39" s="1"/>
  <c r="K81" i="39" s="1"/>
  <c r="L81" i="39" s="1"/>
  <c r="M81" i="39" s="1"/>
  <c r="J11" i="39"/>
  <c r="F99" i="39"/>
  <c r="G99" i="39" s="1"/>
  <c r="H25" i="39"/>
  <c r="F25" i="39"/>
  <c r="J25" i="39"/>
  <c r="F95" i="39"/>
  <c r="H21" i="39" s="1"/>
  <c r="F21" i="39"/>
  <c r="F15" i="39"/>
  <c r="AA15" i="39" s="1"/>
  <c r="F89" i="39"/>
  <c r="H15" i="39"/>
  <c r="S11" i="39"/>
  <c r="U12" i="39"/>
  <c r="W29" i="39"/>
  <c r="U29" i="39"/>
  <c r="S29" i="39"/>
  <c r="E21" i="49"/>
  <c r="S9" i="39"/>
  <c r="G17" i="43"/>
  <c r="C16" i="43" s="1"/>
  <c r="C5" i="43" s="1"/>
  <c r="T5" i="43" s="1"/>
  <c r="V5" i="43" s="1"/>
  <c r="H87" i="43"/>
  <c r="H86" i="43"/>
  <c r="H50" i="43"/>
  <c r="G13" i="1"/>
  <c r="G9" i="1"/>
  <c r="B16" i="49"/>
  <c r="E8" i="49"/>
  <c r="B13" i="49"/>
  <c r="E10" i="49"/>
  <c r="B15" i="49"/>
  <c r="K63" i="40"/>
  <c r="J65" i="40"/>
  <c r="I52" i="33"/>
  <c r="J52" i="33" s="1"/>
  <c r="G53" i="33"/>
  <c r="H53" i="33" s="1"/>
  <c r="G52" i="33"/>
  <c r="H52" i="33" s="1"/>
  <c r="K59" i="34"/>
  <c r="L59" i="34" s="1"/>
  <c r="M59" i="34" s="1"/>
  <c r="N59" i="34" s="1"/>
  <c r="O59" i="34" s="1"/>
  <c r="I58" i="21"/>
  <c r="J58" i="21" s="1"/>
  <c r="K58" i="21" s="1"/>
  <c r="L58" i="21" s="1"/>
  <c r="M58" i="21" s="1"/>
  <c r="N58" i="21" s="1"/>
  <c r="O58" i="21" s="1"/>
  <c r="H7" i="21"/>
  <c r="J7" i="34"/>
  <c r="F68" i="39"/>
  <c r="F7" i="21"/>
  <c r="F7" i="36"/>
  <c r="S7" i="33"/>
  <c r="AA7" i="33"/>
  <c r="R48" i="33" s="1"/>
  <c r="D48" i="35"/>
  <c r="D52" i="37"/>
  <c r="H7" i="36"/>
  <c r="J7" i="36"/>
  <c r="F7" i="1"/>
  <c r="G7" i="1" s="1"/>
  <c r="U9" i="39"/>
  <c r="C94" i="9"/>
  <c r="C92" i="9"/>
  <c r="F28" i="15"/>
  <c r="C28" i="15" s="1"/>
  <c r="F28" i="67"/>
  <c r="C28" i="67" s="1"/>
  <c r="D68" i="9"/>
  <c r="M18" i="67"/>
  <c r="F30" i="11"/>
  <c r="F54" i="9"/>
  <c r="M18" i="15"/>
  <c r="F32" i="15"/>
  <c r="F60" i="15" s="1"/>
  <c r="F30" i="69"/>
  <c r="F32" i="67"/>
  <c r="F60" i="67" s="1"/>
  <c r="F52" i="9"/>
  <c r="F30" i="68"/>
  <c r="C40" i="68"/>
  <c r="D23" i="67"/>
  <c r="G1" i="67"/>
  <c r="E2" i="70"/>
  <c r="C23" i="43"/>
  <c r="BL13" i="3"/>
  <c r="BL5" i="3" s="1"/>
  <c r="F30" i="6"/>
  <c r="S7" i="43"/>
  <c r="H107" i="43"/>
  <c r="E103" i="43"/>
  <c r="E102" i="43"/>
  <c r="M107" i="43"/>
  <c r="E29" i="6"/>
  <c r="E22" i="43"/>
  <c r="G13" i="3"/>
  <c r="H5" i="3"/>
  <c r="C36" i="69"/>
  <c r="L109" i="43"/>
  <c r="L103" i="43"/>
  <c r="L104" i="43"/>
  <c r="L106" i="43"/>
  <c r="L107" i="43"/>
  <c r="P10" i="1"/>
  <c r="Q16" i="1"/>
  <c r="F27" i="69" s="1"/>
  <c r="E104" i="43"/>
  <c r="E105" i="43"/>
  <c r="E107" i="43"/>
  <c r="M109" i="43"/>
  <c r="M102" i="43"/>
  <c r="H102" i="43"/>
  <c r="H105" i="43"/>
  <c r="H106" i="43"/>
  <c r="H109" i="43"/>
  <c r="AR9" i="1"/>
  <c r="T9" i="1"/>
  <c r="AQ11" i="1"/>
  <c r="T11" i="1"/>
  <c r="AR11" i="1"/>
  <c r="AR13" i="1"/>
  <c r="AQ13" i="1"/>
  <c r="AQ10" i="1"/>
  <c r="AR10" i="1"/>
  <c r="J104" i="43"/>
  <c r="J105" i="43"/>
  <c r="J103" i="43"/>
  <c r="J109" i="43"/>
  <c r="G105" i="43"/>
  <c r="G102" i="43"/>
  <c r="G103" i="43"/>
  <c r="G109" i="43"/>
  <c r="F104" i="43"/>
  <c r="F107" i="43"/>
  <c r="F106" i="43"/>
  <c r="F103" i="43"/>
  <c r="F109" i="43"/>
  <c r="B115" i="43"/>
  <c r="C115" i="43" s="1"/>
  <c r="D117" i="43"/>
  <c r="E117" i="43" s="1"/>
  <c r="F117" i="43" s="1"/>
  <c r="G117" i="43" s="1"/>
  <c r="H117" i="43" s="1"/>
  <c r="I118" i="43"/>
  <c r="J118" i="43" s="1"/>
  <c r="K118" i="43" s="1"/>
  <c r="L118" i="43" s="1"/>
  <c r="M118" i="43" s="1"/>
  <c r="G118" i="43"/>
  <c r="H118" i="43" s="1"/>
  <c r="B118" i="43"/>
  <c r="C118" i="43" s="1"/>
  <c r="B117" i="43"/>
  <c r="C117" i="43" s="1"/>
  <c r="D115" i="43"/>
  <c r="E115" i="43" s="1"/>
  <c r="F115" i="43" s="1"/>
  <c r="G115" i="43" s="1"/>
  <c r="H115" i="43" s="1"/>
  <c r="E60" i="40"/>
  <c r="E65" i="39"/>
  <c r="S3" i="43"/>
  <c r="S2" i="43"/>
  <c r="I107" i="43"/>
  <c r="I102" i="43"/>
  <c r="E13" i="6"/>
  <c r="I4" i="6"/>
  <c r="E57" i="40"/>
  <c r="E62" i="39"/>
  <c r="E8" i="6"/>
  <c r="F27" i="6" s="1"/>
  <c r="P7" i="1"/>
  <c r="C13" i="12" s="1"/>
  <c r="H16" i="1"/>
  <c r="G16" i="1"/>
  <c r="C34" i="69"/>
  <c r="C38" i="69" s="1"/>
  <c r="M16" i="1"/>
  <c r="C34" i="11" s="1"/>
  <c r="D106" i="43"/>
  <c r="D104" i="43"/>
  <c r="G22" i="43"/>
  <c r="E16" i="6"/>
  <c r="D9" i="69"/>
  <c r="C9" i="69" s="1"/>
  <c r="D9" i="68"/>
  <c r="C9" i="68" s="1"/>
  <c r="D19" i="12"/>
  <c r="C19" i="12" s="1"/>
  <c r="N16" i="1"/>
  <c r="F28" i="12"/>
  <c r="C29" i="12" s="1"/>
  <c r="D28" i="12" s="1"/>
  <c r="O9" i="1"/>
  <c r="P9" i="1" s="1"/>
  <c r="O8" i="1"/>
  <c r="P8" i="1" s="1"/>
  <c r="O14" i="1"/>
  <c r="P14" i="1" s="1"/>
  <c r="P11" i="1"/>
  <c r="AZ13" i="3"/>
  <c r="AZ5" i="3" s="1"/>
  <c r="BA5" i="3"/>
  <c r="S4" i="43"/>
  <c r="S6" i="43"/>
  <c r="E56" i="40"/>
  <c r="D107" i="43"/>
  <c r="I106" i="43"/>
  <c r="E106" i="43"/>
  <c r="M105" i="43"/>
  <c r="I105" i="43"/>
  <c r="D105" i="43"/>
  <c r="M104" i="43"/>
  <c r="I104" i="43"/>
  <c r="M103" i="43"/>
  <c r="I103" i="43"/>
  <c r="D103" i="43"/>
  <c r="D102" i="43"/>
  <c r="E15" i="49"/>
  <c r="B11" i="49"/>
  <c r="B8" i="49"/>
  <c r="B10" i="49"/>
  <c r="B9" i="49"/>
  <c r="E14" i="49"/>
  <c r="C36" i="68"/>
  <c r="C23" i="12"/>
  <c r="B9" i="70"/>
  <c r="B12" i="70"/>
  <c r="E20" i="43"/>
  <c r="B13" i="70"/>
  <c r="J20" i="15"/>
  <c r="F68" i="15"/>
  <c r="C27" i="15"/>
  <c r="J60" i="15"/>
  <c r="Q48" i="15" s="1"/>
  <c r="J59" i="15"/>
  <c r="J57" i="15"/>
  <c r="J55" i="15" s="1"/>
  <c r="J58" i="15" s="1"/>
  <c r="Q50" i="15" s="1"/>
  <c r="L56" i="15"/>
  <c r="J53" i="15"/>
  <c r="L60" i="15"/>
  <c r="I54" i="15"/>
  <c r="L57" i="15"/>
  <c r="B11" i="70"/>
  <c r="Q71" i="15"/>
  <c r="B20" i="31"/>
  <c r="C34" i="15"/>
  <c r="F63" i="15"/>
  <c r="C62" i="15" s="1"/>
  <c r="I1" i="73"/>
  <c r="B39" i="1" s="1"/>
  <c r="F51" i="15"/>
  <c r="B10" i="70"/>
  <c r="B6" i="70"/>
  <c r="L59" i="15"/>
  <c r="L58" i="15"/>
  <c r="M59" i="15"/>
  <c r="N59" i="15"/>
  <c r="B7" i="70"/>
  <c r="B8" i="70"/>
  <c r="F69" i="15"/>
  <c r="F66" i="15"/>
  <c r="F65" i="15"/>
  <c r="F64" i="15"/>
  <c r="F71" i="15"/>
  <c r="M7" i="15"/>
  <c r="F50" i="15"/>
  <c r="C6" i="15"/>
  <c r="K1" i="73"/>
  <c r="E17" i="49"/>
  <c r="E7" i="49"/>
  <c r="B6" i="49"/>
  <c r="B4" i="49"/>
  <c r="E22" i="49"/>
  <c r="E11" i="49"/>
  <c r="E6" i="49"/>
  <c r="E5" i="49"/>
  <c r="B5" i="49"/>
  <c r="E4" i="49"/>
  <c r="B14" i="49"/>
  <c r="E13" i="49"/>
  <c r="E9" i="49"/>
  <c r="M28" i="67"/>
  <c r="C76" i="67"/>
  <c r="M8" i="67"/>
  <c r="J15" i="67"/>
  <c r="F43" i="67"/>
  <c r="F35" i="67"/>
  <c r="F40" i="67"/>
  <c r="M26" i="67"/>
  <c r="F36" i="67"/>
  <c r="F41" i="67"/>
  <c r="F8" i="67"/>
  <c r="F38" i="67"/>
  <c r="F37" i="67"/>
  <c r="F13" i="67"/>
  <c r="M24" i="67"/>
  <c r="F7" i="67"/>
  <c r="F9" i="67"/>
  <c r="M21" i="67"/>
  <c r="F42" i="67"/>
  <c r="M23" i="67"/>
  <c r="F6" i="67"/>
  <c r="M6" i="67"/>
  <c r="M27" i="67"/>
  <c r="M9" i="67"/>
  <c r="M22" i="67"/>
  <c r="F16" i="67"/>
  <c r="L47" i="67"/>
  <c r="M29" i="67"/>
  <c r="F26" i="67"/>
  <c r="L48" i="67"/>
  <c r="C14" i="15"/>
  <c r="C14" i="67"/>
  <c r="F59" i="15"/>
  <c r="G1" i="73"/>
  <c r="C17" i="67"/>
  <c r="C16" i="67"/>
  <c r="C17" i="15"/>
  <c r="C16" i="15"/>
  <c r="M17" i="15"/>
  <c r="F31" i="67"/>
  <c r="W11" i="39" l="1"/>
  <c r="AC11" i="39"/>
  <c r="AC25" i="39"/>
  <c r="W25" i="39"/>
  <c r="AB25" i="39"/>
  <c r="U25" i="39"/>
  <c r="AA25" i="39"/>
  <c r="S25" i="39"/>
  <c r="AB21" i="39"/>
  <c r="U21" i="39"/>
  <c r="S21" i="39"/>
  <c r="AA21" i="39"/>
  <c r="J21" i="39"/>
  <c r="G95" i="39"/>
  <c r="S15" i="39"/>
  <c r="G89" i="39"/>
  <c r="J15" i="39"/>
  <c r="U15" i="39"/>
  <c r="AB15" i="39"/>
  <c r="D5" i="43"/>
  <c r="T6" i="43"/>
  <c r="V6" i="43" s="1"/>
  <c r="T3" i="43"/>
  <c r="V3" i="43" s="1"/>
  <c r="T4" i="43"/>
  <c r="V4" i="43" s="1"/>
  <c r="T2" i="43"/>
  <c r="V2" i="43" s="1"/>
  <c r="T7" i="43"/>
  <c r="V7" i="43" s="1"/>
  <c r="L46" i="15"/>
  <c r="C38" i="43"/>
  <c r="C33" i="43"/>
  <c r="C39" i="43"/>
  <c r="C36" i="43"/>
  <c r="C35" i="43"/>
  <c r="C37" i="43"/>
  <c r="C34" i="43"/>
  <c r="T14" i="43"/>
  <c r="V14" i="43" s="1"/>
  <c r="T8" i="43"/>
  <c r="V8" i="43" s="1"/>
  <c r="T13" i="43"/>
  <c r="V13" i="43" s="1"/>
  <c r="T16" i="43"/>
  <c r="V16" i="43" s="1"/>
  <c r="T12" i="43"/>
  <c r="V12" i="43" s="1"/>
  <c r="T11" i="43"/>
  <c r="V11" i="43" s="1"/>
  <c r="T15" i="43"/>
  <c r="V15" i="43" s="1"/>
  <c r="T9" i="43"/>
  <c r="V9" i="43" s="1"/>
  <c r="T10" i="43"/>
  <c r="V10" i="43" s="1"/>
  <c r="C35" i="69"/>
  <c r="AB7" i="36"/>
  <c r="T36" i="36" s="1"/>
  <c r="G36" i="36" s="1"/>
  <c r="U7" i="36"/>
  <c r="E52" i="37"/>
  <c r="R49" i="33"/>
  <c r="E48" i="33"/>
  <c r="S7" i="36"/>
  <c r="AA7" i="36"/>
  <c r="R36" i="36" s="1"/>
  <c r="G68" i="39"/>
  <c r="F70" i="39"/>
  <c r="H7" i="34"/>
  <c r="J7" i="21"/>
  <c r="F7" i="34"/>
  <c r="AC7" i="36"/>
  <c r="V36" i="36" s="1"/>
  <c r="I36" i="36" s="1"/>
  <c r="W7" i="36"/>
  <c r="E48" i="35"/>
  <c r="S7" i="21"/>
  <c r="AA7" i="21"/>
  <c r="R48" i="21" s="1"/>
  <c r="AC7" i="34"/>
  <c r="V49" i="34" s="1"/>
  <c r="I49" i="34" s="1"/>
  <c r="W7" i="34"/>
  <c r="AB7" i="21"/>
  <c r="T48" i="21" s="1"/>
  <c r="G48" i="21" s="1"/>
  <c r="U7" i="21"/>
  <c r="L63" i="40"/>
  <c r="K65" i="40"/>
  <c r="C48" i="11"/>
  <c r="C30" i="11"/>
  <c r="C48" i="69"/>
  <c r="C30" i="69"/>
  <c r="C30" i="68"/>
  <c r="C48" i="68"/>
  <c r="C34" i="68"/>
  <c r="D113" i="43"/>
  <c r="E27" i="6"/>
  <c r="F27" i="11"/>
  <c r="C47" i="11" s="1"/>
  <c r="D45" i="11" s="1"/>
  <c r="D22" i="43"/>
  <c r="C21" i="43" s="1"/>
  <c r="C29" i="43" s="1"/>
  <c r="C30" i="43" s="1"/>
  <c r="E30" i="43" s="1"/>
  <c r="F27" i="68"/>
  <c r="C29" i="69"/>
  <c r="D27" i="69" s="1"/>
  <c r="C47" i="69"/>
  <c r="D45" i="69" s="1"/>
  <c r="J53" i="67"/>
  <c r="Q52" i="67" s="1"/>
  <c r="L56" i="67"/>
  <c r="I54" i="67"/>
  <c r="J57" i="67"/>
  <c r="J55" i="67" s="1"/>
  <c r="J58" i="67" s="1"/>
  <c r="Q50" i="67" s="1"/>
  <c r="C27" i="67"/>
  <c r="L59" i="67"/>
  <c r="Q74" i="67" s="1"/>
  <c r="L58" i="67"/>
  <c r="Q73" i="67" s="1"/>
  <c r="N59" i="67"/>
  <c r="M59" i="67"/>
  <c r="C6" i="67"/>
  <c r="C32" i="67" s="1"/>
  <c r="F70" i="67"/>
  <c r="J20" i="67"/>
  <c r="F50" i="67"/>
  <c r="M7" i="67"/>
  <c r="F65" i="67"/>
  <c r="F66" i="67"/>
  <c r="F51" i="67"/>
  <c r="C49" i="67" s="1"/>
  <c r="F69" i="67"/>
  <c r="F64" i="67"/>
  <c r="F68" i="67"/>
  <c r="C34" i="67"/>
  <c r="F63" i="67"/>
  <c r="C62" i="67" s="1"/>
  <c r="F71" i="67"/>
  <c r="Q71" i="67"/>
  <c r="K15" i="1"/>
  <c r="K16" i="1" s="1"/>
  <c r="E30" i="6"/>
  <c r="G5" i="3"/>
  <c r="B3" i="3" s="1"/>
  <c r="E13" i="3" s="1"/>
  <c r="E58" i="40"/>
  <c r="E63" i="39"/>
  <c r="E51" i="40"/>
  <c r="F31" i="6"/>
  <c r="D29" i="43"/>
  <c r="D1" i="43" s="1"/>
  <c r="L16" i="1"/>
  <c r="E56" i="39"/>
  <c r="E66" i="39" s="1"/>
  <c r="C38" i="11"/>
  <c r="C35" i="11"/>
  <c r="J10" i="40"/>
  <c r="J10" i="39"/>
  <c r="H10" i="39"/>
  <c r="F10" i="39"/>
  <c r="F10" i="40"/>
  <c r="H10" i="40"/>
  <c r="C18" i="15"/>
  <c r="C15" i="15"/>
  <c r="C29" i="11"/>
  <c r="D27" i="11" s="1"/>
  <c r="F50" i="11"/>
  <c r="F50" i="68"/>
  <c r="F50" i="69"/>
  <c r="E31" i="6"/>
  <c r="K21" i="6"/>
  <c r="K20" i="6"/>
  <c r="K22" i="6"/>
  <c r="M22" i="6" s="1"/>
  <c r="I22" i="6" s="1"/>
  <c r="S22" i="6" s="1"/>
  <c r="K25" i="6"/>
  <c r="M25" i="6" s="1"/>
  <c r="I25" i="6" s="1"/>
  <c r="S25" i="6" s="1"/>
  <c r="K23" i="6"/>
  <c r="M23" i="6" s="1"/>
  <c r="I23" i="6" s="1"/>
  <c r="S23" i="6" s="1"/>
  <c r="K24" i="6"/>
  <c r="M24" i="6" s="1"/>
  <c r="I24" i="6" s="1"/>
  <c r="S24" i="6" s="1"/>
  <c r="K26" i="6"/>
  <c r="M26" i="6" s="1"/>
  <c r="I26" i="6" s="1"/>
  <c r="S26" i="6" s="1"/>
  <c r="K19" i="6"/>
  <c r="S6" i="1" s="1"/>
  <c r="O16" i="1"/>
  <c r="E3" i="6"/>
  <c r="P16" i="1"/>
  <c r="C11" i="12" s="1"/>
  <c r="C49" i="15"/>
  <c r="B40" i="1"/>
  <c r="C18" i="67"/>
  <c r="C15" i="67"/>
  <c r="C32" i="15"/>
  <c r="C31" i="15" s="1"/>
  <c r="Q73" i="15"/>
  <c r="Q60" i="15"/>
  <c r="B2" i="70"/>
  <c r="B3" i="70" s="1"/>
  <c r="Q66" i="15"/>
  <c r="Q57" i="15"/>
  <c r="P28" i="43"/>
  <c r="M28" i="43"/>
  <c r="O28" i="43"/>
  <c r="N28" i="43"/>
  <c r="J6" i="15"/>
  <c r="Q61" i="15"/>
  <c r="Q74" i="15"/>
  <c r="F11" i="15"/>
  <c r="F11" i="67"/>
  <c r="M11" i="15"/>
  <c r="M11" i="67"/>
  <c r="J10" i="67" s="1"/>
  <c r="Q52" i="15"/>
  <c r="F1" i="15"/>
  <c r="F59" i="67"/>
  <c r="M17" i="67"/>
  <c r="W21" i="39" l="1"/>
  <c r="AC21" i="39"/>
  <c r="W15" i="39"/>
  <c r="AC15" i="39"/>
  <c r="E37" i="43"/>
  <c r="G37" i="43"/>
  <c r="I37" i="43" s="1"/>
  <c r="E36" i="43"/>
  <c r="G36" i="43"/>
  <c r="I36" i="43" s="1"/>
  <c r="E33" i="43"/>
  <c r="G33" i="43"/>
  <c r="I33" i="43" s="1"/>
  <c r="C27" i="43" s="1"/>
  <c r="E34" i="43"/>
  <c r="G34" i="43"/>
  <c r="I34" i="43" s="1"/>
  <c r="E35" i="43"/>
  <c r="G35" i="43"/>
  <c r="I35" i="43" s="1"/>
  <c r="E39" i="43"/>
  <c r="G39" i="43"/>
  <c r="I39" i="43" s="1"/>
  <c r="G38" i="43"/>
  <c r="I38" i="43" s="1"/>
  <c r="E38" i="43"/>
  <c r="R49" i="21"/>
  <c r="E48" i="21"/>
  <c r="M63" i="40"/>
  <c r="L65" i="40"/>
  <c r="G52" i="21"/>
  <c r="H52" i="21" s="1"/>
  <c r="I53" i="34"/>
  <c r="J53" i="34" s="1"/>
  <c r="F48" i="35"/>
  <c r="I40" i="36"/>
  <c r="J40" i="36" s="1"/>
  <c r="W7" i="21"/>
  <c r="AC7" i="21"/>
  <c r="V48" i="21" s="1"/>
  <c r="I48" i="21" s="1"/>
  <c r="G53" i="21" s="1"/>
  <c r="H53" i="21" s="1"/>
  <c r="R37" i="36"/>
  <c r="E36" i="36"/>
  <c r="E53" i="33"/>
  <c r="F53" i="33" s="1"/>
  <c r="E52" i="33"/>
  <c r="F52" i="33" s="1"/>
  <c r="I53" i="33"/>
  <c r="J53" i="33" s="1"/>
  <c r="G40" i="36"/>
  <c r="H40" i="36" s="1"/>
  <c r="G41" i="36"/>
  <c r="H41" i="36" s="1"/>
  <c r="AA7" i="34"/>
  <c r="R49" i="34" s="1"/>
  <c r="S7" i="34"/>
  <c r="AB7" i="34"/>
  <c r="T49" i="34" s="1"/>
  <c r="G49" i="34" s="1"/>
  <c r="U7" i="34"/>
  <c r="G70" i="39"/>
  <c r="H68" i="39"/>
  <c r="C48" i="33"/>
  <c r="C49" i="33"/>
  <c r="F52" i="37"/>
  <c r="G52" i="37" s="1"/>
  <c r="H52" i="37" s="1"/>
  <c r="I52" i="37" s="1"/>
  <c r="J52" i="37" s="1"/>
  <c r="K52" i="37" s="1"/>
  <c r="L52" i="37" s="1"/>
  <c r="M52" i="37" s="1"/>
  <c r="N52" i="37" s="1"/>
  <c r="O52" i="37" s="1"/>
  <c r="H7" i="37"/>
  <c r="F1" i="67"/>
  <c r="Q60" i="67"/>
  <c r="C38" i="68"/>
  <c r="C35" i="68"/>
  <c r="Q61" i="67"/>
  <c r="M21" i="6"/>
  <c r="I21" i="6" s="1"/>
  <c r="S21" i="6" s="1"/>
  <c r="S8" i="1"/>
  <c r="C47" i="68"/>
  <c r="D45" i="68" s="1"/>
  <c r="C29" i="68"/>
  <c r="D27" i="68" s="1"/>
  <c r="AQ6" i="1"/>
  <c r="AR6" i="1"/>
  <c r="T6" i="1"/>
  <c r="M20" i="6"/>
  <c r="I20" i="6" s="1"/>
  <c r="S20" i="6" s="1"/>
  <c r="S7" i="1"/>
  <c r="S16" i="1" s="1"/>
  <c r="J6" i="67"/>
  <c r="J18" i="67" s="1"/>
  <c r="AY6"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296" i="3"/>
  <c r="E262" i="3"/>
  <c r="E136" i="3"/>
  <c r="E236" i="3"/>
  <c r="E228" i="3"/>
  <c r="E181" i="3"/>
  <c r="E157" i="3"/>
  <c r="E140" i="3"/>
  <c r="E85" i="3"/>
  <c r="E223" i="3"/>
  <c r="E238" i="3"/>
  <c r="E197" i="3"/>
  <c r="E116" i="3"/>
  <c r="E173" i="3"/>
  <c r="E105" i="3"/>
  <c r="E369" i="3"/>
  <c r="E393" i="3"/>
  <c r="E525" i="3"/>
  <c r="E493" i="3"/>
  <c r="E534" i="3"/>
  <c r="E564" i="3"/>
  <c r="T6" i="3"/>
  <c r="E543" i="3"/>
  <c r="E405" i="3"/>
  <c r="E427"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196" i="3"/>
  <c r="E148" i="3"/>
  <c r="E122" i="3"/>
  <c r="E120" i="3"/>
  <c r="E277" i="3"/>
  <c r="E177" i="3"/>
  <c r="E133" i="3"/>
  <c r="E330" i="3"/>
  <c r="K6" i="3"/>
  <c r="Q6" i="3"/>
  <c r="E560" i="3"/>
  <c r="E437"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4" i="3"/>
  <c r="E156" i="3"/>
  <c r="E269" i="3"/>
  <c r="E89" i="3"/>
  <c r="E45" i="3"/>
  <c r="E224" i="3"/>
  <c r="E193" i="3"/>
  <c r="E313" i="3"/>
  <c r="E519" i="3"/>
  <c r="E532" i="3"/>
  <c r="E573" i="3"/>
  <c r="E529" i="3"/>
  <c r="E45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16" i="3"/>
  <c r="E536" i="3"/>
  <c r="AK6" i="3"/>
  <c r="E549" i="3"/>
  <c r="E434" i="3"/>
  <c r="E453" i="3"/>
  <c r="E306" i="3"/>
  <c r="E368" i="3"/>
  <c r="E29" i="43"/>
  <c r="C26" i="43" s="1"/>
  <c r="B2" i="43" s="1"/>
  <c r="S10" i="40"/>
  <c r="AA10" i="40"/>
  <c r="AB10" i="39"/>
  <c r="U10" i="39"/>
  <c r="AC10" i="40"/>
  <c r="W10" i="40"/>
  <c r="AB10" i="40"/>
  <c r="U10" i="40"/>
  <c r="AA10" i="39"/>
  <c r="S10" i="39"/>
  <c r="AC10" i="39"/>
  <c r="W10" i="39"/>
  <c r="C19" i="15"/>
  <c r="C20" i="15" s="1"/>
  <c r="C26" i="15" s="1"/>
  <c r="C15" i="12"/>
  <c r="C12" i="12"/>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8" i="9"/>
  <c r="B118" i="9" s="1"/>
  <c r="B14" i="74" s="1"/>
  <c r="B1" i="74" s="1"/>
  <c r="D3" i="34"/>
  <c r="D3" i="33"/>
  <c r="B2" i="33" s="1"/>
  <c r="B3" i="33" s="1"/>
  <c r="E6" i="6"/>
  <c r="D3" i="21"/>
  <c r="D19" i="11"/>
  <c r="C19" i="11" s="1"/>
  <c r="C17" i="4"/>
  <c r="B4" i="52" s="1"/>
  <c r="B43" i="72" s="1"/>
  <c r="L18" i="9"/>
  <c r="D3" i="37"/>
  <c r="D37" i="11"/>
  <c r="C37" i="11" s="1"/>
  <c r="C33" i="11" s="1"/>
  <c r="D14" i="12"/>
  <c r="M19" i="6"/>
  <c r="K27" i="6"/>
  <c r="C19" i="67"/>
  <c r="C20" i="67" s="1"/>
  <c r="C26" i="67" s="1"/>
  <c r="C53" i="67"/>
  <c r="C48" i="67" s="1"/>
  <c r="C10" i="67"/>
  <c r="C5" i="67" s="1"/>
  <c r="J10" i="15"/>
  <c r="J5" i="15" s="1"/>
  <c r="J18" i="15"/>
  <c r="F22" i="68"/>
  <c r="F24" i="15"/>
  <c r="C24" i="15" s="1"/>
  <c r="F22" i="11"/>
  <c r="F25" i="12"/>
  <c r="F24" i="67"/>
  <c r="C24" i="67" s="1"/>
  <c r="F22" i="69"/>
  <c r="C10" i="15"/>
  <c r="C5" i="15" s="1"/>
  <c r="C53" i="15"/>
  <c r="C48" i="15" s="1"/>
  <c r="E6" i="76"/>
  <c r="B6" i="76"/>
  <c r="G53" i="34" l="1"/>
  <c r="H53" i="34" s="1"/>
  <c r="G54" i="34"/>
  <c r="H54" i="34" s="1"/>
  <c r="E49" i="34"/>
  <c r="R50" i="34"/>
  <c r="J7" i="37"/>
  <c r="E40" i="36"/>
  <c r="F40" i="36" s="1"/>
  <c r="E41" i="36"/>
  <c r="F41" i="36" s="1"/>
  <c r="E53" i="21"/>
  <c r="F53" i="21" s="1"/>
  <c r="E52" i="21"/>
  <c r="F52" i="21" s="1"/>
  <c r="AB7" i="37"/>
  <c r="T42" i="37" s="1"/>
  <c r="G42" i="37" s="1"/>
  <c r="U7" i="37"/>
  <c r="H70" i="39"/>
  <c r="I68" i="39"/>
  <c r="C36" i="36"/>
  <c r="C37" i="36"/>
  <c r="B2" i="36" s="1"/>
  <c r="B3" i="36" s="1"/>
  <c r="I52" i="21"/>
  <c r="J52" i="21" s="1"/>
  <c r="I53" i="21"/>
  <c r="J53" i="21" s="1"/>
  <c r="I41" i="36"/>
  <c r="J41" i="36" s="1"/>
  <c r="G48" i="35"/>
  <c r="N63" i="40"/>
  <c r="M65" i="40"/>
  <c r="C49" i="21"/>
  <c r="B2" i="21" s="1"/>
  <c r="B3" i="21" s="1"/>
  <c r="C48" i="21"/>
  <c r="F7" i="37"/>
  <c r="T7" i="1"/>
  <c r="T16" i="1" s="1"/>
  <c r="AR7" i="1"/>
  <c r="AQ7" i="1"/>
  <c r="AQ8" i="1"/>
  <c r="AR8" i="1"/>
  <c r="T8" i="1"/>
  <c r="J5" i="67"/>
  <c r="AC6" i="3"/>
  <c r="E6" i="3" s="1"/>
  <c r="E2" i="76"/>
  <c r="B2" i="76"/>
  <c r="B3" i="43"/>
  <c r="C39" i="11"/>
  <c r="C46" i="11" s="1"/>
  <c r="C45" i="11" s="1"/>
  <c r="C20" i="11"/>
  <c r="C28" i="11" s="1"/>
  <c r="C27" i="11" s="1"/>
  <c r="D10" i="11"/>
  <c r="C10" i="11" s="1"/>
  <c r="D20" i="12"/>
  <c r="C20" i="12" s="1"/>
  <c r="C18" i="12" s="1"/>
  <c r="D10" i="69"/>
  <c r="D10" i="68"/>
  <c r="M27" i="6"/>
  <c r="I19" i="6"/>
  <c r="D17" i="12"/>
  <c r="C17" i="12" s="1"/>
  <c r="C14" i="12"/>
  <c r="C16" i="12" s="1"/>
  <c r="C7" i="74"/>
  <c r="C8" i="74"/>
  <c r="M19" i="9"/>
  <c r="C118" i="9" s="1"/>
  <c r="C14" i="74" s="1"/>
  <c r="B2" i="74" s="1"/>
  <c r="H20" i="6"/>
  <c r="D25" i="6"/>
  <c r="D15" i="6"/>
  <c r="D22" i="6"/>
  <c r="D21" i="6"/>
  <c r="D24" i="6"/>
  <c r="D20" i="6"/>
  <c r="R20" i="6" s="1"/>
  <c r="R7" i="1" s="1"/>
  <c r="D6" i="6"/>
  <c r="D9" i="6"/>
  <c r="D10" i="6"/>
  <c r="L19" i="9"/>
  <c r="D29" i="6"/>
  <c r="H25" i="6"/>
  <c r="H22" i="6"/>
  <c r="H21" i="6"/>
  <c r="H24" i="6"/>
  <c r="D19" i="6"/>
  <c r="D26" i="6"/>
  <c r="C18" i="4"/>
  <c r="D8" i="6"/>
  <c r="D23" i="6"/>
  <c r="D14" i="6"/>
  <c r="D5" i="6"/>
  <c r="D12" i="6"/>
  <c r="D11" i="6"/>
  <c r="D13" i="6"/>
  <c r="D28" i="6"/>
  <c r="E61" i="40"/>
  <c r="H23" i="6"/>
  <c r="H26" i="6"/>
  <c r="H19" i="6"/>
  <c r="H27" i="6" s="1"/>
  <c r="C23" i="67"/>
  <c r="C29" i="67" s="1"/>
  <c r="J19" i="67" s="1"/>
  <c r="J17" i="67" s="1"/>
  <c r="J26" i="15"/>
  <c r="J29" i="15" s="1"/>
  <c r="J24" i="15"/>
  <c r="C66" i="67"/>
  <c r="C60" i="67"/>
  <c r="C38" i="15"/>
  <c r="C44" i="69"/>
  <c r="D41" i="69" s="1"/>
  <c r="C26" i="69"/>
  <c r="D22" i="69" s="1"/>
  <c r="C26" i="12"/>
  <c r="D25" i="12" s="1"/>
  <c r="C23" i="15"/>
  <c r="C29" i="15" s="1"/>
  <c r="C60" i="15"/>
  <c r="C66" i="15"/>
  <c r="C26" i="11"/>
  <c r="D22" i="11" s="1"/>
  <c r="C23" i="11"/>
  <c r="C43" i="11"/>
  <c r="C44" i="11"/>
  <c r="D41" i="11" s="1"/>
  <c r="C24" i="11"/>
  <c r="C42" i="11"/>
  <c r="C25" i="11"/>
  <c r="C44" i="68"/>
  <c r="D41" i="68" s="1"/>
  <c r="C23" i="68"/>
  <c r="C26" i="68"/>
  <c r="D22" i="68" s="1"/>
  <c r="C38" i="67"/>
  <c r="G46" i="37" l="1"/>
  <c r="H46" i="37" s="1"/>
  <c r="AA7" i="37"/>
  <c r="R42" i="37" s="1"/>
  <c r="S7" i="37"/>
  <c r="N65" i="40"/>
  <c r="O63" i="40"/>
  <c r="O65" i="40" s="1"/>
  <c r="H48" i="35"/>
  <c r="J68" i="39"/>
  <c r="I70" i="39"/>
  <c r="C49" i="34"/>
  <c r="C50" i="34"/>
  <c r="B2" i="34" s="1"/>
  <c r="B3" i="34" s="1"/>
  <c r="F7" i="40"/>
  <c r="H7" i="40"/>
  <c r="AC7" i="37"/>
  <c r="V42" i="37" s="1"/>
  <c r="I42" i="37" s="1"/>
  <c r="W7" i="37"/>
  <c r="E54" i="34"/>
  <c r="F54" i="34" s="1"/>
  <c r="E53" i="34"/>
  <c r="F53" i="34" s="1"/>
  <c r="I54" i="34"/>
  <c r="J54" i="34" s="1"/>
  <c r="J24" i="67"/>
  <c r="J26" i="67"/>
  <c r="J29" i="67" s="1"/>
  <c r="D30" i="6"/>
  <c r="B3" i="76"/>
  <c r="D16" i="6"/>
  <c r="R25" i="6"/>
  <c r="R23" i="6"/>
  <c r="A7" i="51"/>
  <c r="B7" i="72" s="1"/>
  <c r="C4" i="52"/>
  <c r="B45" i="72" s="1"/>
  <c r="A10" i="51"/>
  <c r="B9" i="72" s="1"/>
  <c r="D27" i="6"/>
  <c r="D31" i="6" s="1"/>
  <c r="R19" i="6"/>
  <c r="R21" i="6"/>
  <c r="R8" i="1" s="1"/>
  <c r="C21" i="12"/>
  <c r="S19" i="6"/>
  <c r="S27" i="6" s="1"/>
  <c r="I27" i="6"/>
  <c r="C10" i="69"/>
  <c r="C8" i="69" s="1"/>
  <c r="C5" i="69" s="1"/>
  <c r="D19" i="69"/>
  <c r="R26" i="6"/>
  <c r="R24" i="6"/>
  <c r="R22" i="6"/>
  <c r="D7" i="74"/>
  <c r="D8" i="74"/>
  <c r="C10" i="68"/>
  <c r="D19" i="68"/>
  <c r="J59" i="67"/>
  <c r="J60" i="67" s="1"/>
  <c r="L46" i="67" s="1"/>
  <c r="C57" i="67"/>
  <c r="C61" i="67" s="1"/>
  <c r="C59" i="67" s="1"/>
  <c r="J14" i="67"/>
  <c r="J22" i="67" s="1"/>
  <c r="C33" i="67"/>
  <c r="C31" i="67" s="1"/>
  <c r="Q49" i="67"/>
  <c r="C36" i="67"/>
  <c r="C13" i="67"/>
  <c r="C56" i="67" s="1"/>
  <c r="C65" i="67" s="1"/>
  <c r="C36" i="15"/>
  <c r="C13" i="15"/>
  <c r="Q49" i="15"/>
  <c r="J14" i="15"/>
  <c r="J19" i="15"/>
  <c r="J17" i="15" s="1"/>
  <c r="C57" i="15"/>
  <c r="C41" i="11"/>
  <c r="C49" i="11" s="1"/>
  <c r="C51" i="11" s="1"/>
  <c r="C22" i="11"/>
  <c r="C31" i="11" s="1"/>
  <c r="J13" i="67" l="1"/>
  <c r="J23" i="67" s="1"/>
  <c r="I46" i="37"/>
  <c r="J46" i="37" s="1"/>
  <c r="U7" i="40"/>
  <c r="AB7" i="40"/>
  <c r="T42" i="40" s="1"/>
  <c r="G42" i="40" s="1"/>
  <c r="K68" i="39"/>
  <c r="J70" i="39"/>
  <c r="J7" i="40"/>
  <c r="S7" i="40"/>
  <c r="AA7" i="40"/>
  <c r="R42" i="40" s="1"/>
  <c r="I48" i="35"/>
  <c r="J48" i="35" s="1"/>
  <c r="K48" i="35" s="1"/>
  <c r="L48" i="35" s="1"/>
  <c r="M48" i="35" s="1"/>
  <c r="N48" i="35" s="1"/>
  <c r="O48" i="35" s="1"/>
  <c r="J7" i="35" s="1"/>
  <c r="H7" i="35"/>
  <c r="R43" i="37"/>
  <c r="E42" i="37"/>
  <c r="I47" i="37" s="1"/>
  <c r="J47" i="37" s="1"/>
  <c r="G47" i="37"/>
  <c r="H47" i="37" s="1"/>
  <c r="R27" i="6"/>
  <c r="R6" i="1"/>
  <c r="R16" i="1" s="1"/>
  <c r="C64" i="67"/>
  <c r="C58" i="67" s="1"/>
  <c r="C67" i="67" s="1"/>
  <c r="C68" i="67" s="1"/>
  <c r="C71" i="67" s="1"/>
  <c r="Q48" i="67"/>
  <c r="C23" i="69"/>
  <c r="D37" i="68"/>
  <c r="C37" i="68" s="1"/>
  <c r="C33" i="68" s="1"/>
  <c r="C19" i="68"/>
  <c r="C19" i="69"/>
  <c r="D37" i="69"/>
  <c r="C37" i="69" s="1"/>
  <c r="C33" i="69" s="1"/>
  <c r="C22" i="12"/>
  <c r="C27" i="12" s="1"/>
  <c r="C25" i="12" s="1"/>
  <c r="I6" i="6"/>
  <c r="I5" i="6"/>
  <c r="Q70" i="67"/>
  <c r="C37" i="67"/>
  <c r="C30" i="67" s="1"/>
  <c r="C39" i="67" s="1"/>
  <c r="C40" i="67" s="1"/>
  <c r="J16" i="67"/>
  <c r="J25" i="67" s="1"/>
  <c r="C75" i="67"/>
  <c r="C64" i="15"/>
  <c r="C61" i="15"/>
  <c r="C59" i="15" s="1"/>
  <c r="J22" i="15"/>
  <c r="J13" i="15"/>
  <c r="J23" i="15" s="1"/>
  <c r="C37" i="15"/>
  <c r="C30" i="15" s="1"/>
  <c r="C39" i="15" s="1"/>
  <c r="C56" i="15"/>
  <c r="C65" i="15" s="1"/>
  <c r="Q70" i="15"/>
  <c r="C75" i="15"/>
  <c r="C52" i="11"/>
  <c r="B2" i="11" s="1"/>
  <c r="B3" i="11" s="1"/>
  <c r="L51" i="67"/>
  <c r="C80" i="67" l="1"/>
  <c r="C79" i="67" s="1"/>
  <c r="U7" i="35"/>
  <c r="AB7" i="35"/>
  <c r="T38" i="35" s="1"/>
  <c r="G38" i="35" s="1"/>
  <c r="C42" i="37"/>
  <c r="C43" i="37"/>
  <c r="B2" i="37" s="1"/>
  <c r="B3" i="37" s="1"/>
  <c r="W7" i="35"/>
  <c r="AC7" i="35"/>
  <c r="V38" i="35" s="1"/>
  <c r="I38" i="35" s="1"/>
  <c r="E42" i="40"/>
  <c r="R43" i="40"/>
  <c r="W7" i="40"/>
  <c r="AC7" i="40"/>
  <c r="V42" i="40" s="1"/>
  <c r="I42" i="40" s="1"/>
  <c r="L68" i="39"/>
  <c r="K70" i="39"/>
  <c r="E47" i="37"/>
  <c r="F47" i="37" s="1"/>
  <c r="E46" i="37"/>
  <c r="F46" i="37" s="1"/>
  <c r="G46" i="40"/>
  <c r="H46" i="40" s="1"/>
  <c r="G47" i="40"/>
  <c r="H47" i="40" s="1"/>
  <c r="F7" i="35"/>
  <c r="Q69" i="67"/>
  <c r="Q68" i="67" s="1"/>
  <c r="C39" i="69"/>
  <c r="C43" i="69" s="1"/>
  <c r="C42" i="69"/>
  <c r="C20" i="68"/>
  <c r="C25" i="68" s="1"/>
  <c r="C24" i="68"/>
  <c r="C30" i="12"/>
  <c r="C28" i="12" s="1"/>
  <c r="C32" i="12" s="1"/>
  <c r="B2" i="12" s="1"/>
  <c r="C20" i="69"/>
  <c r="C25" i="69" s="1"/>
  <c r="C24" i="69"/>
  <c r="C39" i="68"/>
  <c r="C42" i="68"/>
  <c r="J16" i="15"/>
  <c r="J25" i="15" s="1"/>
  <c r="Q67" i="67"/>
  <c r="L57" i="67"/>
  <c r="L60" i="67" s="1"/>
  <c r="C58" i="15"/>
  <c r="C67" i="15" s="1"/>
  <c r="C68" i="15" s="1"/>
  <c r="Q47" i="67"/>
  <c r="Q53" i="67" s="1"/>
  <c r="Q65" i="67"/>
  <c r="D2" i="67"/>
  <c r="Q56" i="67"/>
  <c r="C43" i="67"/>
  <c r="C83" i="67"/>
  <c r="C82" i="67" s="1"/>
  <c r="C45" i="67"/>
  <c r="C46" i="67" s="1"/>
  <c r="C40" i="15"/>
  <c r="Q69" i="15"/>
  <c r="Q68" i="15" s="1"/>
  <c r="C80" i="15"/>
  <c r="C79" i="15" s="1"/>
  <c r="C56" i="11"/>
  <c r="C57" i="11" s="1"/>
  <c r="D19" i="9"/>
  <c r="L51" i="15"/>
  <c r="D102" i="9" l="1"/>
  <c r="D21" i="9"/>
  <c r="B3" i="12"/>
  <c r="C28" i="68"/>
  <c r="C27" i="68" s="1"/>
  <c r="C28" i="69"/>
  <c r="C27" i="69" s="1"/>
  <c r="S7" i="35"/>
  <c r="AA7" i="35"/>
  <c r="R38" i="35" s="1"/>
  <c r="I47" i="40"/>
  <c r="J47" i="40" s="1"/>
  <c r="I46" i="40"/>
  <c r="J46" i="40" s="1"/>
  <c r="C42" i="40"/>
  <c r="C43" i="40"/>
  <c r="I42" i="35"/>
  <c r="J42" i="35" s="1"/>
  <c r="G42" i="35"/>
  <c r="H42" i="35" s="1"/>
  <c r="G43" i="35"/>
  <c r="H43" i="35" s="1"/>
  <c r="M68" i="39"/>
  <c r="L70" i="39"/>
  <c r="E47" i="40"/>
  <c r="F47" i="40" s="1"/>
  <c r="E46" i="40"/>
  <c r="F46" i="40" s="1"/>
  <c r="C41" i="69"/>
  <c r="C22" i="69"/>
  <c r="C46" i="68"/>
  <c r="C45" i="68" s="1"/>
  <c r="C43" i="68"/>
  <c r="C41" i="68" s="1"/>
  <c r="C22" i="68"/>
  <c r="C46" i="69"/>
  <c r="C45" i="69" s="1"/>
  <c r="Q67" i="15"/>
  <c r="B2" i="15"/>
  <c r="B3" i="15" s="1"/>
  <c r="Q56" i="15"/>
  <c r="Q62" i="15" s="1"/>
  <c r="C43" i="15"/>
  <c r="Q65" i="15"/>
  <c r="Q75" i="15" s="1"/>
  <c r="Q47" i="15"/>
  <c r="Q53" i="15" s="1"/>
  <c r="C83" i="15"/>
  <c r="C82" i="15" s="1"/>
  <c r="B3" i="67"/>
  <c r="B2" i="67"/>
  <c r="C71" i="15"/>
  <c r="C46" i="15"/>
  <c r="Q66" i="67"/>
  <c r="Q75" i="67" s="1"/>
  <c r="Q57" i="67"/>
  <c r="Q62" i="67" s="1"/>
  <c r="D20" i="9"/>
  <c r="D103" i="9" l="1"/>
  <c r="C31" i="68"/>
  <c r="C31" i="69"/>
  <c r="B53" i="40"/>
  <c r="F53" i="40" s="1"/>
  <c r="B57" i="40"/>
  <c r="F57" i="40" s="1"/>
  <c r="B55" i="40"/>
  <c r="F55" i="40" s="1"/>
  <c r="B56" i="40"/>
  <c r="F56" i="40" s="1"/>
  <c r="B51" i="40"/>
  <c r="F51" i="40" s="1"/>
  <c r="B58" i="40"/>
  <c r="F58" i="40" s="1"/>
  <c r="B54" i="40"/>
  <c r="F54" i="40" s="1"/>
  <c r="B60" i="40"/>
  <c r="F60" i="40" s="1"/>
  <c r="B59" i="40"/>
  <c r="F59" i="40" s="1"/>
  <c r="B52" i="40"/>
  <c r="F52" i="40" s="1"/>
  <c r="F61" i="40"/>
  <c r="B2" i="40" s="1"/>
  <c r="B3" i="40" s="1"/>
  <c r="N68" i="39"/>
  <c r="M70" i="39"/>
  <c r="E38" i="35"/>
  <c r="R39" i="35"/>
  <c r="C49" i="69"/>
  <c r="C51" i="69" s="1"/>
  <c r="C49" i="68"/>
  <c r="C51" i="68" s="1"/>
  <c r="C52" i="68" l="1"/>
  <c r="B2" i="68" s="1"/>
  <c r="B3" i="68" s="1"/>
  <c r="C52" i="69"/>
  <c r="B2" i="69" s="1"/>
  <c r="B3" i="69" s="1"/>
  <c r="E43" i="35"/>
  <c r="F43" i="35" s="1"/>
  <c r="E42" i="35"/>
  <c r="F42" i="35" s="1"/>
  <c r="I43" i="35"/>
  <c r="J43" i="35" s="1"/>
  <c r="O68" i="39"/>
  <c r="O70" i="39" s="1"/>
  <c r="N70" i="39"/>
  <c r="C39" i="35"/>
  <c r="B2" i="35" s="1"/>
  <c r="B3" i="35" s="1"/>
  <c r="C38" i="35"/>
  <c r="C57" i="68" l="1"/>
  <c r="C56" i="68" s="1"/>
  <c r="C57" i="69"/>
  <c r="C56" i="69" s="1"/>
  <c r="F7" i="39"/>
  <c r="H7" i="39"/>
  <c r="J7" i="39"/>
  <c r="AC7" i="39" l="1"/>
  <c r="V47" i="39" s="1"/>
  <c r="I47" i="39" s="1"/>
  <c r="W7" i="39"/>
  <c r="AB7" i="39"/>
  <c r="T47" i="39" s="1"/>
  <c r="G47" i="39" s="1"/>
  <c r="U7" i="39"/>
  <c r="S7" i="39"/>
  <c r="AA7" i="39"/>
  <c r="R47" i="39" s="1"/>
  <c r="G51" i="39" l="1"/>
  <c r="H51" i="39" s="1"/>
  <c r="G52" i="39"/>
  <c r="H52" i="39" s="1"/>
  <c r="I51" i="39"/>
  <c r="J51" i="39" s="1"/>
  <c r="E47" i="39"/>
  <c r="R48" i="39"/>
  <c r="E51" i="39" l="1"/>
  <c r="F51" i="39" s="1"/>
  <c r="E52" i="39"/>
  <c r="F52" i="39" s="1"/>
  <c r="C48" i="39"/>
  <c r="C47" i="39"/>
  <c r="I52" i="39"/>
  <c r="J52" i="39" s="1"/>
  <c r="B61" i="39" l="1"/>
  <c r="F61" i="39" s="1"/>
  <c r="B56" i="39"/>
  <c r="F56" i="39" s="1"/>
  <c r="B59" i="39"/>
  <c r="F59" i="39" s="1"/>
  <c r="B60" i="39"/>
  <c r="F60" i="39" s="1"/>
  <c r="B63" i="39"/>
  <c r="F63" i="39" s="1"/>
  <c r="B65" i="39"/>
  <c r="F65" i="39" s="1"/>
  <c r="B62" i="39"/>
  <c r="F62" i="39" s="1"/>
  <c r="B58" i="39"/>
  <c r="F58" i="39" s="1"/>
  <c r="B57" i="39"/>
  <c r="F57" i="39" s="1"/>
  <c r="B64" i="39"/>
  <c r="F64" i="39" s="1"/>
  <c r="F66" i="39" l="1"/>
  <c r="B2" i="39" s="1"/>
  <c r="C19" i="9"/>
  <c r="C102" i="9" l="1"/>
  <c r="C21" i="9"/>
  <c r="G19" i="9"/>
  <c r="D22" i="9"/>
  <c r="B3" i="39"/>
  <c r="C20" i="9"/>
  <c r="C103" i="9" l="1"/>
  <c r="G20" i="9"/>
  <c r="G21" i="9"/>
  <c r="C32" i="9"/>
  <c r="H118" i="9" l="1"/>
  <c r="C35" i="9"/>
  <c r="F118" i="9" s="1"/>
  <c r="C34" i="9"/>
  <c r="D118" i="9" s="1"/>
  <c r="D119" i="9" l="1"/>
  <c r="D5" i="52" s="1"/>
  <c r="B49" i="72" s="1"/>
  <c r="D4" i="52"/>
  <c r="B47" i="72" s="1"/>
  <c r="D14" i="74"/>
  <c r="H101" i="9"/>
  <c r="H4" i="52"/>
  <c r="I118" i="9"/>
  <c r="C104" i="9"/>
  <c r="H119" i="9"/>
  <c r="H5" i="52" s="1"/>
  <c r="F119" i="9"/>
  <c r="F5" i="52" s="1"/>
  <c r="B53" i="72" s="1"/>
  <c r="G118" i="9"/>
  <c r="G4" i="52" s="1"/>
  <c r="B52" i="72" s="1"/>
  <c r="F4" i="52"/>
  <c r="B51" i="72" s="1"/>
  <c r="E118" i="9" l="1"/>
  <c r="E4" i="52" s="1"/>
  <c r="B48" i="72" s="1"/>
  <c r="C105" i="9"/>
  <c r="I4" i="52"/>
  <c r="H102" i="9"/>
  <c r="D7" i="53" s="1"/>
  <c r="B21" i="72" s="1"/>
  <c r="D45" i="9"/>
  <c r="H107" i="9"/>
  <c r="D5" i="53"/>
  <c r="M48" i="9"/>
  <c r="F14" i="74"/>
  <c r="B5" i="74"/>
  <c r="E14" i="74"/>
  <c r="B20" i="72" l="1"/>
  <c r="D6" i="53"/>
  <c r="B22" i="72" s="1"/>
  <c r="D55" i="9"/>
  <c r="M53" i="9" s="1"/>
  <c r="C78" i="9"/>
  <c r="C73" i="9" s="1"/>
  <c r="C85" i="9"/>
  <c r="D53" i="9"/>
  <c r="C93" i="9"/>
  <c r="C86" i="9" s="1"/>
  <c r="D52" i="9"/>
  <c r="C64" i="9"/>
  <c r="C63" i="9" s="1"/>
  <c r="C67" i="9" s="1"/>
  <c r="C68" i="9" s="1"/>
  <c r="D54" i="9" s="1"/>
  <c r="C72" i="9"/>
  <c r="C79" i="9" s="1"/>
  <c r="C5" i="74"/>
  <c r="D5" i="74"/>
  <c r="H108" i="9"/>
  <c r="D15" i="53" s="1"/>
  <c r="B31" i="72" s="1"/>
  <c r="D122" i="9"/>
  <c r="D13" i="53"/>
  <c r="C95" i="9" l="1"/>
  <c r="G14" i="74"/>
  <c r="B6" i="74" s="1"/>
  <c r="D8" i="52"/>
  <c r="D123" i="9"/>
  <c r="D9" i="52" s="1"/>
  <c r="C80" i="9"/>
  <c r="E80" i="9" s="1"/>
  <c r="E81" i="9" s="1"/>
  <c r="B30" i="72"/>
  <c r="D14" i="53"/>
  <c r="B32" i="72" s="1"/>
  <c r="C81" i="9" l="1"/>
  <c r="D6" i="74"/>
  <c r="C6" i="74"/>
  <c r="C96" i="9"/>
  <c r="E96" i="9" s="1"/>
  <c r="E97" i="9" s="1"/>
  <c r="C97" i="9"/>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<sst xmlns="http://schemas.openxmlformats.org/spreadsheetml/2006/main" count="7582" uniqueCount="3206">
  <si>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</si>
  <si>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</si>
  <si>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</si>
  <si>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</si>
  <si>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</si>
  <si>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</si>
  <si>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</si>
  <si>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</si>
  <si>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</si>
  <si>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</si>
  <si>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</si>
  <si>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</si>
  <si>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</si>
  <si>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</si>
  <si>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</si>
  <si>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</si>
  <si>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</si>
  <si>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</si>
  <si>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</si>
  <si>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</si>
  <si>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</si>
  <si>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</si>
  <si>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</si>
  <si>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</si>
  <si>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</si>
  <si>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</si>
  <si>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</si>
  <si>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</si>
  <si>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</si>
  <si>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</si>
  <si>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</si>
  <si>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</si>
  <si>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</si>
  <si>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</si>
  <si>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</si>
  <si>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</si>
  <si>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</si>
  <si>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</si>
  <si>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</si>
  <si>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</si>
  <si>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</si>
  <si>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</si>
  <si>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</si>
  <si>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</si>
  <si>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</si>
  <si>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</si>
  <si>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</si>
  <si>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</si>
  <si>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</si>
  <si>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</si>
  <si>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</si>
  <si>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</si>
  <si>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</si>
  <si>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</si>
  <si>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</si>
  <si>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</si>
  <si>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</si>
  <si>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</si>
  <si>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</si>
  <si>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</si>
  <si>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</si>
  <si>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</si>
  <si>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</si>
  <si>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</si>
  <si>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</si>
  <si>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</si>
  <si>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</si>
  <si>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</si>
  <si>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</si>
  <si>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</si>
  <si>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</si>
  <si>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</si>
  <si>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</si>
  <si>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</si>
  <si>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</si>
  <si>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</si>
  <si>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</si>
  <si>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</si>
  <si>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</si>
  <si>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</si>
  <si>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</si>
  <si>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</si>
  <si>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</si>
  <si>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</si>
  <si>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</si>
  <si>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</si>
  <si>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</si>
  <si>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</si>
  <si>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</si>
  <si>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</si>
  <si>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</si>
  <si>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</si>
  <si>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</si>
  <si>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</si>
  <si>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</si>
  <si>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</si>
  <si>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</si>
  <si>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</si>
  <si>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</si>
  <si>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</si>
  <si>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</si>
  <si>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</si>
  <si>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</si>
  <si>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</si>
  <si>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</si>
  <si>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</si>
  <si>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</si>
  <si>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</si>
  <si>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</si>
  <si>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</si>
  <si>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</si>
  <si>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</si>
  <si>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</si>
  <si>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</si>
  <si>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</si>
  <si>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</si>
  <si>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</si>
  <si>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</si>
  <si>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</si>
  <si>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</si>
  <si>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</si>
  <si>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</si>
  <si>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</si>
  <si>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</si>
  <si>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</si>
  <si>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</si>
  <si>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</si>
  <si>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</si>
  <si>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</si>
  <si>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</si>
  <si>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</si>
  <si>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</si>
  <si>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</si>
  <si>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</si>
  <si>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</si>
  <si>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</si>
  <si>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</si>
  <si>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</si>
  <si>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</si>
  <si>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</si>
  <si>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</si>
  <si>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</si>
  <si>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</si>
  <si>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</si>
  <si>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</si>
  <si>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</si>
  <si>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</si>
  <si>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</si>
  <si>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</si>
  <si>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</si>
  <si>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</si>
  <si>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</si>
  <si>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</si>
  <si>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</si>
  <si>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</si>
  <si>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</si>
  <si>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</si>
  <si>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</si>
  <si>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</si>
  <si>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</si>
  <si>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</si>
  <si>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</si>
  <si>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</si>
  <si>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</si>
  <si>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</si>
  <si>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</si>
  <si>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</si>
  <si>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</si>
  <si>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</si>
  <si>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</si>
  <si>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</si>
  <si>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</si>
  <si>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</si>
  <si>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</si>
  <si>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</si>
  <si>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</si>
  <si>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</si>
  <si>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</si>
  <si>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</si>
  <si>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</si>
  <si>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</si>
  <si>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</si>
  <si>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</si>
  <si>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</si>
  <si>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</si>
  <si>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</si>
  <si>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</si>
  <si>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</si>
  <si>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</si>
  <si>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</si>
  <si>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</si>
  <si>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</si>
  <si>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</si>
  <si>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</si>
  <si>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</si>
  <si>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</si>
  <si>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</si>
  <si>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</si>
  <si>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</si>
  <si>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</si>
  <si>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</si>
  <si>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</si>
  <si>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</si>
  <si>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</si>
  <si>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</si>
  <si>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</si>
  <si>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</si>
  <si>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</si>
  <si>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</si>
  <si>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</si>
  <si>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</si>
  <si>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</si>
  <si>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</si>
  <si>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</si>
  <si>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</si>
  <si>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</si>
  <si>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</si>
  <si>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</si>
  <si>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</si>
  <si>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</si>
  <si>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</si>
  <si>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</si>
  <si>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</si>
  <si>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</si>
  <si>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</si>
  <si>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</si>
  <si>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</si>
  <si>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</si>
  <si>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</si>
  <si>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</si>
  <si>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</si>
  <si>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</si>
  <si>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</si>
  <si>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</si>
  <si>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</si>
  <si>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</si>
  <si>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</si>
  <si>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</si>
  <si>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</si>
  <si>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</si>
  <si>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</si>
  <si>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</si>
  <si>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</si>
  <si>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</si>
  <si>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</si>
  <si>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</si>
  <si>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</si>
  <si>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</si>
  <si>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</si>
  <si>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</si>
  <si>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</si>
  <si>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</si>
  <si>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</si>
  <si>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</si>
  <si>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</si>
  <si>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</si>
  <si>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</si>
  <si>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</si>
  <si>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</si>
  <si>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</si>
  <si>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</si>
  <si>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</si>
  <si>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</si>
  <si>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</si>
  <si>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</si>
  <si>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</si>
  <si>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</si>
  <si>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</si>
  <si>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</si>
  <si>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</si>
  <si>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</si>
  <si>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</si>
  <si>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</si>
  <si>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</si>
  <si>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</si>
  <si>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</si>
  <si>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</si>
  <si>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</si>
  <si>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</si>
  <si>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</si>
  <si>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</si>
  <si>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</si>
  <si>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</si>
  <si>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</si>
  <si>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</si>
  <si>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</si>
  <si>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</si>
  <si>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</si>
  <si>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</si>
  <si>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</si>
  <si>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</si>
  <si>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</si>
  <si>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</si>
  <si>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</si>
  <si>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</si>
  <si>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</si>
  <si>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</si>
  <si>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</si>
  <si>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</si>
  <si>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</si>
  <si>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</si>
  <si>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</si>
  <si>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</si>
  <si>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</si>
  <si>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</si>
  <si>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</si>
  <si>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</si>
  <si>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</si>
  <si>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</si>
  <si>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</si>
  <si>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</si>
  <si>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</si>
  <si>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</si>
  <si>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</si>
  <si>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</si>
  <si>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</si>
  <si>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</si>
  <si>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</si>
  <si>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</si>
  <si>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</si>
  <si>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</si>
  <si>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</si>
  <si>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</si>
  <si>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</si>
  <si>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</si>
  <si>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</si>
  <si>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</si>
  <si>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</si>
  <si>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</si>
  <si>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</si>
  <si>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</si>
  <si>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</si>
  <si>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</si>
  <si>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</si>
  <si>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</si>
  <si>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</si>
  <si>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</si>
  <si>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</si>
  <si>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</si>
  <si>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</si>
  <si>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</si>
  <si>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</si>
  <si>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</si>
  <si>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</si>
  <si>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</si>
  <si>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</si>
  <si>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</si>
  <si>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</si>
  <si>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</si>
  <si>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</si>
  <si>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</si>
  <si>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</si>
  <si>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</si>
  <si>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</si>
  <si>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</si>
  <si>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</si>
  <si>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</si>
  <si>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</si>
  <si>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</si>
  <si>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</si>
  <si>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</si>
  <si>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</si>
  <si>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</si>
  <si>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</si>
  <si>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</si>
  <si>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</si>
  <si>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</si>
  <si>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</si>
  <si>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</si>
  <si>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</si>
  <si>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</si>
  <si>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</si>
  <si>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</si>
  <si>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</si>
  <si>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</si>
  <si>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</si>
  <si>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</si>
  <si>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</si>
  <si>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</si>
  <si>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</si>
  <si>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</si>
  <si>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</si>
  <si>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</si>
  <si>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</si>
  <si>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</si>
  <si>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</si>
  <si>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</si>
  <si>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</si>
  <si>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</si>
  <si>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</si>
  <si>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</si>
  <si>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</si>
  <si>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</si>
  <si>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</si>
  <si>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</si>
  <si>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</si>
  <si>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</si>
  <si>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</si>
  <si>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</si>
  <si>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</si>
  <si>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</si>
  <si>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</si>
  <si>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</si>
  <si>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</si>
  <si>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</si>
  <si>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</si>
  <si>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</si>
  <si>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</si>
  <si>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</si>
  <si>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</si>
  <si>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</si>
  <si>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</si>
  <si>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</si>
  <si>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</si>
  <si>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</si>
  <si>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</si>
  <si>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</si>
  <si>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</si>
  <si>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</si>
  <si>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</si>
  <si>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</si>
  <si>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</si>
  <si>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</si>
  <si>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</si>
  <si>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</si>
  <si>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</si>
  <si>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</si>
  <si>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</si>
  <si>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</si>
  <si>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</si>
  <si>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</si>
  <si>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</si>
  <si>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</si>
  <si>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</si>
  <si>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</si>
  <si>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</si>
  <si>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</si>
  <si>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</si>
  <si>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</si>
  <si>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</si>
  <si>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</si>
  <si>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</si>
  <si>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</si>
  <si>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</si>
  <si>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</si>
  <si>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</si>
  <si>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</si>
  <si>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</si>
  <si>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</si>
  <si>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</si>
  <si>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</si>
  <si>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</si>
  <si>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</si>
  <si>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</si>
  <si>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</si>
  <si>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</si>
  <si>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</si>
  <si>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</si>
  <si>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</si>
  <si>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</si>
  <si>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</si>
  <si>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</si>
  <si>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</si>
  <si>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</si>
  <si>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</si>
  <si>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</si>
  <si>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</si>
  <si>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</si>
  <si>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</si>
  <si>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</si>
  <si>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</si>
  <si>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</si>
  <si>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</si>
  <si>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</si>
  <si>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</si>
  <si>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</si>
  <si>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</si>
  <si>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</si>
  <si>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</si>
  <si>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</si>
  <si>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</si>
  <si>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</si>
  <si>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</si>
  <si>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</si>
  <si>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</si>
  <si>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</si>
  <si>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</si>
  <si>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</si>
  <si>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</si>
  <si>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</si>
  <si>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</si>
  <si>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</si>
  <si>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</si>
  <si>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</si>
  <si>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</si>
  <si>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</si>
  <si>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</si>
  <si>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</si>
  <si>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</si>
  <si>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</si>
  <si>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</si>
  <si>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</si>
  <si>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</si>
  <si>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</si>
  <si>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</si>
  <si>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</si>
  <si>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</si>
  <si>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</si>
  <si>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</si>
  <si>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</si>
  <si>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</si>
  <si>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</si>
  <si>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</si>
  <si>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</si>
  <si>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</si>
  <si>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</si>
  <si>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</si>
  <si>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</si>
  <si>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</si>
  <si>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</si>
  <si>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</si>
  <si>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</si>
  <si>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</si>
  <si>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</si>
  <si>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</si>
  <si>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</si>
  <si>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</si>
  <si>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</si>
  <si>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</si>
  <si>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</si>
  <si>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</si>
  <si>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</si>
  <si>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</si>
  <si>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</si>
  <si>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</si>
  <si>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</si>
  <si>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</si>
  <si>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</si>
  <si>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</si>
  <si>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</si>
  <si>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</si>
  <si>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</si>
  <si>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</si>
  <si>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</si>
  <si>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</si>
  <si>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</si>
  <si>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</si>
  <si>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</si>
  <si>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</si>
  <si>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</si>
  <si>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</si>
  <si>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</si>
  <si>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</si>
  <si>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</si>
  <si>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</si>
  <si>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</si>
  <si>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</si>
  <si>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</si>
  <si>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</si>
  <si>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</si>
  <si>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</si>
  <si>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</si>
  <si>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</si>
  <si>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</si>
  <si>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</si>
  <si>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</si>
  <si>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</si>
  <si>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</si>
  <si>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</si>
  <si>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</si>
  <si>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</si>
  <si>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</si>
  <si>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</si>
  <si>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</si>
  <si>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</si>
  <si>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</si>
  <si>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</si>
  <si>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</si>
  <si>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</si>
  <si>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</si>
  <si>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</si>
  <si>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</si>
  <si>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</si>
  <si>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</si>
  <si>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</si>
  <si>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</si>
  <si>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</si>
  <si>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</si>
  <si>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</si>
  <si>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</si>
  <si>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</si>
  <si>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</si>
  <si>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</si>
  <si>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</si>
  <si>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</si>
  <si>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</si>
  <si>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</si>
  <si>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</si>
  <si>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</si>
  <si>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</si>
  <si>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</si>
  <si>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</si>
  <si>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</si>
  <si>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</si>
  <si>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</si>
  <si>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</si>
  <si>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</si>
  <si>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</si>
  <si>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</si>
  <si>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</si>
  <si>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</si>
  <si>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</si>
  <si>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</si>
  <si>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</si>
  <si>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</si>
  <si>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</si>
  <si>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</si>
  <si>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</si>
  <si>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</si>
  <si>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</si>
  <si>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</si>
  <si>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</si>
  <si>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</si>
  <si>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</si>
  <si>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</si>
  <si>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</si>
  <si>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</si>
  <si>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</si>
  <si>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</si>
  <si>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</si>
  <si>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</si>
  <si>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</si>
  <si>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</si>
  <si>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</si>
  <si>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</si>
  <si>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</si>
  <si>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</si>
  <si>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</si>
  <si>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</si>
  <si>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</si>
  <si>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</si>
  <si>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</si>
  <si>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</si>
  <si>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</si>
  <si>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</si>
  <si>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</si>
  <si>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</si>
  <si>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</si>
  <si>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</si>
  <si>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</si>
  <si>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</si>
  <si>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</si>
  <si>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</si>
  <si>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</si>
  <si>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</si>
  <si>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</si>
  <si>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</si>
  <si>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</si>
  <si>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</si>
  <si>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</si>
  <si>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</si>
  <si>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</si>
  <si>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</si>
  <si>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</si>
  <si>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</si>
  <si>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</si>
  <si>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</si>
  <si>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</si>
  <si>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</si>
  <si>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</si>
  <si>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</si>
  <si>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</si>
  <si>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</si>
  <si>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</si>
  <si>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</si>
  <si>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</si>
  <si>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</si>
  <si>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</si>
  <si>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</si>
  <si>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</si>
  <si>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</si>
  <si>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</si>
  <si>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</si>
  <si>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</si>
  <si>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</si>
  <si>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</si>
  <si>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</si>
  <si>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</si>
  <si>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</si>
  <si>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</si>
  <si>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</si>
  <si>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</si>
  <si>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</si>
  <si>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</si>
  <si>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</si>
  <si>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</si>
  <si>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</si>
  <si>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</si>
  <si>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</si>
  <si>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</si>
  <si>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</si>
  <si>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</si>
  <si>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</si>
  <si>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</si>
  <si>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</si>
  <si>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</si>
  <si>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</si>
  <si>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</si>
  <si>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</si>
  <si>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</si>
  <si>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</si>
  <si>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</si>
  <si>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</si>
  <si>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</si>
  <si>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</si>
  <si>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</si>
  <si>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</si>
  <si>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</si>
  <si>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</si>
  <si>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</si>
  <si>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</si>
  <si>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</si>
  <si>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</si>
  <si>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</si>
  <si>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</si>
  <si>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</si>
  <si>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</si>
  <si>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</si>
  <si>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</si>
  <si>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</si>
  <si>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</si>
  <si>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</si>
  <si>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</si>
  <si>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</si>
  <si>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</si>
  <si>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</si>
  <si>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</si>
  <si>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</si>
  <si>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</si>
  <si>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</si>
  <si>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</si>
  <si>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</si>
  <si>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</si>
  <si>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</si>
  <si>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</si>
  <si>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</si>
  <si>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</si>
  <si>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</si>
  <si>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</si>
  <si>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</si>
  <si>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</si>
  <si>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</si>
  <si>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</si>
  <si>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</si>
  <si>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</si>
  <si>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</si>
  <si>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</si>
  <si>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</si>
  <si>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</si>
  <si>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</si>
  <si>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</si>
  <si>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</si>
  <si>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</si>
  <si>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</si>
  <si>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</si>
  <si>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</si>
  <si>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</si>
  <si>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</si>
  <si>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</si>
  <si>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</si>
  <si>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</si>
  <si>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</si>
  <si>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</si>
  <si>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</si>
  <si>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</si>
  <si>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</si>
  <si>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</si>
  <si>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</si>
  <si>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</si>
  <si>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</si>
  <si>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</si>
  <si>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</si>
  <si>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</si>
  <si>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</si>
  <si>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</si>
  <si>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</si>
  <si>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</si>
  <si>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</si>
  <si>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</si>
  <si>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</si>
  <si>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</si>
  <si>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</si>
  <si>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</si>
  <si>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</si>
  <si>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</si>
  <si>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</si>
  <si>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</si>
  <si>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</si>
  <si>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</si>
  <si>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</si>
  <si>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</si>
  <si>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</si>
  <si>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</si>
  <si>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</si>
  <si>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</si>
  <si>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</si>
  <si>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</si>
  <si>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</si>
  <si>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</si>
  <si>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</si>
  <si>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</si>
  <si>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</si>
  <si>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</si>
  <si>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</si>
  <si>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</si>
  <si>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</si>
  <si>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</si>
  <si>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</si>
  <si>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</si>
  <si>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</si>
  <si>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</si>
  <si>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</si>
  <si>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</si>
  <si>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</si>
  <si>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</si>
  <si>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</si>
  <si>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</si>
  <si>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</si>
  <si>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</si>
  <si>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</si>
  <si>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</si>
  <si>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</si>
  <si>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</si>
  <si>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</si>
  <si>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</si>
  <si>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</si>
  <si>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</si>
  <si>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</si>
  <si>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</si>
  <si>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</si>
  <si>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</si>
  <si>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</si>
  <si>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</si>
  <si>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</si>
  <si>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</si>
  <si>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</si>
  <si>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</si>
  <si>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</si>
  <si>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</si>
  <si>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</si>
  <si>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</si>
  <si>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</si>
  <si>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</si>
  <si>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</si>
  <si>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</si>
  <si>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</si>
  <si>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</si>
  <si>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</si>
  <si>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</si>
  <si>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</si>
  <si>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</si>
  <si>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</si>
  <si>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</si>
  <si>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</si>
  <si>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</si>
  <si>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</si>
  <si>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</si>
  <si>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</si>
  <si>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</si>
  <si>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</si>
  <si>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</si>
  <si>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</si>
  <si>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</si>
  <si>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</si>
  <si>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</si>
  <si>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</si>
  <si>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</si>
  <si>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</si>
  <si>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</si>
  <si>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</si>
  <si>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</si>
  <si>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</si>
  <si>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</si>
  <si>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</si>
  <si>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</si>
  <si>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</si>
  <si>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</si>
  <si>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</si>
  <si>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</si>
  <si>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</si>
  <si>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</si>
  <si>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</si>
  <si>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</si>
  <si>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</si>
  <si>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</si>
  <si>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</si>
  <si>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</si>
  <si>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</si>
  <si>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</si>
  <si>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</si>
  <si>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</si>
  <si>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</si>
  <si>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</si>
  <si>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</si>
  <si>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</si>
  <si>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</si>
  <si>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</si>
  <si>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</si>
  <si>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</si>
  <si>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</si>
  <si>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</si>
  <si>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</si>
  <si>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</si>
  <si>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</si>
  <si>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</si>
  <si>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</si>
  <si>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</si>
  <si>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</si>
  <si>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</si>
  <si>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</si>
  <si>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</si>
  <si>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</si>
  <si>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</si>
  <si>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</si>
  <si>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</si>
  <si>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</si>
  <si>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</si>
  <si>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</si>
  <si>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</si>
  <si>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</si>
  <si>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</si>
  <si>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</si>
  <si>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</si>
  <si>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</si>
  <si>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</si>
  <si>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</si>
  <si>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</si>
  <si>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</si>
  <si>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</si>
  <si>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</si>
  <si>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</si>
  <si>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</si>
  <si>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</si>
  <si>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</si>
  <si>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</si>
  <si>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</si>
  <si>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</si>
  <si>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</si>
  <si>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</si>
  <si>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</si>
  <si>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</si>
  <si>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</si>
  <si>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</si>
  <si>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</si>
  <si>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</si>
  <si>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</si>
  <si>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</si>
  <si>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</si>
  <si>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</si>
  <si>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</si>
  <si>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</si>
  <si>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</si>
  <si>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</si>
  <si>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</si>
  <si>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</si>
  <si>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</si>
  <si>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</si>
  <si>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</si>
  <si>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</si>
  <si>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</si>
  <si>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</si>
  <si>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</si>
  <si>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</si>
  <si>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</si>
  <si>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</si>
  <si>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</si>
  <si>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</si>
  <si>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</si>
  <si>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</si>
  <si>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</si>
  <si>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</si>
  <si>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</si>
  <si>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</si>
  <si>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</si>
  <si>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</si>
  <si>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</si>
  <si>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</si>
  <si>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</si>
  <si>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</si>
  <si>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</si>
  <si>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</si>
  <si>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</si>
  <si>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</si>
  <si>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</si>
  <si>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</si>
  <si>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</si>
  <si>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</si>
  <si>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</si>
  <si>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</si>
  <si>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</si>
  <si>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</si>
  <si>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</si>
  <si>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</si>
  <si>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</si>
  <si>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</si>
  <si>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</si>
  <si>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</si>
  <si>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</si>
  <si>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</si>
  <si>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</si>
  <si>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</si>
  <si>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</si>
  <si>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</si>
  <si>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</si>
  <si>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</si>
  <si>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</si>
  <si>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</si>
  <si>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</si>
  <si>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</si>
  <si>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</si>
  <si>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</si>
  <si>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</si>
  <si>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</si>
  <si>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</si>
  <si>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</si>
  <si>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</si>
  <si>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</si>
  <si>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</si>
  <si>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</si>
  <si>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</si>
  <si>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</si>
  <si>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</si>
  <si>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</si>
  <si>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</si>
  <si>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</si>
  <si>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</si>
  <si>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</si>
  <si>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</si>
  <si>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</si>
  <si>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</si>
  <si>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</si>
  <si>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</si>
  <si>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</si>
  <si>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</si>
  <si>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</si>
  <si>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</si>
  <si>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</si>
  <si>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</si>
  <si>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</si>
  <si>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</si>
  <si>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</si>
  <si>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</si>
  <si>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</si>
  <si>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</si>
  <si>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</si>
  <si>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</si>
  <si>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</si>
  <si>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</si>
  <si>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</si>
  <si>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</si>
  <si>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</si>
  <si>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</si>
  <si>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</si>
  <si>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</si>
  <si>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</si>
  <si>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</si>
  <si>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</si>
  <si>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</si>
  <si>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</si>
  <si>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</si>
  <si>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</si>
  <si>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</si>
  <si>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</si>
  <si>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</si>
  <si>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</si>
  <si>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</si>
  <si>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</si>
  <si>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</si>
  <si>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</si>
  <si>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</si>
  <si>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</si>
  <si>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</si>
  <si>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</si>
  <si>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</si>
  <si>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</si>
  <si>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</si>
  <si>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</si>
  <si>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</si>
  <si>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</si>
  <si>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</si>
  <si>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</si>
  <si>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</si>
  <si>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</si>
  <si>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</si>
  <si>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</si>
  <si>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</si>
  <si>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</si>
  <si>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</si>
  <si>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</si>
  <si>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</si>
  <si>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</si>
  <si>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</si>
  <si>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</si>
  <si>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</si>
  <si>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</si>
  <si>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</si>
  <si>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</si>
  <si>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</si>
  <si>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</si>
  <si>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</si>
  <si>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</si>
  <si>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</si>
  <si>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</si>
  <si>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</si>
  <si>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</si>
  <si>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</si>
  <si>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</si>
  <si>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</si>
  <si>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</si>
  <si>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</si>
  <si>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</si>
  <si>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</si>
  <si>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</si>
  <si>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</si>
  <si>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</si>
  <si>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</si>
  <si>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</si>
  <si>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</si>
  <si>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</si>
  <si>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</si>
  <si>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</si>
  <si>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</si>
  <si>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</si>
  <si>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</si>
  <si>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</si>
  <si>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</si>
  <si>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</si>
  <si>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</si>
  <si>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</si>
  <si>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</si>
  <si>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</si>
  <si>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</si>
  <si>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</si>
  <si>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</si>
  <si>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</si>
  <si>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</si>
  <si>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</si>
  <si>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</si>
  <si>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</si>
  <si>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</si>
  <si>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</si>
  <si>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</si>
  <si>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</si>
  <si>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</si>
  <si>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</si>
  <si>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</si>
  <si>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</si>
  <si>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</si>
  <si>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</si>
  <si>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</si>
  <si>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</si>
  <si>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</si>
  <si>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</si>
  <si>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</si>
  <si>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</si>
  <si>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</si>
  <si>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</si>
  <si>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</si>
  <si>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</si>
  <si>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</si>
  <si>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</si>
  <si>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</si>
  <si>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</si>
  <si>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</si>
  <si>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</si>
  <si>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</si>
  <si>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</si>
  <si>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</si>
  <si>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</si>
  <si>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</si>
  <si>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</si>
  <si>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</si>
  <si>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</si>
  <si>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</si>
  <si>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</si>
  <si>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</si>
  <si>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</si>
  <si>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</si>
  <si>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</si>
  <si>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</si>
  <si>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</si>
  <si>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</si>
  <si>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</si>
  <si>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</si>
  <si>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</si>
  <si>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</si>
  <si>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</si>
  <si>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</si>
  <si>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</si>
  <si>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</si>
  <si>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</si>
  <si>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</si>
  <si>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</si>
  <si>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</si>
  <si>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</si>
  <si>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</si>
  <si>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</si>
  <si>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</si>
  <si>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</si>
  <si>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</si>
  <si>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</si>
  <si>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</si>
  <si>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</si>
  <si>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</si>
  <si>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</si>
  <si>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</si>
  <si>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</si>
  <si>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</si>
  <si>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</si>
  <si>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</si>
  <si>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</si>
  <si>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</si>
  <si>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</si>
  <si>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</si>
  <si>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</si>
  <si>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</si>
  <si>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</si>
  <si>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</si>
  <si>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</si>
  <si>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</si>
  <si>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</si>
  <si>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</si>
  <si>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</si>
  <si>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</si>
  <si>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</si>
  <si>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</si>
  <si>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</si>
  <si>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</si>
  <si>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</si>
  <si>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</si>
  <si>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</si>
  <si>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</si>
  <si>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</si>
  <si>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</si>
  <si>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</si>
  <si>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</si>
  <si>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</si>
  <si>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</si>
  <si>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</si>
  <si>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</si>
  <si>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</si>
  <si>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</si>
  <si>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</si>
  <si>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</si>
  <si>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</si>
  <si>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</si>
  <si>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</si>
  <si>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</si>
  <si>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</si>
  <si>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</si>
  <si>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</si>
  <si>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</si>
  <si>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</si>
  <si>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</si>
  <si>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</si>
  <si>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</si>
  <si>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</si>
  <si>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</si>
  <si>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</si>
  <si>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</si>
  <si>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</si>
  <si>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</si>
  <si>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</si>
  <si>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</si>
  <si>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</si>
  <si>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</si>
  <si>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</si>
  <si>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</si>
  <si>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</si>
  <si>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</si>
  <si>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</si>
  <si>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</si>
  <si>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</si>
  <si>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</si>
  <si>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</si>
  <si>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</si>
  <si>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</si>
  <si>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</si>
  <si>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</si>
  <si>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</si>
  <si>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</si>
  <si>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</si>
  <si>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</si>
  <si>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</si>
  <si>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</si>
  <si>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</si>
  <si>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</si>
  <si>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</si>
  <si>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</si>
  <si>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</si>
  <si>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</si>
  <si>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</si>
  <si>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</si>
  <si>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</si>
  <si>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</si>
  <si>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</si>
  <si>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</si>
  <si>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</si>
  <si>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</si>
  <si>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</si>
  <si>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</si>
  <si>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</si>
  <si>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</si>
  <si>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</si>
  <si>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</si>
  <si>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</si>
  <si>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</si>
  <si>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</si>
  <si>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</si>
  <si>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</si>
  <si>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</si>
  <si>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</si>
  <si>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</si>
  <si>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</si>
  <si>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</si>
  <si>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</si>
  <si>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</si>
  <si>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</si>
  <si>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</si>
  <si>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</si>
  <si>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</si>
  <si>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</si>
  <si>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</si>
  <si>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</si>
  <si>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</si>
  <si>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</si>
  <si>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</si>
  <si>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</si>
  <si>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</si>
  <si>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</si>
  <si>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</si>
  <si>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</si>
  <si>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</si>
  <si>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</si>
  <si>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</si>
  <si>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</si>
  <si>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</si>
  <si>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</si>
  <si>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</si>
  <si>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</si>
  <si>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</si>
  <si>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</si>
  <si>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</si>
  <si>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</si>
  <si>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</si>
  <si>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</si>
  <si>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</si>
  <si>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</si>
  <si>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</si>
  <si>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</si>
  <si>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</si>
  <si>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</si>
  <si>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</si>
  <si>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</si>
  <si>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</si>
  <si>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</si>
  <si>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</si>
  <si>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</si>
  <si>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</si>
  <si>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</si>
  <si>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</si>
  <si>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</si>
  <si>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</si>
  <si>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</si>
  <si>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</si>
  <si>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</si>
  <si>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</si>
  <si>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</si>
  <si>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</si>
  <si>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</si>
  <si>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</si>
  <si>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</si>
  <si>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</si>
  <si>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</si>
  <si>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</si>
  <si>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</si>
  <si>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</si>
  <si>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</si>
  <si>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</si>
  <si>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</si>
  <si>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</si>
  <si>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</si>
  <si>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</si>
  <si>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</si>
  <si>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</si>
  <si>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</si>
  <si>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</si>
  <si>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</si>
  <si>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</si>
  <si>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</si>
  <si>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</si>
  <si>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</si>
  <si>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</si>
  <si>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</si>
  <si>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</si>
  <si>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</si>
  <si>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</si>
  <si>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</si>
  <si>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</si>
  <si>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</si>
  <si>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</si>
  <si>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</si>
  <si>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</si>
  <si>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</si>
  <si>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</si>
  <si>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</si>
  <si>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</si>
  <si>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</si>
  <si>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</si>
  <si>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</si>
  <si>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</si>
  <si>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</si>
  <si>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</si>
  <si>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</si>
  <si>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</si>
  <si>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</si>
  <si>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</si>
  <si>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</si>
  <si>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</si>
  <si>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</si>
  <si>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</si>
  <si>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</si>
  <si>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</si>
  <si>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</si>
  <si>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</si>
  <si>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</si>
  <si>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</si>
  <si>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</si>
  <si>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</si>
  <si>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</si>
  <si>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</si>
  <si>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</si>
  <si>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</si>
  <si>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</si>
  <si>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</si>
  <si>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</si>
  <si>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</si>
  <si>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</si>
  <si>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</si>
  <si>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</si>
  <si>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</si>
  <si>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</si>
  <si>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</si>
  <si>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</si>
  <si>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</si>
  <si>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</si>
  <si>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</si>
  <si>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</si>
  <si>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</si>
  <si>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</si>
  <si>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</si>
  <si>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</si>
  <si>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</si>
  <si>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</si>
  <si>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</si>
  <si>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</si>
  <si>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</si>
  <si>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</si>
  <si>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</si>
  <si>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</si>
  <si>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</si>
  <si>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</si>
  <si>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</si>
  <si>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</si>
  <si>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</si>
  <si>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</si>
  <si>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</si>
  <si>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</si>
  <si>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</si>
  <si>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</si>
  <si>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</si>
  <si>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</si>
  <si>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</si>
  <si>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</si>
  <si>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</si>
  <si>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</si>
  <si>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</si>
  <si>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</si>
  <si>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</si>
  <si>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</si>
  <si>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</si>
  <si>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</si>
  <si>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</si>
  <si>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</si>
  <si>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</si>
  <si>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</si>
  <si>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</si>
  <si>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</si>
  <si>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</si>
  <si>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</si>
  <si>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</si>
  <si>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</si>
  <si>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</si>
  <si>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</si>
  <si>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</si>
  <si>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</si>
  <si>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</si>
  <si>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</si>
  <si>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</si>
  <si>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</si>
  <si>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</si>
  <si>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</si>
  <si>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</si>
  <si>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</si>
  <si>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</si>
  <si>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</si>
  <si>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</si>
  <si>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</si>
  <si>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</si>
  <si>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</si>
  <si>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</si>
  <si>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</si>
  <si>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</si>
  <si>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</si>
  <si>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</si>
  <si>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</si>
  <si>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</si>
  <si>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</si>
  <si>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</si>
  <si>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</si>
  <si>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</si>
  <si>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</si>
  <si>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</si>
  <si>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</si>
  <si>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</si>
  <si>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</si>
  <si>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</si>
  <si>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</si>
  <si>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</si>
  <si>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</si>
  <si>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</si>
  <si>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</si>
  <si>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</si>
  <si>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</si>
  <si>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</si>
  <si>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</si>
  <si>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</si>
  <si>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</si>
  <si>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</si>
  <si>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</si>
  <si>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</si>
  <si>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</si>
  <si>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</si>
  <si>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</si>
  <si>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</si>
  <si>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</si>
  <si>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</si>
  <si>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</si>
  <si>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</si>
  <si>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</si>
  <si>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</si>
  <si>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</si>
  <si>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</si>
  <si>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</si>
  <si>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</si>
  <si>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</si>
  <si>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</si>
  <si>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</si>
  <si>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</si>
  <si>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</si>
  <si>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</si>
  <si>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</si>
  <si>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</si>
  <si>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</si>
  <si>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</si>
  <si>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</si>
  <si>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</si>
  <si>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</si>
  <si>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</si>
  <si>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</si>
  <si>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</si>
  <si>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</si>
  <si>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</si>
  <si>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</si>
  <si>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</si>
  <si>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</si>
  <si>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</si>
  <si>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</si>
  <si>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</si>
  <si>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</si>
  <si>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</si>
  <si>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</si>
  <si>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</si>
  <si>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</si>
  <si>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</si>
  <si>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</si>
  <si>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</si>
  <si>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</si>
  <si>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</si>
  <si>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</si>
  <si>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</si>
  <si>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</si>
  <si>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</si>
  <si>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</si>
  <si>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</si>
  <si>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</si>
  <si>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</si>
  <si>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</si>
  <si>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</si>
  <si>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</si>
  <si>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</si>
  <si>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</si>
  <si>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</si>
  <si>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</si>
  <si>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</si>
  <si>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</si>
  <si>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</si>
  <si>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</si>
  <si>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</si>
  <si>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</si>
  <si>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</si>
  <si>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</si>
  <si>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</si>
  <si>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</si>
  <si>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</si>
  <si>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</si>
  <si>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</si>
  <si>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</si>
  <si>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</si>
  <si>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</si>
  <si>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</si>
  <si>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</si>
  <si>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</si>
  <si>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</si>
  <si>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</si>
  <si>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</si>
  <si>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</si>
  <si>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</si>
  <si>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</si>
  <si>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</si>
  <si>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</si>
  <si>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</si>
  <si>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</si>
  <si>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</si>
  <si>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</si>
  <si>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</si>
  <si>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</si>
  <si>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</si>
  <si>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</si>
  <si>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</si>
  <si>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</si>
  <si>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</si>
  <si>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</si>
  <si>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</si>
  <si>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</si>
  <si>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</si>
  <si>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</si>
  <si>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</si>
  <si>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</si>
  <si>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</si>
  <si>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</si>
  <si>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</si>
  <si>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</si>
  <si>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</si>
  <si>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</si>
  <si>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</si>
  <si>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</si>
  <si>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</si>
  <si>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</si>
  <si>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</si>
  <si>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</si>
  <si>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</si>
  <si>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</si>
  <si>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</si>
  <si>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</si>
  <si>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</si>
  <si>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</si>
  <si>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</si>
  <si>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</si>
  <si>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</si>
  <si>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</si>
  <si>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</si>
  <si>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</si>
  <si>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</si>
  <si>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</si>
  <si>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</si>
  <si>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</si>
  <si>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</si>
  <si>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</si>
  <si>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</si>
  <si>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</si>
  <si>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</si>
  <si>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</si>
  <si>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</si>
  <si>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</si>
  <si>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</si>
  <si>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</si>
  <si>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</si>
  <si>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</si>
  <si>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</si>
  <si>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</si>
  <si>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</si>
  <si>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</si>
  <si>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</si>
  <si>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</si>
  <si>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</si>
  <si>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</si>
  <si>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</si>
  <si>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</si>
  <si>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</si>
  <si>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</si>
  <si>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</si>
  <si>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</si>
  <si>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</si>
  <si>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</si>
  <si>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</si>
  <si>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</si>
  <si>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</si>
  <si>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</si>
  <si>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</si>
  <si>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</si>
  <si>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</si>
  <si>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</si>
  <si>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</si>
  <si>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</si>
  <si>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</si>
  <si>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</si>
  <si>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</si>
  <si>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</si>
  <si>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</si>
  <si>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</si>
  <si>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</si>
  <si>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</si>
  <si>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</si>
  <si>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</si>
  <si>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</si>
  <si>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</si>
  <si>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</si>
  <si>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</si>
  <si>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</si>
  <si>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</si>
  <si>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</si>
  <si>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</si>
  <si>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</si>
  <si>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</si>
  <si>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</si>
  <si>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</si>
  <si>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</si>
  <si>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</si>
  <si>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</si>
  <si>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</si>
  <si>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</si>
  <si>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</si>
  <si>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</si>
  <si>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</si>
  <si>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</si>
  <si>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</si>
  <si>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</si>
  <si>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</si>
  <si>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</si>
  <si>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</si>
  <si>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</si>
  <si>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</si>
  <si>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</si>
  <si>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</si>
  <si>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</si>
  <si>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</si>
  <si>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</si>
  <si>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</si>
  <si>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</si>
  <si>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</si>
  <si>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</si>
  <si>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</si>
  <si>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</si>
  <si>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</si>
  <si>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</si>
  <si>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</si>
  <si>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</si>
  <si>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</si>
  <si>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</si>
  <si>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</si>
  <si>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</si>
  <si>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</si>
  <si>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</si>
  <si>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</si>
  <si>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</si>
  <si>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</si>
  <si>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</si>
  <si>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</si>
  <si>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</si>
  <si>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</si>
  <si>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</si>
  <si>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</si>
  <si>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</si>
  <si>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</si>
  <si>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</si>
  <si>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</si>
  <si>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</si>
  <si>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</si>
  <si>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</si>
  <si>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</si>
  <si>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</si>
  <si>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</si>
  <si>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</si>
  <si>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</si>
  <si>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</si>
  <si>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</si>
  <si>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</si>
  <si>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</si>
  <si>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</si>
  <si>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</si>
  <si>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</si>
  <si>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</si>
  <si>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</si>
  <si>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</si>
  <si>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</si>
  <si>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</si>
  <si>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</si>
  <si>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</si>
  <si>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</si>
  <si>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</si>
  <si>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</si>
  <si>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</si>
  <si>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</si>
  <si>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</si>
  <si>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</si>
  <si>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</si>
  <si>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</si>
  <si>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</si>
  <si>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</si>
  <si>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</si>
  <si>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</si>
  <si>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</si>
  <si>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</si>
  <si>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</si>
  <si>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</si>
  <si>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</si>
  <si>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</si>
  <si>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</si>
  <si>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</si>
  <si>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</si>
  <si>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</si>
  <si>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</si>
  <si>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</si>
  <si>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</si>
  <si>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</si>
  <si>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</si>
  <si>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</si>
  <si>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</si>
  <si>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</si>
  <si>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</si>
  <si>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</si>
  <si>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</si>
  <si>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</si>
  <si>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</si>
  <si>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</si>
  <si>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</si>
  <si>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</si>
  <si>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</si>
  <si>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</si>
  <si>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</si>
  <si>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</si>
  <si>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</si>
  <si>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</si>
  <si>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</si>
  <si>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</si>
  <si>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</si>
  <si>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</si>
  <si>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</si>
  <si>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</si>
  <si>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</si>
  <si>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</si>
  <si>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</si>
  <si>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</si>
  <si>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</si>
  <si>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</si>
  <si>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</si>
  <si>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</si>
  <si>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</si>
  <si>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</si>
  <si>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</si>
  <si>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</si>
  <si>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</si>
  <si>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</si>
  <si>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</si>
  <si>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</si>
  <si>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</si>
  <si>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</si>
  <si>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</si>
  <si>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</si>
  <si>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</si>
  <si>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</si>
  <si>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</si>
  <si>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</si>
  <si>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</si>
  <si>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</si>
  <si>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</si>
  <si>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</si>
  <si>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</si>
  <si>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</si>
  <si>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</si>
  <si>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</si>
  <si>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</si>
  <si>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</si>
  <si>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</si>
  <si>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</si>
  <si>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</si>
  <si>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</si>
  <si>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</si>
  <si>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</si>
  <si>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</si>
  <si>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</si>
  <si>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</si>
  <si>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</si>
  <si>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</si>
  <si>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</si>
  <si>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</si>
  <si>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</si>
  <si>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</si>
  <si>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</si>
  <si>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</si>
  <si>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</si>
  <si>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</si>
  <si>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</si>
  <si>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</si>
  <si>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</si>
  <si>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</si>
  <si>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</si>
  <si>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</si>
  <si>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</si>
  <si>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</si>
  <si>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</si>
  <si>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</si>
  <si>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</si>
  <si>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</si>
  <si>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</si>
  <si>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</si>
  <si>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</si>
  <si>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</si>
  <si>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</si>
  <si>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</si>
  <si>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</si>
  <si>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</si>
  <si>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</si>
  <si>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</si>
  <si>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</si>
  <si>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</si>
  <si>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</si>
  <si>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</si>
  <si>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</si>
  <si>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</si>
  <si>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</si>
  <si>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</si>
  <si>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</si>
  <si>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</si>
  <si>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</si>
  <si>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</si>
  <si>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</si>
  <si>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</si>
  <si>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</si>
  <si>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</si>
  <si>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</si>
  <si>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</si>
  <si>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</si>
  <si>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</si>
  <si>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</si>
  <si>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</si>
  <si>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</si>
  <si>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</si>
  <si>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</si>
  <si>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</si>
  <si>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</si>
  <si>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</si>
  <si>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</si>
  <si>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</si>
  <si>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</si>
  <si>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</si>
  <si>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</si>
  <si>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</si>
  <si>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</si>
  <si>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</si>
  <si>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</si>
  <si>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</si>
  <si>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</si>
  <si>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</si>
  <si>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</si>
  <si>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</si>
  <si>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</si>
  <si>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</si>
  <si>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</si>
  <si>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</si>
  <si>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</si>
  <si>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</si>
  <si>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</si>
  <si>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</si>
  <si>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</si>
  <si>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</si>
  <si>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</si>
  <si>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</si>
  <si>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</si>
  <si>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</si>
  <si>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</si>
  <si>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</si>
  <si>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</si>
  <si>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</si>
  <si>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</si>
  <si>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</si>
  <si>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</si>
  <si>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</si>
  <si>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</si>
  <si>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</si>
  <si>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</si>
  <si>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</si>
  <si>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</si>
  <si>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</si>
  <si>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</si>
  <si>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</si>
  <si>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</si>
  <si>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</si>
  <si>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</si>
  <si>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</si>
  <si>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</si>
  <si>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</si>
  <si>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</si>
  <si>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</si>
  <si>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</si>
  <si>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</si>
  <si>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</si>
  <si>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</si>
  <si>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</si>
  <si>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</si>
  <si>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</si>
  <si>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</si>
  <si>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</si>
  <si>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</si>
  <si>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</si>
  <si>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</si>
  <si>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</si>
  <si>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</si>
  <si>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</si>
  <si>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</si>
  <si>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</si>
  <si>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</si>
  <si>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</si>
  <si>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</si>
  <si>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</si>
  <si>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</si>
  <si>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</si>
  <si>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</si>
  <si>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</si>
  <si>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</si>
  <si>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</si>
  <si>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</si>
  <si>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</si>
  <si>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</si>
  <si>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</si>
  <si>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</si>
  <si>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</si>
  <si>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</si>
  <si>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</si>
  <si>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</si>
  <si>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</si>
  <si>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</si>
  <si>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</si>
  <si>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</si>
  <si>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</si>
  <si>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</si>
  <si>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</si>
  <si>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</si>
  <si>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</si>
  <si>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</si>
  <si>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</si>
  <si>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</si>
  <si>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</si>
  <si>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</si>
  <si>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</si>
  <si>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</si>
  <si>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</si>
  <si>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</si>
  <si>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</si>
  <si>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</si>
  <si>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</si>
  <si>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</si>
  <si>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</si>
  <si>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</si>
  <si>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</si>
  <si>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</si>
  <si>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</si>
  <si>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</si>
  <si>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</si>
  <si>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</si>
  <si>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</si>
  <si>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</si>
  <si>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</si>
  <si>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</si>
  <si>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</si>
  <si>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</si>
  <si>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</si>
  <si>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</si>
  <si>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</si>
  <si>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</si>
  <si>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</si>
  <si>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</si>
  <si>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</si>
  <si>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</si>
  <si>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</si>
  <si>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</si>
  <si>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</si>
  <si>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</si>
  <si>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</si>
  <si>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</si>
  <si>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</si>
  <si>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</si>
  <si>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</si>
  <si>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</si>
  <si>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</si>
  <si>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</si>
  <si>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</si>
  <si>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</si>
  <si>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</si>
  <si>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</si>
  <si>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</si>
  <si>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</si>
  <si>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</si>
  <si>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</si>
  <si>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</si>
  <si>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</si>
  <si>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</si>
  <si>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</si>
  <si>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</si>
  <si>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</si>
  <si>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</si>
  <si>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</si>
  <si>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</si>
  <si>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</si>
  <si>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</si>
  <si>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</si>
  <si>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</si>
  <si>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</si>
  <si>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</si>
  <si>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</si>
  <si>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</si>
  <si>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</si>
  <si>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</si>
  <si>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</si>
  <si>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</si>
  <si>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</si>
  <si>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</si>
  <si>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</si>
  <si>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</si>
  <si>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</si>
  <si>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</si>
  <si>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</si>
  <si>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</si>
  <si>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</si>
  <si>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</si>
  <si>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</si>
  <si>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</si>
  <si>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</si>
  <si>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</si>
  <si>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</si>
  <si>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</si>
  <si>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</si>
  <si>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</si>
  <si>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</si>
  <si>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</si>
  <si>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</si>
  <si>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</si>
  <si>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</si>
  <si>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</si>
  <si>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</si>
  <si>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</si>
  <si>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</si>
  <si>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</si>
  <si>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</si>
  <si>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</si>
  <si>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</si>
  <si>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</si>
  <si>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</si>
  <si>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</si>
  <si>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</si>
  <si>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</si>
  <si>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</si>
  <si>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</si>
  <si>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</si>
  <si>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</si>
  <si>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</si>
  <si>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</si>
  <si>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</si>
  <si>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</si>
  <si>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</si>
  <si>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</si>
  <si>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</si>
  <si>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</si>
  <si>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</si>
  <si>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</si>
  <si>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</si>
  <si>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</si>
  <si>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</si>
  <si>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</si>
  <si>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</si>
  <si>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</si>
  <si>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</si>
  <si>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</si>
  <si>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</si>
  <si>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</si>
  <si>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</si>
  <si>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</si>
  <si>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</si>
  <si>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</si>
  <si>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</si>
  <si>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</si>
  <si>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</si>
  <si>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</si>
  <si>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</si>
  <si>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</si>
  <si>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</si>
  <si>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</si>
  <si>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</si>
  <si>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</si>
  <si>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</si>
  <si>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</si>
  <si>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</si>
  <si>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</si>
  <si>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</si>
  <si>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</si>
  <si>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</si>
  <si>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</si>
  <si>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</si>
  <si>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</si>
  <si>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</si>
  <si>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</si>
  <si>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</si>
  <si>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</si>
  <si>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</si>
  <si>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</si>
  <si>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</si>
  <si>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</si>
  <si>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</si>
  <si>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</si>
  <si>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</si>
  <si>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</si>
  <si>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</si>
  <si>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</si>
  <si>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</si>
  <si>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</si>
  <si>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</si>
  <si>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</si>
  <si>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</si>
  <si>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</si>
  <si>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</si>
  <si>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</si>
  <si>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</si>
  <si>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</si>
  <si>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</si>
  <si>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</si>
  <si>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</si>
  <si>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</si>
  <si>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</si>
  <si>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</si>
  <si>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</si>
  <si>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</si>
  <si>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</si>
  <si>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</si>
  <si>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</si>
  <si>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</si>
  <si>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</si>
  <si>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</si>
  <si>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</si>
  <si>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</si>
  <si>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</si>
  <si>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</si>
  <si>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</si>
  <si>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</si>
  <si>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</si>
  <si>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</si>
  <si>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</si>
  <si>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</si>
  <si>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</si>
  <si>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</si>
  <si>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</si>
  <si>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</si>
  <si>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</si>
  <si>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</si>
  <si>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</si>
  <si>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</si>
  <si>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</si>
  <si>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</si>
  <si>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</si>
  <si>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</si>
  <si>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</si>
  <si>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</si>
  <si>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</si>
  <si>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</si>
  <si>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</si>
  <si>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</si>
  <si>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</si>
  <si>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</si>
  <si>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</si>
  <si>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</si>
  <si>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</si>
  <si>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</si>
  <si>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</si>
  <si>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</si>
  <si>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</si>
  <si>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</si>
  <si>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</si>
  <si>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</si>
  <si>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</si>
  <si>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</si>
  <si>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</si>
  <si>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</si>
  <si>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</si>
  <si>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</si>
  <si>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</si>
  <si>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</si>
  <si>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</si>
  <si>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</si>
  <si>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</si>
  <si>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</si>
  <si>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</si>
  <si>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</si>
  <si>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</si>
  <si>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</si>
  <si>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</si>
  <si>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</si>
  <si>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</si>
  <si>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</si>
  <si>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</si>
  <si>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</si>
  <si>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</si>
  <si>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</si>
  <si>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</si>
  <si>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</si>
  <si>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</si>
  <si>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</si>
  <si>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</si>
  <si>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</si>
  <si>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</si>
  <si>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</si>
  <si>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</si>
  <si>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</si>
  <si>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</si>
  <si>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</si>
  <si>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</si>
  <si>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</si>
  <si>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</si>
  <si>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</si>
  <si>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</si>
  <si>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</si>
  <si>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</si>
  <si>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</si>
  <si>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</si>
  <si>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</si>
  <si>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</si>
  <si>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</si>
  <si>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</si>
  <si>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</si>
  <si>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</si>
  <si>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</si>
  <si>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</si>
  <si>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</si>
  <si>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</si>
  <si>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</si>
  <si>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</si>
  <si>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</si>
  <si>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</si>
  <si>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</si>
  <si>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</si>
  <si>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</si>
  <si>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</si>
  <si>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</si>
  <si>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</si>
  <si>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</si>
  <si>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</si>
  <si>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</si>
  <si>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</si>
  <si>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</si>
  <si>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</si>
  <si>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</si>
  <si>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</si>
  <si>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</si>
  <si>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</si>
  <si>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</si>
  <si>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</si>
  <si>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</si>
  <si>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</si>
  <si>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</si>
  <si>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</si>
  <si>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</si>
  <si>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</si>
  <si>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</si>
  <si>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</si>
  <si>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</si>
  <si>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</si>
  <si>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</si>
  <si>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</si>
  <si>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</si>
  <si>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</si>
  <si>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</si>
  <si>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</si>
  <si>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</si>
  <si>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</si>
  <si>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</si>
  <si>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</si>
  <si>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</si>
  <si>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</si>
  <si>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</si>
  <si>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</si>
  <si>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</si>
  <si>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</si>
  <si>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</si>
  <si>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</si>
  <si>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</si>
  <si>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</si>
  <si>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</si>
  <si>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</si>
  <si>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</si>
  <si>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</si>
  <si>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</si>
  <si>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</si>
  <si>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</si>
  <si>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</si>
  <si>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</si>
  <si>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</si>
  <si>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</si>
  <si>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</si>
  <si>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</si>
  <si>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</si>
  <si>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</si>
  <si>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</si>
  <si>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</si>
  <si>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</si>
  <si>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</si>
  <si>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</si>
  <si>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</si>
  <si>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</si>
  <si>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</si>
  <si>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</si>
  <si>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</si>
  <si>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</si>
  <si>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</si>
  <si>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</si>
  <si>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</si>
  <si>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</si>
  <si>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</si>
  <si>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</si>
  <si>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</si>
  <si>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</si>
  <si>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</si>
  <si>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</si>
  <si>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</si>
  <si>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</si>
  <si>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</si>
  <si>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</si>
  <si>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</si>
  <si>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</si>
  <si>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</si>
  <si>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</si>
  <si>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</si>
  <si>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</si>
  <si>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</si>
  <si>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</si>
  <si>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</si>
  <si>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</si>
  <si>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</si>
  <si>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</si>
  <si>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</si>
  <si>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</si>
  <si>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</si>
  <si>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</si>
  <si>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</si>
  <si>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</si>
  <si>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</si>
  <si>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</si>
  <si>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</si>
  <si>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</si>
  <si>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</si>
  <si>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</si>
  <si>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</si>
  <si>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</si>
  <si>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</si>
  <si>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</si>
  <si>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</si>
  <si>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</si>
  <si>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</si>
  <si>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</si>
  <si>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</si>
  <si>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</si>
  <si>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</si>
  <si>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</si>
  <si>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</si>
  <si>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</si>
  <si>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</si>
  <si>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</si>
  <si>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</si>
  <si>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</si>
  <si>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</si>
  <si>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</si>
  <si>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</si>
  <si>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</si>
  <si>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</si>
  <si>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</si>
  <si>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</si>
  <si>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</si>
  <si>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</si>
  <si>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</si>
  <si>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</si>
  <si>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</si>
  <si>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</si>
  <si>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</si>
  <si>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</si>
  <si>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</si>
  <si>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</si>
  <si>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</si>
  <si>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</si>
  <si>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</si>
  <si>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</si>
  <si>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</si>
  <si>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</si>
  <si>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</si>
  <si>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</si>
  <si>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</si>
  <si>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</si>
  <si>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</si>
  <si>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</si>
  <si>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</si>
  <si>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</si>
  <si>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</si>
  <si>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</si>
  <si>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</si>
  <si>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</si>
  <si>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</si>
  <si>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</si>
  <si>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</si>
  <si>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</si>
  <si>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</si>
  <si>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</si>
  <si>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</si>
  <si>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</si>
  <si>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</si>
  <si>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</si>
  <si>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</si>
  <si>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</si>
  <si>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</si>
  <si>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</si>
  <si>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</si>
  <si>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</si>
  <si>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</si>
  <si>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</si>
  <si>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</si>
  <si>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</si>
  <si>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</si>
  <si>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</si>
  <si>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</si>
  <si>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</si>
  <si>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</si>
  <si>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</si>
  <si>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</si>
  <si>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</si>
  <si>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</si>
  <si>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</si>
  <si>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</si>
  <si>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</si>
  <si>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</si>
  <si>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</si>
  <si>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</si>
  <si>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</si>
  <si>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</si>
  <si>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</si>
  <si>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</si>
  <si>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</si>
  <si>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</si>
  <si>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</si>
  <si>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</si>
  <si>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</si>
  <si>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</si>
  <si>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</si>
  <si>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</si>
  <si>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</si>
  <si>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</si>
  <si>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</si>
  <si>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</si>
  <si>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</si>
  <si>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</si>
  <si>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</si>
  <si>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</si>
  <si>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</si>
  <si>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</si>
  <si>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</si>
  <si>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</si>
  <si>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</si>
  <si>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</si>
  <si>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</si>
  <si>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</si>
  <si>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</si>
  <si>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</si>
  <si>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</si>
  <si>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</si>
  <si>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</si>
  <si>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</si>
  <si>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</si>
  <si>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</si>
  <si>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</si>
  <si>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</si>
  <si>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</si>
  <si>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</si>
  <si>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</si>
  <si>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</si>
  <si>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</si>
  <si>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</si>
  <si>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</si>
  <si>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</si>
  <si>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</si>
  <si>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</si>
  <si>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</si>
  <si>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</si>
  <si>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</si>
  <si>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</si>
  <si>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</si>
  <si>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</si>
  <si>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</si>
  <si>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</si>
  <si>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</si>
  <si>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</si>
  <si>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</si>
  <si>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</si>
  <si>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</si>
  <si>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</si>
  <si>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</si>
  <si>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</si>
  <si>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</si>
  <si>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</si>
  <si>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</si>
  <si>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</si>
  <si>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</si>
  <si>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</si>
  <si>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</si>
  <si>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</si>
  <si>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</si>
  <si>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</si>
  <si>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</si>
  <si>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</si>
  <si>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</si>
  <si>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</si>
  <si>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</si>
  <si>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</si>
  <si>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</si>
  <si>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</si>
  <si>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</si>
  <si>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</si>
  <si>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</si>
  <si>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</si>
  <si>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</si>
  <si>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</si>
  <si>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</si>
  <si>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</si>
  <si>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</si>
  <si>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</si>
  <si>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</si>
  <si>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</si>
  <si>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</si>
  <si>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</si>
  <si>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</si>
  <si>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</si>
  <si>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</si>
  <si>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</si>
  <si>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</si>
  <si>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</si>
  <si>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</si>
  <si>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</si>
  <si>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</si>
  <si>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</si>
  <si>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</si>
  <si>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</si>
  <si>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</si>
  <si>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</si>
  <si>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</si>
  <si>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</si>
  <si>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</si>
  <si>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</si>
  <si>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</si>
  <si>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</si>
  <si>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</si>
  <si>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</si>
  <si>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</si>
  <si>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</si>
  <si>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</si>
  <si>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</si>
  <si>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</si>
  <si>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</si>
  <si>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</si>
  <si>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</si>
  <si>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</si>
  <si>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</si>
  <si>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</si>
  <si>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</si>
  <si>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</si>
  <si>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</si>
  <si>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</si>
  <si>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</si>
  <si>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</si>
  <si>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</si>
  <si>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</si>
  <si>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</si>
  <si>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</si>
  <si>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</si>
  <si>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</si>
  <si>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</si>
  <si>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</si>
  <si>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</si>
  <si>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</si>
  <si>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</si>
  <si>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</si>
  <si>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</si>
  <si>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</si>
  <si>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</si>
  <si>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</si>
  <si>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</si>
  <si>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</si>
  <si>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</si>
  <si>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</si>
  <si>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</si>
  <si>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</si>
  <si>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</si>
  <si>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</si>
  <si>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</si>
  <si>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</si>
  <si>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</si>
  <si>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</si>
  <si>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</si>
  <si>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</si>
  <si>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</si>
  <si>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</si>
  <si>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</si>
  <si>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</si>
  <si>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</si>
  <si>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</si>
  <si>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</si>
  <si>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</si>
  <si>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</si>
  <si>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</si>
  <si>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</si>
  <si>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</si>
  <si>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</si>
  <si>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</si>
  <si>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</si>
  <si>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</si>
  <si>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</si>
  <si>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</si>
  <si>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</si>
  <si>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</si>
  <si>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</si>
  <si>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</si>
  <si>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</si>
  <si>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</si>
  <si>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</si>
  <si>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</si>
  <si>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</si>
  <si>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</si>
  <si>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</si>
  <si>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</si>
  <si>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</si>
  <si>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</si>
  <si>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</si>
  <si>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</si>
  <si>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</si>
  <si>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</si>
  <si>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</si>
  <si>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</si>
  <si>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</si>
  <si>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</si>
  <si>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</si>
  <si>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</si>
  <si>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</si>
  <si>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</si>
  <si>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</si>
  <si>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</si>
  <si>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</si>
  <si>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</si>
  <si>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</si>
  <si>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</si>
  <si>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</si>
  <si>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</si>
  <si>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</si>
  <si>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</si>
  <si>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</si>
  <si>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</si>
  <si>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</si>
  <si>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</si>
  <si>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</si>
  <si>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</si>
  <si>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</si>
  <si>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</si>
  <si>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</si>
  <si>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</si>
  <si>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</si>
  <si>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</si>
  <si>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</si>
  <si>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</si>
  <si>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</si>
  <si>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</si>
  <si>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</si>
  <si>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</si>
  <si>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</si>
  <si>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</si>
  <si>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</si>
  <si>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</si>
  <si>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</si>
  <si>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</si>
  <si>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</si>
  <si>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</si>
  <si>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</si>
  <si>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</si>
  <si>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</si>
  <si>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</si>
  <si>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</si>
  <si>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</si>
  <si>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</si>
  <si>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</si>
  <si>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</si>
  <si>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</si>
  <si>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</si>
  <si>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</si>
  <si>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</si>
  <si>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</si>
  <si>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</si>
  <si>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</si>
  <si>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</si>
  <si>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</si>
  <si>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</si>
  <si>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</si>
  <si>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</si>
  <si>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</si>
  <si>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</si>
  <si>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</si>
  <si>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</si>
  <si>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</si>
  <si>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</si>
  <si>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</si>
  <si>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</si>
  <si>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</si>
  <si>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</si>
  <si>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</si>
  <si>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</si>
  <si>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</si>
  <si>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</si>
  <si>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</si>
  <si>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</si>
  <si>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</si>
  <si>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</si>
  <si>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</si>
  <si>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</si>
  <si>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</si>
  <si>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</si>
  <si>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</si>
  <si>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</si>
  <si>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</si>
  <si>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</si>
  <si>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</si>
  <si>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</si>
  <si>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</si>
  <si>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</si>
  <si>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</si>
  <si>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</si>
  <si>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</si>
  <si>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</si>
  <si>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</si>
  <si>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</si>
  <si>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</si>
  <si>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</si>
  <si>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</si>
  <si>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</si>
  <si>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</si>
  <si>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</si>
  <si>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</si>
  <si>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</si>
  <si>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</si>
  <si>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</si>
  <si>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</si>
  <si>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</si>
  <si>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</si>
  <si>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</si>
  <si>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</si>
  <si>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</si>
  <si>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</si>
  <si>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</si>
  <si>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</si>
  <si>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</si>
  <si>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</si>
  <si>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</si>
  <si>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</si>
  <si>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</si>
  <si>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</si>
  <si>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</si>
  <si>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</si>
  <si>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</si>
  <si>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</si>
  <si>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</si>
  <si>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</si>
  <si>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</si>
  <si>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</si>
  <si>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</si>
  <si>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</si>
  <si>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</si>
  <si>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</si>
  <si>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</si>
  <si>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</si>
  <si>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</si>
  <si>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</si>
  <si>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</si>
  <si>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</si>
  <si>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</si>
  <si>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</si>
  <si>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</si>
  <si>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</si>
  <si>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</si>
  <si>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</si>
  <si>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</si>
  <si>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</si>
  <si>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</si>
  <si>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</si>
  <si>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</si>
  <si>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</si>
  <si>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</si>
  <si>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</si>
  <si>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</si>
  <si>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</si>
  <si>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</si>
  <si>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</si>
  <si>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</si>
  <si>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</si>
  <si>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</si>
  <si>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</si>
  <si>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</si>
  <si>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</si>
  <si>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</si>
  <si>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</si>
  <si>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</si>
  <si>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</si>
  <si>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</si>
  <si>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</si>
  <si>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</si>
  <si>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</si>
  <si>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</si>
  <si>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</si>
  <si>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</si>
  <si>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</si>
  <si>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</si>
  <si>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</si>
  <si>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</si>
  <si>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</si>
  <si>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</si>
  <si>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</si>
  <si>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</si>
  <si>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</si>
  <si>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</si>
  <si>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</si>
  <si>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</si>
  <si>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</si>
  <si>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</si>
  <si>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</si>
  <si>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</si>
  <si>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</si>
  <si>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</si>
  <si>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</si>
  <si>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</si>
  <si>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</si>
  <si>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</si>
  <si>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</si>
  <si>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</si>
  <si>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</si>
  <si>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</si>
  <si>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</si>
  <si>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</si>
  <si>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</si>
  <si>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</si>
  <si>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</si>
  <si>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</si>
  <si>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</si>
  <si>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</si>
  <si>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</si>
  <si>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</si>
  <si>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</si>
  <si>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</si>
  <si>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</si>
  <si>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</si>
  <si>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</si>
  <si>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</si>
  <si>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</si>
  <si>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</si>
  <si>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</si>
  <si>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</si>
  <si>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</si>
  <si>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</si>
  <si>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</si>
  <si>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</si>
  <si>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</si>
  <si>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</si>
  <si>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</si>
  <si>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</si>
  <si>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</si>
  <si>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</si>
  <si>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</si>
  <si>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</si>
  <si>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</si>
  <si>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</si>
  <si>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</si>
  <si>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</si>
  <si>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</si>
  <si>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</si>
  <si>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</si>
  <si>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</si>
  <si>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</si>
  <si>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</si>
  <si>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</si>
  <si>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</si>
  <si>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</si>
  <si>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</si>
  <si>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</si>
  <si>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</si>
  <si>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</si>
  <si>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</si>
  <si>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</si>
  <si>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</si>
  <si>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</si>
  <si>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</si>
  <si>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</si>
  <si>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</si>
  <si>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</si>
  <si>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</si>
  <si>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</si>
  <si>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</si>
  <si>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</si>
  <si>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</si>
  <si>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</si>
  <si>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</si>
  <si>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</si>
  <si>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</si>
  <si>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</si>
  <si>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</si>
  <si>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</si>
  <si>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</si>
  <si>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</si>
  <si>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</si>
  <si>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</si>
  <si>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</si>
  <si>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</si>
  <si>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</si>
  <si>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</si>
  <si>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</si>
  <si>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</si>
  <si>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</si>
  <si>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</si>
  <si>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通路</t>
  </si>
  <si>
    <t>通电</t>
  </si>
  <si>
    <t>通讯</t>
  </si>
  <si>
    <t>通上水</t>
  </si>
  <si>
    <t>通下水</t>
  </si>
  <si>
    <t>是</t>
  </si>
  <si>
    <t>钢</t>
  </si>
  <si>
    <t>容积率修正</t>
  </si>
  <si>
    <t>地价指数</t>
  </si>
  <si>
    <t>非生产用房</t>
  </si>
  <si>
    <t>工程进度</t>
  </si>
  <si>
    <t>联排</t>
  </si>
  <si>
    <t>洋房</t>
  </si>
  <si>
    <t>配套</t>
  </si>
  <si>
    <t>设备</t>
  </si>
  <si>
    <t>地上小计</t>
  </si>
  <si>
    <t>车库</t>
  </si>
  <si>
    <t>地下小计</t>
  </si>
  <si>
    <t>地上</t>
  </si>
  <si>
    <t>住宅</t>
  </si>
  <si>
    <t>地下</t>
  </si>
  <si>
    <t>洋房</t>
    <phoneticPr fontId="7" type="noConversion"/>
  </si>
  <si>
    <t>联排</t>
    <phoneticPr fontId="7" type="noConversion"/>
  </si>
  <si>
    <t>车库</t>
    <phoneticPr fontId="7" type="noConversion"/>
  </si>
  <si>
    <t>地块名称</t>
  </si>
  <si>
    <t>城市</t>
  </si>
  <si>
    <t>用地性质</t>
  </si>
  <si>
    <t>出让方式</t>
  </si>
  <si>
    <t>建设用地面积(㎡)</t>
  </si>
  <si>
    <t>规划建筑面积(㎡)</t>
  </si>
  <si>
    <t>容积率</t>
  </si>
  <si>
    <t>成交日期</t>
  </si>
  <si>
    <t>受让单位</t>
  </si>
  <si>
    <t>起始价(万元)</t>
  </si>
  <si>
    <t>成交价(万元)</t>
  </si>
  <si>
    <t>成交楼面价(元/㎡)</t>
  </si>
  <si>
    <t>溢价率</t>
  </si>
  <si>
    <t>土地星级</t>
  </si>
  <si>
    <t>北京市密云区溪翁庄MY02-0201-6001地块(原圆明三园C地块)R2二类居住用地</t>
  </si>
  <si>
    <t>北京市</t>
  </si>
  <si>
    <t>住宅用地</t>
  </si>
  <si>
    <t>挂牌</t>
  </si>
  <si>
    <t>2019-02-01</t>
  </si>
  <si>
    <t>曲水鹏盛天创业投资管理有限公司</t>
  </si>
  <si>
    <t>1星</t>
  </si>
  <si>
    <t>北京市密云区李各庄路0602、0603地块二类居住及基础教育用地</t>
  </si>
  <si>
    <t>综合用地(含住宅)</t>
  </si>
  <si>
    <t>2019-01-17</t>
  </si>
  <si>
    <t>北京隽成房地产开发有限公司</t>
  </si>
  <si>
    <t>3星</t>
  </si>
  <si>
    <t>北京市密云区密云新城0102街区MY00-0102-6014地块R2二类居住用地</t>
  </si>
  <si>
    <t>2018-11-26</t>
  </si>
  <si>
    <t>北京檀营鑫房地产开发有限公司</t>
  </si>
  <si>
    <t>北京市密云区檀营乡MY00-0103-6002地块R2二类居住用地</t>
  </si>
  <si>
    <t>2018-01-04</t>
  </si>
  <si>
    <t>北京京投置地房地产有限公司</t>
  </si>
  <si>
    <t>密云区密云新城0102街区MY00-0102-6002地块(原上好家园)</t>
  </si>
  <si>
    <t>2017-05-03</t>
  </si>
  <si>
    <t>北京顺碧投资有限公司</t>
  </si>
  <si>
    <t>密云区檀营乡MY00-0103-0402、MY00-0103-0502等地块</t>
  </si>
  <si>
    <t>2017-03-28</t>
  </si>
  <si>
    <t>北京宝驰通置业有限公司</t>
  </si>
  <si>
    <t>密云区长安新村和南菜园新村旧城改建棚户区改造项目</t>
  </si>
  <si>
    <t>招标</t>
  </si>
  <si>
    <t>2017-01-13</t>
  </si>
  <si>
    <t>北京绿州博园投资有限公司</t>
  </si>
  <si>
    <t>密云县密云镇密云新城0102街区MY00-0102-6021、6022、6023、6024地块</t>
  </si>
  <si>
    <t>2015-11-18</t>
  </si>
  <si>
    <t>北京中瑞凯华投资管理有限公司</t>
  </si>
  <si>
    <t>密云县十里堡镇双井村北侧MY00-0204-L002、6006、L001地块</t>
  </si>
  <si>
    <t>2015-05-05</t>
  </si>
  <si>
    <t>北京通润博园房地产开发有限公司</t>
  </si>
  <si>
    <t>密云县水源路南侧土地储备项目A-2地块F2公建混合住宅用地、F3其它类多功能用地、R53托幼用地项目(配建“自住型商品住房”)</t>
  </si>
  <si>
    <t>2013-11-21</t>
  </si>
  <si>
    <t>绿地控股集团有限公司</t>
  </si>
  <si>
    <t>密云县新城0202街区0901、0902、0903地块二类居住、文化娱乐、社会停车场用地项目(配建限价商品住房)</t>
  </si>
  <si>
    <t>2013-02-28</t>
  </si>
  <si>
    <t>北京市华远置业有限公司</t>
  </si>
  <si>
    <t>密云县溪翁庄镇京密引水渠调节池东侧A-01、B-01地块二类居住、休疗养用地项目</t>
  </si>
  <si>
    <t>2013-02-04</t>
  </si>
  <si>
    <t>中投发展有限责任公司</t>
  </si>
  <si>
    <t>密云县溪翁庄镇京密引水渠调节池东侧A-02、B-02、B-03、B-04地块二类居住、旅游业、托幼用地项目</t>
  </si>
  <si>
    <t>2013-02-01</t>
  </si>
  <si>
    <t>密云县水源路南侧土地储备项目A-1地块二类居住、商业金融用地项目</t>
  </si>
  <si>
    <t>2012-11-29</t>
  </si>
  <si>
    <t>北京华润曙光房地产开发有限公司</t>
  </si>
  <si>
    <t>北京市密云县观光塔住宅小区0702、1001地块二类居住用地项目</t>
  </si>
  <si>
    <t>2011-12-14</t>
  </si>
  <si>
    <t>北京城建兴云房地产有限公司</t>
  </si>
  <si>
    <t>北京市怀柔区怀柔新城07街区(杨宋镇凤翔一园10号)HR00-0007-6006地块R2二类居住用地</t>
  </si>
  <si>
    <t>≤2.2</t>
  </si>
  <si>
    <t>2019-09-23</t>
  </si>
  <si>
    <t>北京怀胜城市建设开发有限公司和北京怀胜青春广场置业有限公司联合体</t>
  </si>
  <si>
    <t>2星</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</si>
  <si>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</si>
  <si>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</si>
  <si>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</si>
  <si>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</si>
  <si>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4星</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</si>
  <si>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</si>
  <si>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</si>
  <si>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</si>
  <si>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</si>
  <si>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</si>
  <si>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</si>
  <si>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</si>
  <si>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2018-01-18</t>
  </si>
  <si>
    <t>北京京粮置业有限公司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</si>
  <si>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</si>
  <si>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</si>
  <si>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</si>
  <si>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</si>
  <si>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</si>
  <si>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</si>
  <si>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</si>
  <si>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</si>
  <si>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</si>
  <si>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</si>
  <si>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</si>
  <si>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</si>
  <si>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</si>
  <si>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</si>
  <si>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</si>
  <si>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</si>
  <si>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</si>
  <si>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</si>
  <si>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</si>
  <si>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</si>
  <si>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</si>
  <si>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</si>
  <si>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</si>
  <si>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2010-08-18</t>
  </si>
  <si>
    <t>北京万通地产股份有限公司</t>
  </si>
  <si>
    <t>怀柔区杨宋镇居住及商业金融(影人酒店及住宅)项目</t>
  </si>
  <si>
    <t>2009-07-10</t>
  </si>
  <si>
    <t>北京亿来置业有限公司</t>
  </si>
  <si>
    <t>R2</t>
  </si>
  <si>
    <t>R2</t>
    <phoneticPr fontId="31" type="noConversion"/>
  </si>
  <si>
    <t>F2</t>
  </si>
  <si>
    <t>F2</t>
    <phoneticPr fontId="31" type="noConversion"/>
  </si>
  <si>
    <t>出让</t>
  </si>
  <si>
    <t>Ⅺ-密1</t>
  </si>
  <si>
    <t>一般</t>
  </si>
  <si>
    <t>较差</t>
  </si>
  <si>
    <t>七通</t>
  </si>
  <si>
    <t>限价</t>
    <phoneticPr fontId="31" type="noConversion"/>
  </si>
  <si>
    <t>不限价</t>
    <phoneticPr fontId="31" type="noConversion"/>
  </si>
  <si>
    <t>自住型商品房</t>
    <phoneticPr fontId="31" type="noConversion"/>
  </si>
  <si>
    <t>无</t>
    <phoneticPr fontId="31" type="noConversion"/>
  </si>
  <si>
    <t>不限价</t>
    <phoneticPr fontId="31" type="noConversion"/>
  </si>
  <si>
    <t>土地比较法-住宅、综合</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</si>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</sst>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xf numFmtId="0" fontId="56" fillId="0" borderId="0" xfId="17"/>
    <xf numFmtId="0" fontId="120" fillId="0" borderId="0" xfId="17" applyFont="1"/>
    <xf numFmtId="0" fontId="101" fillId="0" borderId="0" xfId="0" applyFont="1">
      <alignment vertical="center"/>
    </xf>
    <xf numFmtId="0" fontId="101" fillId="0" borderId="0" xfId="0" applyFont="1" applyAlignment="1"/>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出让国有建设用地使用权及在建建筑物预评估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受贵公司委托，我公司对出让国有建设用地使用权及在建建筑物房地产抵押价值进行了预评估。</v>
      </c>
    </row>
    <row r="7" spans="1:2" s="1592" customFormat="1">
      <c r="A7" s="1590" t="s">
        <v>1260</v>
      </c>
      <c r="B7" s="1591" t="str">
        <f>'预评函-1'!A7</f>
        <v>估价对象为出让国有建设用地使用权及在建建筑物房地产，为所有。根据《国有土地使用证》[]，估价对象（分摊）出让国有建设用地使用权面积为130728.99平方米，建筑面积为288059.01平方米。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出让国有建设用地使用权及在建建筑物房地产,属开发建设的，该项目尚在开发建设中。根据《国有土地使用证》[]，估价对象（分摊）出让国有建设用地使用权面积为130728.99平方米，规划建筑面积为288059.01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2019年10月21日</v>
      </c>
    </row>
    <row r="13" spans="1:2" s="1592" customFormat="1">
      <c r="A13" s="1590" t="s">
        <v>1223</v>
      </c>
      <c r="B13" s="1591" t="str">
        <f>'预评函-1'!A18</f>
        <v>本次估价的“房地产价值”是指在正常市场情况下，在价值时点2019年10月21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本次评估采用的主估价方法为比较法和假设开发法。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201006</v>
      </c>
    </row>
    <row r="21" spans="1:2" s="1592" customFormat="1">
      <c r="A21" s="1590" t="s">
        <v>1231</v>
      </c>
      <c r="B21" s="1591">
        <f ca="1">'预评函-2'!D7</f>
        <v>6978</v>
      </c>
    </row>
    <row r="22" spans="1:2" s="1592" customFormat="1">
      <c r="A22" s="1590" t="s">
        <v>1232</v>
      </c>
      <c r="B22" s="1591" t="str">
        <f ca="1">'预评函-2'!D6</f>
        <v>贰拾亿壹仟零陆万元整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201006</v>
      </c>
    </row>
    <row r="31" spans="1:2" s="1592" customFormat="1">
      <c r="A31" s="1590" t="s">
        <v>1270</v>
      </c>
      <c r="B31" s="1591">
        <f ca="1">'预评函-2'!D15</f>
        <v>6978</v>
      </c>
    </row>
    <row r="32" spans="1:2" s="1592" customFormat="1">
      <c r="A32" s="1590" t="s">
        <v>1237</v>
      </c>
      <c r="B32" s="1591" t="str">
        <f ca="1">'预评函-2'!D14</f>
        <v>贰拾亿壹仟零陆万元整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出让国有建设用地使用权及在建建筑物房地产</v>
      </c>
    </row>
    <row r="42" spans="1:2" s="1592" customFormat="1">
      <c r="A42" s="1590" t="s">
        <v>1284</v>
      </c>
      <c r="B42" s="1591" t="str">
        <f>'预评函-3'!B2</f>
        <v>建筑面积</v>
      </c>
    </row>
    <row r="43" spans="1:2" s="1592" customFormat="1">
      <c r="A43" s="1590" t="s">
        <v>1285</v>
      </c>
      <c r="B43" s="1591">
        <f>'预评函-3'!B4</f>
        <v>288059.01</v>
      </c>
    </row>
    <row r="44" spans="1:2" s="1592" customFormat="1">
      <c r="A44" s="1590" t="s">
        <v>1269</v>
      </c>
      <c r="B44" s="1591" t="str">
        <f>'预评函-3'!C2</f>
        <v>(分摊)土地面积</v>
      </c>
    </row>
    <row r="45" spans="1:2" s="1592" customFormat="1">
      <c r="A45" s="1590" t="s">
        <v>1241</v>
      </c>
      <c r="B45" s="1591">
        <f>'预评函-3'!C4</f>
        <v>130728.99</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2999"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0" t="s">
        <v>861</v>
      </c>
      <c r="C54" s="2017" t="s">
        <v>1277</v>
      </c>
    </row>
    <row r="55" spans="1:4">
      <c r="A55" s="2999"/>
      <c r="B55" s="2020" t="s">
        <v>862</v>
      </c>
      <c r="C55" s="2017" t="s">
        <v>1278</v>
      </c>
    </row>
    <row r="56" spans="1:4">
      <c r="A56" s="2999"/>
      <c r="B56" s="2020" t="s">
        <v>863</v>
      </c>
      <c r="C56" s="2017" t="s">
        <v>1282</v>
      </c>
    </row>
    <row r="57" spans="1:4">
      <c r="A57" s="2999"/>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K38" sqref="K38"/>
    </sheetView>
  </sheetViews>
  <sheetFormatPr defaultColWidth="10" defaultRowHeight="18" customHeight="1"/>
  <cols>
    <col min="1" max="1" width="14.875" style="2030" customWidth="1"/>
    <col min="2" max="2" width="14.25" style="2030" customWidth="1"/>
    <col min="3" max="3" width="11.5" style="2030" customWidth="1"/>
    <col min="4" max="4" width="18.75" style="2030" customWidth="1"/>
    <col min="5"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1771</v>
      </c>
      <c r="B1" s="3000" t="str">
        <f>IF(B10="北京市","北京市",C10)&amp;F10&amp;IF(结果表!G1="在建","出让国有建设用地使用权及在建建筑物",IF(结果表!G1="土地","出让国有建设用地使用权",))&amp;B9&amp;"预评估"</f>
        <v>出让国有建设用地使用权及在建建筑物预评估</v>
      </c>
      <c r="C1" s="3001"/>
      <c r="D1" s="3001"/>
      <c r="E1" s="3001"/>
      <c r="F1" s="3001"/>
      <c r="G1" s="3001"/>
      <c r="H1" s="3001"/>
      <c r="I1" s="300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1773</v>
      </c>
      <c r="B3" s="2034"/>
      <c r="C3" s="2035" t="s">
        <v>1774</v>
      </c>
      <c r="D3" s="2034">
        <v>43759</v>
      </c>
      <c r="E3" s="2024"/>
      <c r="F3" s="2024"/>
      <c r="G3" s="2024"/>
      <c r="H3" s="2024"/>
      <c r="I3" s="2024"/>
      <c r="J3" s="2024"/>
      <c r="K3" s="2025"/>
      <c r="L3" s="2026"/>
      <c r="M3" s="2026"/>
      <c r="N3" s="2027"/>
      <c r="O3" s="2028"/>
      <c r="P3" s="2027"/>
      <c r="Q3" s="2027"/>
      <c r="R3" s="2027"/>
      <c r="S3" s="2029"/>
    </row>
    <row r="4" spans="1:19" ht="18" customHeight="1" thickBot="1">
      <c r="A4" s="2036" t="s">
        <v>1775</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1776</v>
      </c>
      <c r="B5" s="2954"/>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1778</v>
      </c>
      <c r="B7" s="2050"/>
      <c r="C7" s="2047"/>
      <c r="D7" s="2048"/>
      <c r="E7" s="2032"/>
      <c r="F7" s="2040"/>
      <c r="G7" s="2040"/>
      <c r="H7" s="2040"/>
      <c r="I7" s="2040"/>
      <c r="J7" s="2040"/>
      <c r="K7" s="2051"/>
      <c r="L7" s="2026"/>
      <c r="M7" s="2026"/>
      <c r="N7" s="2027"/>
      <c r="O7" s="2028"/>
      <c r="P7" s="2027"/>
      <c r="Q7" s="2027"/>
      <c r="R7" s="2027"/>
    </row>
    <row r="8" spans="1:19" ht="18" customHeight="1">
      <c r="A8" s="2045" t="s">
        <v>1779</v>
      </c>
      <c r="B8" s="2052"/>
      <c r="C8" s="2053"/>
      <c r="D8" s="3003" t="s">
        <v>1780</v>
      </c>
      <c r="E8" s="2054"/>
      <c r="F8" s="2055"/>
      <c r="G8" s="2024"/>
      <c r="H8" s="2024"/>
      <c r="I8" s="2024"/>
      <c r="J8" s="2040"/>
      <c r="K8" s="2041"/>
      <c r="L8" s="2026"/>
      <c r="M8" s="2026"/>
      <c r="N8" s="2027"/>
      <c r="O8" s="2028"/>
      <c r="P8" s="2027"/>
      <c r="Q8" s="2027"/>
      <c r="R8" s="2027"/>
    </row>
    <row r="9" spans="1:19" ht="18" customHeight="1" thickBot="1">
      <c r="A9" s="2038" t="s">
        <v>1781</v>
      </c>
      <c r="B9" s="2056"/>
      <c r="C9" s="2057"/>
      <c r="D9" s="3004"/>
      <c r="E9" s="2056"/>
      <c r="F9" s="2058"/>
      <c r="G9" s="2059"/>
      <c r="H9" s="2059"/>
      <c r="I9" s="2059"/>
      <c r="J9" s="2040"/>
      <c r="K9" s="2051"/>
      <c r="L9" s="2026"/>
      <c r="M9" s="2026"/>
      <c r="N9" s="2027"/>
      <c r="O9" s="2028"/>
      <c r="P9" s="2027"/>
      <c r="Q9" s="2027"/>
      <c r="R9" s="2027"/>
    </row>
    <row r="10" spans="1:19" ht="18" customHeight="1" thickTop="1">
      <c r="A10" s="2060" t="s">
        <v>1782</v>
      </c>
      <c r="B10" s="2061"/>
      <c r="C10" s="2062"/>
      <c r="D10" s="2044"/>
      <c r="E10" s="2063" t="s">
        <v>1783</v>
      </c>
      <c r="F10" s="2064"/>
      <c r="G10" s="2065"/>
      <c r="H10" s="2066"/>
      <c r="I10" s="2044"/>
      <c r="J10" s="2040"/>
      <c r="K10" s="2051"/>
      <c r="L10" s="2026"/>
      <c r="M10" s="2026"/>
      <c r="N10" s="2027"/>
      <c r="O10" s="2028"/>
      <c r="P10" s="2027"/>
      <c r="Q10" s="2027"/>
      <c r="R10" s="2027"/>
    </row>
    <row r="11" spans="1:19" ht="18" customHeight="1">
      <c r="A11" s="2067" t="s">
        <v>1784</v>
      </c>
      <c r="B11" s="2068"/>
      <c r="C11" s="2069"/>
      <c r="D11" s="2070"/>
      <c r="E11" s="2040"/>
      <c r="F11" s="2040"/>
      <c r="G11" s="2040"/>
      <c r="H11" s="2040"/>
      <c r="I11" s="2040"/>
      <c r="J11" s="2040"/>
      <c r="K11" s="2051"/>
      <c r="L11" s="2026"/>
      <c r="M11" s="2026"/>
      <c r="N11" s="2027"/>
      <c r="O11" s="2028"/>
      <c r="P11" s="2027"/>
      <c r="Q11" s="2027"/>
      <c r="R11" s="2027"/>
    </row>
    <row r="12" spans="1:19" ht="18" customHeight="1">
      <c r="A12" s="2071" t="s">
        <v>1785</v>
      </c>
      <c r="B12" s="2068" t="s">
        <v>3194</v>
      </c>
      <c r="C12" s="2072" t="s">
        <v>1786</v>
      </c>
      <c r="D12" s="2073" t="s">
        <v>1787</v>
      </c>
      <c r="E12" s="2073" t="s">
        <v>1788</v>
      </c>
      <c r="F12" s="2073" t="s">
        <v>1789</v>
      </c>
      <c r="G12" s="2073" t="s">
        <v>1790</v>
      </c>
      <c r="H12" s="2073" t="s">
        <v>1791</v>
      </c>
      <c r="I12" s="2073" t="s">
        <v>1792</v>
      </c>
      <c r="J12" s="2040"/>
      <c r="K12" s="2051"/>
      <c r="L12" s="2026"/>
      <c r="M12" s="2026"/>
      <c r="N12" s="2027"/>
      <c r="O12" s="2028"/>
      <c r="P12" s="2027"/>
      <c r="Q12" s="2027"/>
      <c r="R12" s="2027"/>
    </row>
    <row r="13" spans="1:19" ht="18" customHeight="1">
      <c r="A13" s="2074"/>
      <c r="B13" s="2075"/>
      <c r="C13" s="2076" t="s">
        <v>1793</v>
      </c>
      <c r="D13" s="2077">
        <v>69161</v>
      </c>
      <c r="E13" s="2077">
        <v>58203</v>
      </c>
      <c r="F13" s="2077">
        <v>61856</v>
      </c>
      <c r="G13" s="2077">
        <f>F13</f>
        <v>61856</v>
      </c>
      <c r="H13" s="2077"/>
      <c r="I13" s="1047"/>
      <c r="J13" s="2040"/>
      <c r="K13" s="2051"/>
      <c r="L13" s="2026"/>
      <c r="M13" s="2026"/>
      <c r="N13" s="2027"/>
      <c r="O13" s="2028"/>
      <c r="P13" s="2027"/>
      <c r="Q13" s="2027"/>
      <c r="R13" s="2027"/>
    </row>
    <row r="14" spans="1:19" ht="18" customHeight="1">
      <c r="A14" s="2074"/>
      <c r="B14" s="2075"/>
      <c r="C14" s="2076" t="s">
        <v>1794</v>
      </c>
      <c r="D14" s="1050">
        <v>70</v>
      </c>
      <c r="E14" s="1050">
        <v>40</v>
      </c>
      <c r="F14" s="1050">
        <v>50</v>
      </c>
      <c r="G14" s="1050">
        <v>50</v>
      </c>
      <c r="H14" s="1050"/>
      <c r="I14" s="1050"/>
      <c r="J14" s="2040"/>
      <c r="K14" s="2078"/>
      <c r="L14" s="2026"/>
      <c r="M14" s="2026"/>
      <c r="N14" s="2027"/>
      <c r="O14" s="2028"/>
      <c r="P14" s="2027"/>
      <c r="Q14" s="2027"/>
      <c r="R14" s="2027"/>
    </row>
    <row r="15" spans="1:19" ht="18" customHeight="1">
      <c r="A15" s="2060"/>
      <c r="B15" s="2079"/>
      <c r="C15" s="2076" t="s">
        <v>1795</v>
      </c>
      <c r="D15" s="1049">
        <f>IF(B12="出让",IF(D13="","",ROUNDDOWN(MIN((D13-$D$3)/365,D14),2)),D14)</f>
        <v>69.59</v>
      </c>
      <c r="E15" s="1049">
        <f>IF(B12="出让",IF(E13="","",ROUNDDOWN(MIN((E13-$D$3)/365,E14),2)),E14)</f>
        <v>39.57</v>
      </c>
      <c r="F15" s="1049">
        <f>IF(B12="出让",IF(F13="","",ROUNDDOWN(MIN((F13-$D$3)/365,F14),2)),F14)</f>
        <v>49.58</v>
      </c>
      <c r="G15" s="1049">
        <f>IF(B12="出让",IF(G13="","",ROUNDDOWN(MIN((G13-$D$3)/365,G14),2)),G14)</f>
        <v>49.58</v>
      </c>
      <c r="H15" s="1049" t="str">
        <f>IF(B12="出让",IF(H13="","",ROUNDDOWN(MIN((H13-$D$3)/365,H14),2)),H14)</f>
        <v/>
      </c>
      <c r="I15" s="1049" t="str">
        <f>IF(B12="出让",IF(I13="","",ROUNDDOWN(MIN((I13-$D$3)/365,I14),2)),I14)</f>
        <v/>
      </c>
      <c r="J15" s="2040"/>
      <c r="K15" s="2080"/>
      <c r="L15" s="2081"/>
      <c r="M15" s="2081"/>
      <c r="N15" s="2082"/>
      <c r="O15" s="2081"/>
      <c r="P15" s="2082"/>
      <c r="Q15" s="2027"/>
      <c r="R15" s="2027"/>
    </row>
    <row r="16" spans="1:19" ht="30.75" customHeight="1">
      <c r="A16" s="2063" t="s">
        <v>1796</v>
      </c>
      <c r="B16" s="3010"/>
      <c r="C16" s="3011"/>
      <c r="D16" s="3012"/>
      <c r="E16" s="2083" t="s">
        <v>1797</v>
      </c>
      <c r="F16" s="3013"/>
      <c r="G16" s="3014"/>
      <c r="H16" s="3014"/>
      <c r="I16" s="3015"/>
      <c r="J16" s="2027"/>
      <c r="K16" s="2080"/>
      <c r="L16" s="2081"/>
      <c r="M16" s="2081"/>
      <c r="N16" s="2082"/>
      <c r="O16" s="2081"/>
      <c r="P16" s="2082"/>
      <c r="Q16" s="2027"/>
      <c r="R16" s="2027"/>
    </row>
    <row r="17" spans="1:22" ht="18" customHeight="1">
      <c r="A17" s="2084" t="s">
        <v>1798</v>
      </c>
      <c r="B17" s="2033" t="s">
        <v>1799</v>
      </c>
      <c r="C17" s="1054">
        <f>'数据-汇总表'!E3</f>
        <v>288059.01</v>
      </c>
      <c r="D17" s="2085" t="s">
        <v>1800</v>
      </c>
      <c r="E17" s="3016" t="s">
        <v>1801</v>
      </c>
      <c r="F17" s="3017"/>
      <c r="G17" s="3017"/>
      <c r="H17" s="3017"/>
      <c r="I17" s="3018"/>
      <c r="J17" s="2027"/>
      <c r="K17" s="2086"/>
      <c r="L17" s="2081"/>
      <c r="M17" s="2081"/>
      <c r="N17" s="2082"/>
      <c r="O17" s="2081"/>
      <c r="P17" s="2082"/>
      <c r="Q17" s="2027"/>
      <c r="R17" s="2027"/>
      <c r="S17" s="2027"/>
      <c r="T17" s="2027"/>
      <c r="U17" s="2027"/>
      <c r="V17" s="2027"/>
    </row>
    <row r="18" spans="1:22" ht="36" customHeight="1" thickBot="1">
      <c r="A18" s="2087" t="s">
        <v>1802</v>
      </c>
      <c r="B18" s="2036" t="s">
        <v>1803</v>
      </c>
      <c r="C18" s="1444">
        <f>'数据-汇总表'!D3</f>
        <v>130728.99</v>
      </c>
      <c r="D18" s="2088" t="s">
        <v>1800</v>
      </c>
      <c r="E18" s="3019" t="s">
        <v>1804</v>
      </c>
      <c r="F18" s="3020"/>
      <c r="G18" s="3020"/>
      <c r="H18" s="3020"/>
      <c r="I18" s="3021"/>
      <c r="J18" s="2027"/>
      <c r="K18" s="2086"/>
      <c r="L18" s="2081"/>
      <c r="M18" s="2081"/>
      <c r="N18" s="2082"/>
      <c r="O18" s="2081"/>
      <c r="P18" s="2082"/>
      <c r="Q18" s="2027"/>
      <c r="R18" s="2027"/>
      <c r="S18" s="2027"/>
      <c r="T18" s="2027"/>
      <c r="U18" s="2027"/>
      <c r="V18" s="2027"/>
    </row>
    <row r="19" spans="1:22" ht="37.5" customHeight="1" thickTop="1" thickBot="1">
      <c r="A19" s="373" t="s">
        <v>1805</v>
      </c>
      <c r="B19" s="352" t="s">
        <v>1806</v>
      </c>
      <c r="C19" s="2089"/>
      <c r="D19" s="2090" t="s">
        <v>1807</v>
      </c>
      <c r="E19" s="2091"/>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1808</v>
      </c>
      <c r="B20" s="3006" t="s">
        <v>1809</v>
      </c>
      <c r="C20" s="3007"/>
      <c r="D20" s="3008" t="s">
        <v>1810</v>
      </c>
      <c r="E20" s="3009"/>
      <c r="F20" s="2095" t="s">
        <v>1811</v>
      </c>
      <c r="G20" s="2040"/>
      <c r="H20" s="2040"/>
      <c r="I20" s="2040"/>
      <c r="J20" s="2040"/>
      <c r="K20" s="300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1813</v>
      </c>
      <c r="C21" s="2097" t="s">
        <v>1814</v>
      </c>
      <c r="D21" s="2098" t="s">
        <v>1815</v>
      </c>
      <c r="E21" s="2099" t="s">
        <v>1814</v>
      </c>
      <c r="F21" s="2100"/>
      <c r="G21" s="2040"/>
      <c r="H21" s="2040"/>
      <c r="I21" s="2040"/>
      <c r="J21" s="2040"/>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1816</v>
      </c>
      <c r="C22" s="2097" t="s">
        <v>1817</v>
      </c>
      <c r="D22" s="2024"/>
      <c r="E22" s="2024"/>
      <c r="F22" s="2102"/>
      <c r="G22" s="2040"/>
      <c r="H22" s="2040"/>
      <c r="I22" s="2040"/>
      <c r="J22" s="2040"/>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3" t="s">
        <v>1819</v>
      </c>
      <c r="C23" s="2104"/>
      <c r="D23" s="2105" t="s">
        <v>1819</v>
      </c>
      <c r="E23" s="2106"/>
      <c r="F23" s="2102"/>
      <c r="G23" s="2040"/>
      <c r="H23" s="2040"/>
      <c r="I23" s="2040"/>
      <c r="J23" s="2040"/>
      <c r="K23" s="2107"/>
      <c r="L23" s="748"/>
      <c r="M23" s="2026"/>
      <c r="N23" s="2082"/>
      <c r="O23" s="2081"/>
      <c r="P23" s="2082"/>
      <c r="Q23" s="2027"/>
      <c r="R23" s="2027"/>
      <c r="S23" s="2027"/>
      <c r="T23" s="2027"/>
      <c r="U23" s="2027"/>
      <c r="V23" s="2027"/>
    </row>
    <row r="24" spans="1:22" ht="18" customHeight="1">
      <c r="A24" s="2108"/>
      <c r="B24" s="183" t="s">
        <v>1820</v>
      </c>
      <c r="C24" s="2109"/>
      <c r="D24" s="2103" t="s">
        <v>1820</v>
      </c>
      <c r="E24" s="2110"/>
      <c r="F24" s="2102"/>
      <c r="G24" s="2040"/>
      <c r="H24" s="2040"/>
      <c r="I24" s="2040"/>
      <c r="J24" s="2040"/>
      <c r="K24" s="2107"/>
      <c r="L24" s="748"/>
      <c r="M24" s="2026"/>
      <c r="N24" s="2082"/>
      <c r="O24" s="2081"/>
      <c r="P24" s="2082"/>
      <c r="Q24" s="2027"/>
      <c r="R24" s="2027"/>
      <c r="S24" s="2027"/>
      <c r="T24" s="2027"/>
      <c r="U24" s="2027"/>
      <c r="V24" s="2027"/>
    </row>
    <row r="25" spans="1:22" ht="18" customHeight="1">
      <c r="A25" s="2108"/>
      <c r="B25" s="183" t="s">
        <v>1821</v>
      </c>
      <c r="C25" s="2109"/>
      <c r="D25" s="2103" t="s">
        <v>1821</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23" t="s">
        <v>1824</v>
      </c>
      <c r="B27" s="2060" t="s">
        <v>1825</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23"/>
      <c r="B28" s="2033" t="s">
        <v>1826</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23"/>
      <c r="B29" s="2033" t="s">
        <v>1827</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24"/>
      <c r="B30" s="2033" t="s">
        <v>1828</v>
      </c>
      <c r="C30" s="3025"/>
      <c r="D30" s="3026"/>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27" t="s">
        <v>1829</v>
      </c>
      <c r="B31" s="2124"/>
      <c r="C31" s="2125" t="str">
        <f>IF(B31="现房","成新及维护状况正常否",IF(B31="在建","工程状态是否正常",IF(B31="土地","是否闲置","-")))</f>
        <v>-</v>
      </c>
      <c r="D31" s="2126"/>
      <c r="E31" s="2127"/>
      <c r="F31" s="2040"/>
      <c r="G31" s="2040"/>
      <c r="H31" s="2040"/>
      <c r="I31" s="2040"/>
      <c r="J31" s="2040"/>
      <c r="K31" s="2049"/>
      <c r="L31" s="2026"/>
      <c r="M31" s="2026"/>
      <c r="N31" s="2027"/>
      <c r="O31" s="2028"/>
      <c r="P31" s="2027"/>
      <c r="Q31" s="2027"/>
      <c r="R31" s="2027"/>
      <c r="S31" s="2027"/>
      <c r="T31" s="2027"/>
      <c r="U31" s="2027"/>
      <c r="V31" s="2027"/>
    </row>
    <row r="32" spans="1:22" ht="18" customHeight="1">
      <c r="A32" s="3028"/>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28"/>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1" t="s">
        <v>3054</v>
      </c>
      <c r="C34" s="2131" t="s">
        <v>3055</v>
      </c>
      <c r="D34" s="2131" t="s">
        <v>3056</v>
      </c>
      <c r="E34" s="2131" t="s">
        <v>3057</v>
      </c>
      <c r="F34" s="2131" t="s">
        <v>3058</v>
      </c>
      <c r="G34" s="2131"/>
      <c r="H34" s="2131"/>
      <c r="I34" s="2040"/>
      <c r="J34" s="2040"/>
      <c r="K34" s="1794">
        <f>COUNTIF(B34:H34,"——")</f>
        <v>0</v>
      </c>
      <c r="L34" s="2072" t="s">
        <v>1831</v>
      </c>
      <c r="M34" s="2072" t="s">
        <v>1832</v>
      </c>
      <c r="N34" s="2072" t="s">
        <v>1833</v>
      </c>
      <c r="O34" s="2072" t="s">
        <v>1834</v>
      </c>
      <c r="P34" s="2072" t="s">
        <v>1835</v>
      </c>
      <c r="Q34" s="2072" t="s">
        <v>1836</v>
      </c>
      <c r="R34" s="2072" t="s">
        <v>1837</v>
      </c>
      <c r="S34" s="3022" t="s">
        <v>1838</v>
      </c>
      <c r="T34" s="2132" t="str">
        <f>NUMBERSTRING(7-K34,1)&amp;"通"</f>
        <v>七通</v>
      </c>
      <c r="U34" s="2027"/>
      <c r="V34" s="2027"/>
    </row>
    <row r="35" spans="1:22" ht="18" customHeight="1">
      <c r="A35" s="2133"/>
      <c r="B35" s="3029" t="s">
        <v>1839</v>
      </c>
      <c r="C35" s="3029"/>
      <c r="D35" s="3029"/>
      <c r="E35" s="3029"/>
      <c r="F35" s="2134">
        <f>C10</f>
        <v>0</v>
      </c>
      <c r="G35" s="2040"/>
      <c r="H35" s="2040"/>
      <c r="I35" s="2040"/>
      <c r="J35" s="2040"/>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2"/>
      <c r="T35" s="48" t="str">
        <f>IF(T34="一通",L35,IF(T34="二通",M35,IF(T34="三通",N35,IF(T34="四通",O35,IF(T34="五通",P35,IF(T34="六通",Q35,R35))))))</f>
        <v>通路、通电、通讯、通上水、通下水、、</v>
      </c>
      <c r="U35" s="2027"/>
      <c r="V35" s="2027"/>
    </row>
    <row r="36" spans="1:22" ht="18" customHeight="1">
      <c r="A36" s="2135"/>
      <c r="B36" s="2134" t="s">
        <v>1840</v>
      </c>
      <c r="C36" s="2134" t="s">
        <v>1841</v>
      </c>
      <c r="D36" s="2134" t="s">
        <v>1842</v>
      </c>
      <c r="E36" s="2134" t="s">
        <v>1843</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1844</v>
      </c>
      <c r="B37" s="2138" t="s">
        <v>814</v>
      </c>
      <c r="C37" s="2138" t="s">
        <v>814</v>
      </c>
      <c r="D37" s="2138" t="s">
        <v>814</v>
      </c>
      <c r="E37" s="2138"/>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1845</v>
      </c>
      <c r="B38" s="2140" t="s">
        <v>3195</v>
      </c>
      <c r="C38" s="2140" t="s">
        <v>3195</v>
      </c>
      <c r="D38" s="2140" t="s">
        <v>3195</v>
      </c>
      <c r="E38" s="2140"/>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6"/>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4" t="s">
        <v>1849</v>
      </c>
      <c r="C42" s="1794" t="s">
        <v>1850</v>
      </c>
      <c r="D42" s="1794" t="s">
        <v>1851</v>
      </c>
      <c r="E42" s="1794" t="s">
        <v>1852</v>
      </c>
      <c r="F42" s="1794" t="s">
        <v>1853</v>
      </c>
      <c r="G42" s="1794" t="s">
        <v>1854</v>
      </c>
      <c r="H42" s="1794" t="s">
        <v>1855</v>
      </c>
      <c r="I42" s="1794" t="s">
        <v>1856</v>
      </c>
      <c r="J42" s="2150" t="s">
        <v>1857</v>
      </c>
      <c r="K42" s="2073" t="s">
        <v>1858</v>
      </c>
      <c r="L42" s="2073" t="s">
        <v>1859</v>
      </c>
      <c r="M42" s="2073" t="s">
        <v>1860</v>
      </c>
      <c r="N42" s="1794" t="s">
        <v>1861</v>
      </c>
      <c r="O42" s="1794" t="s">
        <v>1862</v>
      </c>
      <c r="P42" s="1794" t="s">
        <v>1863</v>
      </c>
      <c r="Q42" s="2072" t="s">
        <v>1864</v>
      </c>
      <c r="R42" s="2072" t="s">
        <v>1865</v>
      </c>
      <c r="S42" s="2027"/>
      <c r="T42" s="2027"/>
      <c r="U42" s="2027"/>
      <c r="V42" s="2027"/>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0"/>
  <sheetViews>
    <sheetView workbookViewId="0">
      <selection activeCell="H21" sqref="H21"/>
    </sheetView>
  </sheetViews>
  <sheetFormatPr defaultRowHeight="13.5"/>
  <cols>
    <col min="2" max="2" width="19.25" customWidth="1"/>
  </cols>
  <sheetData>
    <row r="1" spans="1:2">
      <c r="A1" s="3285" t="s">
        <v>3065</v>
      </c>
      <c r="B1" s="3285">
        <v>53912.01999999999</v>
      </c>
    </row>
    <row r="2" spans="1:2">
      <c r="A2" s="3285" t="s">
        <v>3066</v>
      </c>
      <c r="B2" s="3285">
        <v>96410.129999999976</v>
      </c>
    </row>
    <row r="3" spans="1:2">
      <c r="A3" s="3285" t="s">
        <v>3067</v>
      </c>
      <c r="B3" s="3285">
        <v>2558.5299999999997</v>
      </c>
    </row>
    <row r="4" spans="1:2">
      <c r="A4" s="3285" t="s">
        <v>3068</v>
      </c>
      <c r="B4" s="3285">
        <v>72.319999999999993</v>
      </c>
    </row>
    <row r="5" spans="1:2">
      <c r="A5" s="3285" t="s">
        <v>3069</v>
      </c>
      <c r="B5" s="3285">
        <f>SUM(B1:B4)</f>
        <v>152952.99999999997</v>
      </c>
    </row>
    <row r="6" spans="1:2">
      <c r="A6" s="3285" t="s">
        <v>3070</v>
      </c>
      <c r="B6" s="3285">
        <v>74924.460000000006</v>
      </c>
    </row>
    <row r="7" spans="1:2">
      <c r="A7" s="3285" t="s">
        <v>3067</v>
      </c>
      <c r="B7" s="3285">
        <v>4545.34</v>
      </c>
    </row>
    <row r="8" spans="1:2">
      <c r="A8" s="3285" t="s">
        <v>3068</v>
      </c>
      <c r="B8" s="3285">
        <v>55636.209999999992</v>
      </c>
    </row>
    <row r="9" spans="1:2">
      <c r="A9" s="3285" t="s">
        <v>3071</v>
      </c>
      <c r="B9" s="3285">
        <f>SUM(B6:B8)</f>
        <v>135106.01</v>
      </c>
    </row>
    <row r="10" spans="1:2">
      <c r="A10" s="3285" t="s">
        <v>37</v>
      </c>
      <c r="B10" s="3285">
        <f>B5+B9</f>
        <v>288059.01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1871</v>
      </c>
      <c r="AZ2" s="1270"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130728.99</v>
      </c>
      <c r="B3" s="14">
        <f>IF(C3="否",G5-AT5,G5)</f>
        <v>288059.01</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2"/>
      <c r="C5" s="1802"/>
      <c r="D5" s="1805"/>
      <c r="E5" s="16" t="s">
        <v>1</v>
      </c>
      <c r="F5" s="16">
        <f>SUM(F13:F587)</f>
        <v>0</v>
      </c>
      <c r="G5" s="16">
        <f>SUM(G13:G587)</f>
        <v>288059.01</v>
      </c>
      <c r="H5" s="16">
        <f t="shared" ref="H5:AT5" si="0">SUM(H13:H656)</f>
        <v>225246.61</v>
      </c>
      <c r="I5" s="16">
        <f t="shared" si="0"/>
        <v>96410.129999999976</v>
      </c>
      <c r="J5" s="16">
        <f t="shared" si="0"/>
        <v>0</v>
      </c>
      <c r="K5" s="16">
        <f t="shared" si="0"/>
        <v>53912.01999999999</v>
      </c>
      <c r="L5" s="16">
        <f t="shared" si="0"/>
        <v>0</v>
      </c>
      <c r="M5" s="16">
        <f t="shared" si="0"/>
        <v>74924.460000000006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62812.399999999994</v>
      </c>
      <c r="AD5" s="16">
        <f t="shared" si="0"/>
        <v>2558.5299999999997</v>
      </c>
      <c r="AE5" s="16">
        <f t="shared" si="0"/>
        <v>0</v>
      </c>
      <c r="AF5" s="16">
        <f t="shared" si="0"/>
        <v>4545.34</v>
      </c>
      <c r="AG5" s="16">
        <f t="shared" si="0"/>
        <v>0</v>
      </c>
      <c r="AH5" s="16">
        <f t="shared" si="0"/>
        <v>0</v>
      </c>
      <c r="AI5" s="16">
        <f t="shared" si="0"/>
        <v>0</v>
      </c>
      <c r="AJ5" s="16">
        <f t="shared" si="0"/>
        <v>0</v>
      </c>
      <c r="AK5" s="16">
        <f t="shared" si="0"/>
        <v>0</v>
      </c>
      <c r="AL5" s="16">
        <f t="shared" si="0"/>
        <v>72.319999999999993</v>
      </c>
      <c r="AM5" s="16">
        <f t="shared" si="0"/>
        <v>0</v>
      </c>
      <c r="AN5" s="16">
        <f t="shared" si="0"/>
        <v>55636.209999999992</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288059.01</v>
      </c>
      <c r="BA5" s="18">
        <f t="shared" si="1"/>
        <v>225246.61</v>
      </c>
      <c r="BB5" s="18">
        <f t="shared" si="1"/>
        <v>96410.129999999976</v>
      </c>
      <c r="BC5" s="18">
        <f t="shared" si="1"/>
        <v>53912.01999999999</v>
      </c>
      <c r="BD5" s="18">
        <f t="shared" si="1"/>
        <v>74924.460000000006</v>
      </c>
      <c r="BE5" s="18">
        <f t="shared" si="1"/>
        <v>0</v>
      </c>
      <c r="BF5" s="18">
        <f t="shared" si="1"/>
        <v>0</v>
      </c>
      <c r="BG5" s="18">
        <f t="shared" si="1"/>
        <v>0</v>
      </c>
      <c r="BH5" s="18">
        <f t="shared" si="1"/>
        <v>0</v>
      </c>
      <c r="BI5" s="18">
        <f t="shared" si="1"/>
        <v>0</v>
      </c>
      <c r="BJ5" s="18">
        <f t="shared" si="1"/>
        <v>0</v>
      </c>
      <c r="BK5" s="18">
        <f t="shared" si="1"/>
        <v>0</v>
      </c>
      <c r="BL5" s="18">
        <f t="shared" si="1"/>
        <v>62812.399999999994</v>
      </c>
      <c r="BM5" s="18">
        <f t="shared" si="1"/>
        <v>2558.5299999999997</v>
      </c>
      <c r="BN5" s="18">
        <f t="shared" si="1"/>
        <v>4545.34</v>
      </c>
      <c r="BO5" s="18">
        <f t="shared" si="1"/>
        <v>0</v>
      </c>
      <c r="BP5" s="18">
        <f t="shared" si="1"/>
        <v>0</v>
      </c>
      <c r="BQ5" s="18">
        <f t="shared" si="1"/>
        <v>72.319999999999993</v>
      </c>
      <c r="BR5" s="18">
        <f t="shared" si="1"/>
        <v>55636.209999999992</v>
      </c>
      <c r="BS5" s="18">
        <f t="shared" si="1"/>
        <v>0</v>
      </c>
      <c r="BT5" s="19">
        <f t="shared" si="1"/>
        <v>0</v>
      </c>
    </row>
    <row r="6" spans="1:72" s="2175" customFormat="1" ht="12.75">
      <c r="A6" s="15" t="s">
        <v>1876</v>
      </c>
      <c r="B6" s="2172"/>
      <c r="C6" s="2172"/>
      <c r="D6" s="2173"/>
      <c r="E6" s="16">
        <f>H6+AC6+AT6</f>
        <v>130728.99</v>
      </c>
      <c r="F6" s="16" t="s">
        <v>1</v>
      </c>
      <c r="G6" s="16" t="s">
        <v>2</v>
      </c>
      <c r="H6" s="20">
        <f>SUMIF(I$12:AB$12,"总值",I6:AB6)</f>
        <v>102223.02</v>
      </c>
      <c r="I6" s="16">
        <f t="shared" ref="I6:AB6" si="2">ROUND($A$3*I5/$B$3,2)</f>
        <v>43753.53</v>
      </c>
      <c r="J6" s="16">
        <f t="shared" si="2"/>
        <v>0</v>
      </c>
      <c r="K6" s="16">
        <f t="shared" si="2"/>
        <v>24466.74</v>
      </c>
      <c r="L6" s="16">
        <f t="shared" si="2"/>
        <v>0</v>
      </c>
      <c r="M6" s="16">
        <f t="shared" si="2"/>
        <v>34002.75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28505.97</v>
      </c>
      <c r="AD6" s="16">
        <f t="shared" ref="AD6:AS6" si="3">ROUND($A$3*AD5/$B$3,2)</f>
        <v>1161.1300000000001</v>
      </c>
      <c r="AE6" s="16">
        <f t="shared" si="3"/>
        <v>0</v>
      </c>
      <c r="AF6" s="16">
        <f t="shared" si="3"/>
        <v>2062.8000000000002</v>
      </c>
      <c r="AG6" s="16">
        <f t="shared" si="3"/>
        <v>0</v>
      </c>
      <c r="AH6" s="16">
        <f t="shared" si="3"/>
        <v>0</v>
      </c>
      <c r="AI6" s="16">
        <f t="shared" si="3"/>
        <v>0</v>
      </c>
      <c r="AJ6" s="16">
        <f t="shared" si="3"/>
        <v>0</v>
      </c>
      <c r="AK6" s="16">
        <f t="shared" si="3"/>
        <v>0</v>
      </c>
      <c r="AL6" s="16">
        <f t="shared" si="3"/>
        <v>32.82</v>
      </c>
      <c r="AM6" s="16">
        <f t="shared" si="3"/>
        <v>0</v>
      </c>
      <c r="AN6" s="16">
        <f t="shared" si="3"/>
        <v>25249.22</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130728.99</v>
      </c>
      <c r="AZ6" s="16" t="s">
        <v>3</v>
      </c>
      <c r="BA6" s="16">
        <f>ROUND($AY$6*BA5/$AZ$5,2)</f>
        <v>102223.02</v>
      </c>
      <c r="BB6" s="16">
        <f>ROUND($AY$6*BB5/$AZ$5,2)</f>
        <v>43753.53</v>
      </c>
      <c r="BC6" s="16">
        <f t="shared" ref="BC6:BH6" si="4">ROUND($AY$6*BC5/$AZ$5,2)</f>
        <v>24466.74</v>
      </c>
      <c r="BD6" s="16">
        <f t="shared" si="4"/>
        <v>34002.75</v>
      </c>
      <c r="BE6" s="16">
        <f t="shared" si="4"/>
        <v>0</v>
      </c>
      <c r="BF6" s="16">
        <f t="shared" si="4"/>
        <v>0</v>
      </c>
      <c r="BG6" s="16">
        <f t="shared" si="4"/>
        <v>0</v>
      </c>
      <c r="BH6" s="16">
        <f t="shared" si="4"/>
        <v>0</v>
      </c>
      <c r="BI6" s="16">
        <f t="shared" ref="BI6:BT6" si="5">ROUND($AY$6*BI5/$AZ$5,2)</f>
        <v>0</v>
      </c>
      <c r="BJ6" s="16">
        <f t="shared" si="5"/>
        <v>0</v>
      </c>
      <c r="BK6" s="16">
        <f t="shared" si="5"/>
        <v>0</v>
      </c>
      <c r="BL6" s="16">
        <f t="shared" si="5"/>
        <v>28505.97</v>
      </c>
      <c r="BM6" s="16">
        <f t="shared" si="5"/>
        <v>1161.1300000000001</v>
      </c>
      <c r="BN6" s="16">
        <f t="shared" si="5"/>
        <v>2062.8000000000002</v>
      </c>
      <c r="BO6" s="16">
        <f t="shared" si="5"/>
        <v>0</v>
      </c>
      <c r="BP6" s="16">
        <f t="shared" si="5"/>
        <v>0</v>
      </c>
      <c r="BQ6" s="16">
        <f t="shared" si="5"/>
        <v>32.82</v>
      </c>
      <c r="BR6" s="16">
        <f t="shared" si="5"/>
        <v>25249.22</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1884</v>
      </c>
      <c r="AV7" s="23" t="s">
        <v>1885</v>
      </c>
      <c r="AW7" s="2164" t="s">
        <v>1886</v>
      </c>
      <c r="AX7" s="23" t="s">
        <v>1879</v>
      </c>
      <c r="AY7" s="1802"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7"/>
      <c r="K8" s="1817"/>
      <c r="L8" s="1817"/>
      <c r="M8" s="1817"/>
      <c r="N8" s="1817"/>
      <c r="O8" s="1817"/>
      <c r="P8" s="1817"/>
      <c r="Q8" s="1817"/>
      <c r="R8" s="1817"/>
      <c r="S8" s="1817"/>
      <c r="T8" s="1817"/>
      <c r="U8" s="1817"/>
      <c r="V8" s="2184"/>
      <c r="W8" s="1817"/>
      <c r="X8" s="1817"/>
      <c r="Y8" s="1817"/>
      <c r="Z8" s="1817"/>
      <c r="AA8" s="2184"/>
      <c r="AB8" s="2185"/>
      <c r="AC8" s="981" t="s">
        <v>1890</v>
      </c>
      <c r="AD8" s="2186"/>
      <c r="AE8" s="2178"/>
      <c r="AF8" s="1817"/>
      <c r="AG8" s="1817"/>
      <c r="AH8" s="1817"/>
      <c r="AI8" s="1817"/>
      <c r="AJ8" s="1817"/>
      <c r="AK8" s="1817"/>
      <c r="AL8" s="1817"/>
      <c r="AM8" s="1817"/>
      <c r="AN8" s="1817"/>
      <c r="AO8" s="1817"/>
      <c r="AP8" s="1817"/>
      <c r="AQ8" s="1817"/>
      <c r="AR8" s="1817"/>
      <c r="AS8" s="1817"/>
      <c r="AT8" s="1292" t="s">
        <v>1891</v>
      </c>
      <c r="AU8" s="2180" t="s">
        <v>1892</v>
      </c>
      <c r="AV8" s="1292"/>
      <c r="AW8" s="2163"/>
      <c r="AX8" s="1292"/>
      <c r="AY8" s="2164"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1895</v>
      </c>
      <c r="I9" s="2189" t="s">
        <v>3072</v>
      </c>
      <c r="J9" s="981"/>
      <c r="K9" s="2189" t="s">
        <v>3072</v>
      </c>
      <c r="L9" s="981"/>
      <c r="M9" s="2189" t="s">
        <v>3074</v>
      </c>
      <c r="N9" s="981"/>
      <c r="O9" s="2189"/>
      <c r="P9" s="981"/>
      <c r="Q9" s="2189"/>
      <c r="R9" s="981"/>
      <c r="S9" s="2189"/>
      <c r="T9" s="981"/>
      <c r="U9" s="2189"/>
      <c r="V9" s="981"/>
      <c r="W9" s="2189"/>
      <c r="X9" s="2190"/>
      <c r="Y9" s="2189"/>
      <c r="Z9" s="981"/>
      <c r="AA9" s="2189"/>
      <c r="AB9" s="981"/>
      <c r="AC9" s="2181"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1"/>
      <c r="AT9" s="2180"/>
      <c r="AU9" s="2180" t="s">
        <v>1898</v>
      </c>
      <c r="AV9" s="1292"/>
      <c r="AW9" s="2163"/>
      <c r="AX9" s="1292"/>
      <c r="AY9" s="28"/>
      <c r="AZ9" s="28" t="s">
        <v>1888</v>
      </c>
      <c r="BA9" s="2192" t="s">
        <v>1899</v>
      </c>
      <c r="BB9" s="2193"/>
      <c r="BC9" s="1338"/>
      <c r="BD9" s="1338"/>
      <c r="BE9" s="1338"/>
      <c r="BF9" s="1338"/>
      <c r="BG9" s="1338"/>
      <c r="BH9" s="1338"/>
      <c r="BI9" s="1338"/>
      <c r="BJ9" s="1338"/>
      <c r="BK9" s="2194"/>
      <c r="BL9" s="15" t="s">
        <v>1900</v>
      </c>
      <c r="BM9" s="1817"/>
      <c r="BN9" s="2183"/>
      <c r="BO9" s="1817"/>
      <c r="BP9" s="1817"/>
      <c r="BQ9" s="1817"/>
      <c r="BR9" s="1817"/>
      <c r="BS9" s="1817"/>
      <c r="BT9" s="26"/>
    </row>
    <row r="10" spans="1:72" s="2187" customFormat="1" ht="12.75">
      <c r="A10" s="2180"/>
      <c r="B10" s="2180"/>
      <c r="C10" s="2180"/>
      <c r="D10" s="2180"/>
      <c r="E10" s="2180"/>
      <c r="F10" s="2180"/>
      <c r="G10" s="1292"/>
      <c r="H10" s="28"/>
      <c r="I10" s="2189" t="s">
        <v>3073</v>
      </c>
      <c r="J10" s="981"/>
      <c r="K10" s="2195" t="s">
        <v>3073</v>
      </c>
      <c r="L10" s="981"/>
      <c r="M10" s="2195" t="s">
        <v>3070</v>
      </c>
      <c r="N10" s="981"/>
      <c r="O10" s="2195"/>
      <c r="P10" s="981"/>
      <c r="Q10" s="2195"/>
      <c r="R10" s="981"/>
      <c r="S10" s="2195"/>
      <c r="T10" s="981"/>
      <c r="U10" s="2195"/>
      <c r="V10" s="981"/>
      <c r="W10" s="2195"/>
      <c r="X10" s="981"/>
      <c r="Y10" s="2195"/>
      <c r="Z10" s="981"/>
      <c r="AA10" s="2195"/>
      <c r="AB10" s="981"/>
      <c r="AC10" s="1292"/>
      <c r="AD10" s="15" t="s">
        <v>1901</v>
      </c>
      <c r="AE10" s="2196"/>
      <c r="AF10" s="15" t="s">
        <v>1901</v>
      </c>
      <c r="AG10" s="2196"/>
      <c r="AH10" s="15" t="s">
        <v>1902</v>
      </c>
      <c r="AI10" s="2196"/>
      <c r="AJ10" s="15" t="s">
        <v>1902</v>
      </c>
      <c r="AK10" s="2196"/>
      <c r="AL10" s="15" t="s">
        <v>1903</v>
      </c>
      <c r="AM10" s="1298"/>
      <c r="AN10" s="15" t="s">
        <v>1903</v>
      </c>
      <c r="AO10" s="1298"/>
      <c r="AP10" s="15" t="s">
        <v>1904</v>
      </c>
      <c r="AQ10" s="1298"/>
      <c r="AR10" s="15" t="s">
        <v>1904</v>
      </c>
      <c r="AS10" s="1298"/>
      <c r="AT10" s="2180"/>
      <c r="AU10" s="2180"/>
      <c r="AV10" s="1292"/>
      <c r="AW10" s="2163"/>
      <c r="AX10" s="1292"/>
      <c r="AY10" s="28"/>
      <c r="AZ10" s="28"/>
      <c r="BA10" s="2197" t="s">
        <v>1895</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3066</v>
      </c>
      <c r="J11" s="2201"/>
      <c r="K11" s="2200" t="s">
        <v>3065</v>
      </c>
      <c r="L11" s="2201"/>
      <c r="M11" s="2200" t="s">
        <v>3070</v>
      </c>
      <c r="N11" s="2201"/>
      <c r="O11" s="2200"/>
      <c r="P11" s="2201"/>
      <c r="Q11" s="2200"/>
      <c r="R11" s="2201"/>
      <c r="S11" s="2200"/>
      <c r="T11" s="2201"/>
      <c r="U11" s="2200"/>
      <c r="V11" s="2201"/>
      <c r="W11" s="2200"/>
      <c r="X11" s="2201"/>
      <c r="Y11" s="2200"/>
      <c r="Z11" s="2201"/>
      <c r="AA11" s="2200"/>
      <c r="AB11" s="2201"/>
      <c r="AC11" s="1292"/>
      <c r="AD11" s="2202" t="s">
        <v>1905</v>
      </c>
      <c r="AE11" s="1818"/>
      <c r="AF11" s="2202" t="s">
        <v>1905</v>
      </c>
      <c r="AG11" s="1818"/>
      <c r="AH11" s="2202" t="s">
        <v>1906</v>
      </c>
      <c r="AI11" s="2203"/>
      <c r="AJ11" s="2202" t="s">
        <v>1906</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t="str">
        <f>K10</f>
        <v>住宅</v>
      </c>
      <c r="BD11" s="2185" t="str">
        <f>M10</f>
        <v>车库</v>
      </c>
      <c r="BE11" s="2185">
        <f>O10</f>
        <v>0</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7"/>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洋房</v>
      </c>
      <c r="BC12" s="2210" t="str">
        <f>K11</f>
        <v>联排</v>
      </c>
      <c r="BD12" s="2210" t="str">
        <f>M11</f>
        <v>车库</v>
      </c>
      <c r="BE12" s="2185">
        <f>O11</f>
        <v>0</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3059</v>
      </c>
      <c r="E13" s="16">
        <f>IF($C$3="是",ROUND($A$3*G13/$B$3,2),ROUND($A$3*(G13-AT13)/$B$3,2))</f>
        <v>130728.99</v>
      </c>
      <c r="F13" s="32"/>
      <c r="G13" s="33">
        <f>H13+AC13+AT13</f>
        <v>288059.01</v>
      </c>
      <c r="H13" s="20">
        <f>SUMIF(I$12:AB$12,"总值",I13:AB13)</f>
        <v>225246.61</v>
      </c>
      <c r="I13" s="2212">
        <f>面积表!B2</f>
        <v>96410.129999999976</v>
      </c>
      <c r="J13" s="2212"/>
      <c r="K13" s="2212">
        <f>面积表!B1</f>
        <v>53912.01999999999</v>
      </c>
      <c r="L13" s="2212"/>
      <c r="M13" s="2212">
        <f>面积表!B6</f>
        <v>74924.460000000006</v>
      </c>
      <c r="N13" s="2212"/>
      <c r="O13" s="2212"/>
      <c r="P13" s="2212"/>
      <c r="Q13" s="2212"/>
      <c r="R13" s="2212"/>
      <c r="S13" s="2212"/>
      <c r="T13" s="2212"/>
      <c r="U13" s="2212"/>
      <c r="V13" s="2212"/>
      <c r="W13" s="2212"/>
      <c r="X13" s="2212"/>
      <c r="Y13" s="2212"/>
      <c r="Z13" s="2212"/>
      <c r="AA13" s="2212"/>
      <c r="AB13" s="2212"/>
      <c r="AC13" s="16">
        <f>SUMIF(AD$12:AS$12,"总值",AD13:AS13)</f>
        <v>62812.399999999994</v>
      </c>
      <c r="AD13" s="2213">
        <f>面积表!B3</f>
        <v>2558.5299999999997</v>
      </c>
      <c r="AE13" s="2213"/>
      <c r="AF13" s="2213">
        <f>面积表!B7</f>
        <v>4545.34</v>
      </c>
      <c r="AG13" s="2213"/>
      <c r="AH13" s="2213"/>
      <c r="AI13" s="2213"/>
      <c r="AJ13" s="2213"/>
      <c r="AK13" s="2213"/>
      <c r="AL13" s="2213">
        <f>面积表!B4</f>
        <v>72.319999999999993</v>
      </c>
      <c r="AM13" s="2213"/>
      <c r="AN13" s="2213">
        <f>面积表!B8</f>
        <v>55636.209999999992</v>
      </c>
      <c r="AO13" s="2213"/>
      <c r="AP13" s="2213"/>
      <c r="AQ13" s="2213"/>
      <c r="AR13" s="2213"/>
      <c r="AS13" s="2213"/>
      <c r="AT13" s="2214"/>
      <c r="AU13" s="2215"/>
      <c r="AV13" s="11">
        <f t="shared" ref="AV13:AX17" si="6">A13</f>
        <v>0</v>
      </c>
      <c r="AW13" s="11">
        <f t="shared" si="6"/>
        <v>0</v>
      </c>
      <c r="AX13" s="11">
        <f t="shared" si="6"/>
        <v>0</v>
      </c>
      <c r="AY13" s="1805">
        <f>ROUND($AY$6*AZ13/$AZ$5,2)</f>
        <v>130728.99</v>
      </c>
      <c r="AZ13" s="16">
        <f>BA13+BL13</f>
        <v>288059.01</v>
      </c>
      <c r="BA13" s="16">
        <f>SUM(BB13:BK13)</f>
        <v>225246.61</v>
      </c>
      <c r="BB13" s="16">
        <f>IF($D13="是",I13-J13,0)</f>
        <v>96410.129999999976</v>
      </c>
      <c r="BC13" s="16">
        <f>IF($D13="是",K13-L13,0)</f>
        <v>53912.01999999999</v>
      </c>
      <c r="BD13" s="16">
        <f>IF($D13="是",M13-N13,0)</f>
        <v>74924.460000000006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62812.399999999994</v>
      </c>
      <c r="BM13" s="16">
        <f>IF($D13="是",AD13-AE13,0)</f>
        <v>2558.5299999999997</v>
      </c>
      <c r="BN13" s="16">
        <f>IF($D13="是",AF13-AG13,0)</f>
        <v>4545.34</v>
      </c>
      <c r="BO13" s="16">
        <f>IF($D13="是",AH13-AI13,0)</f>
        <v>0</v>
      </c>
      <c r="BP13" s="16">
        <f>IF($D13="是",AJ13-AK13,0)</f>
        <v>0</v>
      </c>
      <c r="BQ13" s="16">
        <f>IF($D13="是",AL13-AM13,0)</f>
        <v>72.319999999999993</v>
      </c>
      <c r="BR13" s="16">
        <f>IF($D13="是",AN13-AO13,0)</f>
        <v>55636.209999999992</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M37" sqref="M3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2"/>
      <c r="C1" s="1392"/>
      <c r="D1" s="1392"/>
      <c r="E1" s="1392"/>
      <c r="F1" s="1392"/>
      <c r="G1" s="1392"/>
      <c r="H1" s="1392"/>
      <c r="I1" s="1392"/>
      <c r="J1" s="1392"/>
      <c r="K1" s="1392"/>
      <c r="L1" s="1392"/>
      <c r="M1" s="1392"/>
      <c r="N1" s="1392"/>
      <c r="O1" s="1392"/>
      <c r="P1" s="1392"/>
    </row>
    <row r="2" spans="1:16" ht="15">
      <c r="A2" s="3041" t="s">
        <v>1935</v>
      </c>
      <c r="B2" s="3041"/>
      <c r="C2" s="3041"/>
      <c r="D2" s="967" t="s">
        <v>1911</v>
      </c>
      <c r="E2" s="2225" t="s">
        <v>1912</v>
      </c>
      <c r="F2" s="1392"/>
      <c r="G2" s="2226"/>
      <c r="H2" s="2227"/>
      <c r="I2" s="2228" t="s">
        <v>1936</v>
      </c>
      <c r="J2" s="1392"/>
      <c r="K2" s="1392"/>
      <c r="L2" s="1392"/>
      <c r="M2" s="1392"/>
      <c r="N2" s="1427"/>
      <c r="O2" s="1392"/>
      <c r="P2" s="1392"/>
    </row>
    <row r="3" spans="1:16" ht="15.75" thickBot="1">
      <c r="A3" s="3042" t="s">
        <v>1909</v>
      </c>
      <c r="B3" s="3042"/>
      <c r="C3" s="3042"/>
      <c r="D3" s="46">
        <f>'数据-基础表'!AY6</f>
        <v>130728.99</v>
      </c>
      <c r="E3" s="46">
        <f>'数据-基础表'!AZ5</f>
        <v>288059.01</v>
      </c>
      <c r="F3" s="1392"/>
      <c r="G3" s="1399"/>
      <c r="H3" s="1247" t="s">
        <v>1910</v>
      </c>
      <c r="I3" s="55">
        <f>ROUND('数据-基础表'!B3/'数据-基础表'!A3,2)</f>
        <v>2.2000000000000002</v>
      </c>
      <c r="J3" s="1392"/>
      <c r="K3" s="1392"/>
      <c r="L3" s="1392"/>
      <c r="M3" s="1392"/>
      <c r="N3" s="1427"/>
      <c r="O3" s="1392"/>
      <c r="P3" s="1392"/>
    </row>
    <row r="4" spans="1:16" ht="15">
      <c r="A4" s="3043"/>
      <c r="B4" s="3044"/>
      <c r="C4" s="3045"/>
      <c r="D4" s="2229" t="s">
        <v>1911</v>
      </c>
      <c r="E4" s="2230" t="s">
        <v>1912</v>
      </c>
      <c r="F4" s="1392"/>
      <c r="G4" s="2231" t="s">
        <v>1937</v>
      </c>
      <c r="H4" s="1247" t="s">
        <v>1917</v>
      </c>
      <c r="I4" s="55">
        <f>ROUND(SUMIF('数据-基础表'!I9:AS9,"地上",'数据-基础表'!I5:AS5)/'数据-基础表'!A3,2)</f>
        <v>1.17</v>
      </c>
      <c r="J4" s="1392"/>
      <c r="K4" s="1392"/>
      <c r="L4" s="1392"/>
      <c r="M4" s="1392"/>
      <c r="N4" s="1427"/>
      <c r="O4" s="1392"/>
      <c r="P4" s="1392"/>
    </row>
    <row r="5" spans="1:16">
      <c r="A5" s="47" t="s">
        <v>1913</v>
      </c>
      <c r="B5" s="3046" t="s">
        <v>1914</v>
      </c>
      <c r="C5" s="3046"/>
      <c r="D5" s="48">
        <f>ROUND($D$3*E5/$E$3,2)</f>
        <v>68220.27</v>
      </c>
      <c r="E5" s="49">
        <f>SUMIF('数据-基础表'!$11:$11,"住宅",'数据-基础表'!$5:$5)</f>
        <v>150322.14999999997</v>
      </c>
      <c r="F5" s="1392"/>
      <c r="G5" s="1399"/>
      <c r="H5" s="1247" t="s">
        <v>1910</v>
      </c>
      <c r="I5" s="55">
        <f>ROUND(E31/D31,2)</f>
        <v>2.2000000000000002</v>
      </c>
      <c r="J5" s="1392"/>
      <c r="K5" s="1392"/>
      <c r="L5" s="1392"/>
      <c r="M5" s="1392"/>
      <c r="N5" s="1392"/>
      <c r="O5" s="1392"/>
      <c r="P5" s="1392"/>
    </row>
    <row r="6" spans="1:16" ht="15" thickBot="1">
      <c r="A6" s="2232"/>
      <c r="B6" s="3046" t="s">
        <v>1915</v>
      </c>
      <c r="C6" s="3046"/>
      <c r="D6" s="48">
        <f>ROUND($D$3*E6/$E$3,2)</f>
        <v>62508.72</v>
      </c>
      <c r="E6" s="49">
        <f>E3-E5</f>
        <v>137736.86000000004</v>
      </c>
      <c r="F6" s="1392"/>
      <c r="G6" s="2233" t="s">
        <v>1916</v>
      </c>
      <c r="H6" s="1399" t="s">
        <v>1917</v>
      </c>
      <c r="I6" s="939">
        <f>ROUND(F31/D31,2)</f>
        <v>1.17</v>
      </c>
      <c r="J6" s="1392"/>
      <c r="K6" s="1392"/>
      <c r="L6" s="1392"/>
      <c r="M6" s="1392"/>
      <c r="N6" s="1392"/>
      <c r="O6" s="1392"/>
      <c r="P6" s="1392"/>
    </row>
    <row r="7" spans="1:16" ht="15">
      <c r="A7" s="3038"/>
      <c r="B7" s="3039"/>
      <c r="C7" s="3040"/>
      <c r="D7" s="2229" t="s">
        <v>1911</v>
      </c>
      <c r="E7" s="2234" t="s">
        <v>1918</v>
      </c>
      <c r="F7" s="1392"/>
      <c r="G7" s="2226" t="s">
        <v>1919</v>
      </c>
      <c r="H7" s="64"/>
      <c r="I7" s="420"/>
      <c r="J7" s="1392"/>
      <c r="K7" s="1392"/>
      <c r="L7" s="1392"/>
      <c r="M7" s="1392"/>
      <c r="N7" s="1392"/>
      <c r="O7" s="1392"/>
      <c r="P7" s="1392"/>
    </row>
    <row r="8" spans="1:16">
      <c r="A8" s="47" t="s">
        <v>1920</v>
      </c>
      <c r="B8" s="50" t="s">
        <v>1921</v>
      </c>
      <c r="C8" s="48" t="s">
        <v>1922</v>
      </c>
      <c r="D8" s="48">
        <f t="shared" ref="D8:D15" si="0">ROUND($D$3*E8/$E$3,2)</f>
        <v>68220.27</v>
      </c>
      <c r="E8" s="51">
        <f>SUMIF('数据-基础表'!BB10:BK10,"地上",'数据-基础表'!BB5:BK5)</f>
        <v>150322.14999999997</v>
      </c>
      <c r="F8" s="1392"/>
      <c r="G8" s="2235"/>
      <c r="H8" s="2235"/>
      <c r="I8" s="1392"/>
      <c r="J8" s="1392"/>
      <c r="K8" s="1392"/>
      <c r="L8" s="1392"/>
      <c r="M8" s="1392"/>
      <c r="N8" s="1392"/>
      <c r="O8" s="1392"/>
      <c r="P8" s="1392"/>
    </row>
    <row r="9" spans="1:16">
      <c r="A9" s="2236"/>
      <c r="B9" s="2237"/>
      <c r="C9" s="48" t="s">
        <v>1923</v>
      </c>
      <c r="D9" s="48">
        <f t="shared" si="0"/>
        <v>0</v>
      </c>
      <c r="E9" s="52">
        <v>0</v>
      </c>
      <c r="F9" s="1392"/>
      <c r="G9" s="2235"/>
      <c r="H9" s="2235"/>
      <c r="I9" s="1392"/>
      <c r="J9" s="1392"/>
      <c r="K9" s="1392"/>
      <c r="L9" s="1392"/>
      <c r="M9" s="1392"/>
      <c r="N9" s="1392"/>
      <c r="O9" s="1392"/>
      <c r="P9" s="1392"/>
    </row>
    <row r="10" spans="1:16">
      <c r="A10" s="2236"/>
      <c r="B10" s="2237"/>
      <c r="C10" s="48" t="s">
        <v>1932</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1924</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1925</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1926</v>
      </c>
      <c r="D13" s="48">
        <f t="shared" si="0"/>
        <v>34002.75</v>
      </c>
      <c r="E13" s="51">
        <f>SUMPRODUCT(('数据-基础表'!BB10:BK10="地下")*('数据-基础表'!BB11:BK11="车库")*('数据-基础表'!BB5:BK5))</f>
        <v>74924.460000000006</v>
      </c>
      <c r="F13" s="1392"/>
      <c r="G13" s="2235"/>
      <c r="H13" s="2235"/>
      <c r="I13" s="1392"/>
      <c r="J13" s="1392"/>
      <c r="K13" s="1392"/>
      <c r="L13" s="1392"/>
      <c r="M13" s="1392"/>
      <c r="N13" s="1392"/>
      <c r="O13" s="1392"/>
      <c r="P13" s="1392"/>
    </row>
    <row r="14" spans="1:16">
      <c r="A14" s="2236"/>
      <c r="B14" s="2237"/>
      <c r="C14" s="48" t="s">
        <v>1938</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1933</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1927</v>
      </c>
      <c r="D16" s="50">
        <f>SUM(D8:D15)</f>
        <v>102223.02</v>
      </c>
      <c r="E16" s="53">
        <f>SUM(E8:E15)</f>
        <v>225246.61</v>
      </c>
      <c r="F16" s="1392"/>
      <c r="G16" s="2235"/>
      <c r="H16" s="2238" t="s">
        <v>1939</v>
      </c>
      <c r="I16" s="2239"/>
      <c r="J16" s="1392"/>
      <c r="K16" s="3035" t="s">
        <v>1939</v>
      </c>
      <c r="L16" s="3036"/>
      <c r="M16" s="3036"/>
      <c r="N16" s="3036"/>
      <c r="O16" s="3036"/>
      <c r="P16" s="3037"/>
    </row>
    <row r="17" spans="1:19" ht="15">
      <c r="A17" s="2240" t="s">
        <v>1940</v>
      </c>
      <c r="B17" s="2241" t="s">
        <v>1941</v>
      </c>
      <c r="C17" s="2242" t="s">
        <v>1942</v>
      </c>
      <c r="D17" s="2243" t="s">
        <v>1930</v>
      </c>
      <c r="E17" s="2244" t="s">
        <v>1931</v>
      </c>
      <c r="F17" s="2245"/>
      <c r="G17" s="2246"/>
      <c r="H17" s="2247" t="s">
        <v>1943</v>
      </c>
      <c r="I17" s="2248" t="s">
        <v>1928</v>
      </c>
      <c r="J17" s="1392"/>
      <c r="K17" s="3032" t="s">
        <v>1944</v>
      </c>
      <c r="L17" s="3033"/>
      <c r="M17" s="3034"/>
      <c r="N17" s="3032" t="s">
        <v>1945</v>
      </c>
      <c r="O17" s="3033"/>
      <c r="P17" s="3034"/>
      <c r="R17" s="2226" t="s">
        <v>1946</v>
      </c>
      <c r="S17" s="64"/>
    </row>
    <row r="18" spans="1:19" ht="15">
      <c r="A18" s="2236"/>
      <c r="B18" s="2249"/>
      <c r="C18" s="2250"/>
      <c r="D18" s="2251"/>
      <c r="E18" s="2252" t="s">
        <v>1947</v>
      </c>
      <c r="F18" s="2253" t="s">
        <v>1948</v>
      </c>
      <c r="G18" s="2254" t="s">
        <v>1949</v>
      </c>
      <c r="H18" s="1262" t="s">
        <v>1950</v>
      </c>
      <c r="I18" s="2255" t="s">
        <v>1951</v>
      </c>
      <c r="J18" s="1392"/>
      <c r="K18" s="1262" t="s">
        <v>1952</v>
      </c>
      <c r="L18" s="2256" t="s">
        <v>1953</v>
      </c>
      <c r="M18" s="1046" t="s">
        <v>1954</v>
      </c>
      <c r="N18" s="1262" t="s">
        <v>1952</v>
      </c>
      <c r="O18" s="2256" t="s">
        <v>1953</v>
      </c>
      <c r="P18" s="1046" t="s">
        <v>1954</v>
      </c>
      <c r="R18" s="1247" t="s">
        <v>1955</v>
      </c>
      <c r="S18" s="1247" t="s">
        <v>1956</v>
      </c>
    </row>
    <row r="19" spans="1:19">
      <c r="A19" s="2257"/>
      <c r="B19" s="50" t="s">
        <v>1929</v>
      </c>
      <c r="C19" s="2955" t="s">
        <v>3075</v>
      </c>
      <c r="D19" s="48">
        <f>ROUND($D$3*E19/$E$3,2)</f>
        <v>43753.53</v>
      </c>
      <c r="E19" s="56">
        <f t="shared" ref="E19:E26" si="1">SUM(F19:G19)</f>
        <v>96410.129999999976</v>
      </c>
      <c r="F19" s="57">
        <f>'数据-基础表'!I13</f>
        <v>96410.129999999976</v>
      </c>
      <c r="G19" s="58"/>
      <c r="H19" s="723">
        <f>ROUND($D$3*I19/$E$3,2)</f>
        <v>10821.23</v>
      </c>
      <c r="I19" s="51">
        <f t="shared" ref="I19:I26" si="2">IF($I$17="自定义",P19,M19)</f>
        <v>23844.38</v>
      </c>
      <c r="J19" s="1392"/>
      <c r="K19" s="1391">
        <f t="shared" ref="K19:K26" si="3">ROUND(E$28*E19/E$27,2)</f>
        <v>23844.38</v>
      </c>
      <c r="L19" s="1247">
        <f t="shared" ref="L19:L26" si="4">ROUND(IF(COUNTIF(C19,"*住宅*")&gt;0,E$29*E19/E$32,0),2)</f>
        <v>0</v>
      </c>
      <c r="M19" s="1403">
        <f>K19+L19</f>
        <v>23844.38</v>
      </c>
      <c r="N19" s="2258"/>
      <c r="O19" s="2259"/>
      <c r="P19" s="1403">
        <f>N19+O19</f>
        <v>0</v>
      </c>
      <c r="R19" s="1247">
        <f t="shared" ref="R19:S26" si="5">D19+H19</f>
        <v>54574.759999999995</v>
      </c>
      <c r="S19" s="1248">
        <f t="shared" si="5"/>
        <v>120254.50999999998</v>
      </c>
    </row>
    <row r="20" spans="1:19">
      <c r="A20" s="2260"/>
      <c r="B20" s="50" t="s">
        <v>1957</v>
      </c>
      <c r="C20" s="2955" t="s">
        <v>3076</v>
      </c>
      <c r="D20" s="48">
        <f t="shared" ref="D20:D26" si="6">ROUND($D$3*E20/$E$3,2)</f>
        <v>24466.74</v>
      </c>
      <c r="E20" s="56">
        <f t="shared" si="1"/>
        <v>53912.01999999999</v>
      </c>
      <c r="F20" s="57">
        <f>'数据-基础表'!K13</f>
        <v>53912.01999999999</v>
      </c>
      <c r="G20" s="58"/>
      <c r="H20" s="723">
        <f t="shared" ref="H20:H26" si="7">ROUND($D$3*I20/$E$3,2)</f>
        <v>6051.17</v>
      </c>
      <c r="I20" s="51">
        <f t="shared" si="2"/>
        <v>13333.65</v>
      </c>
      <c r="J20" s="1392"/>
      <c r="K20" s="1391">
        <f t="shared" si="3"/>
        <v>13333.65</v>
      </c>
      <c r="L20" s="1247">
        <f t="shared" si="4"/>
        <v>0</v>
      </c>
      <c r="M20" s="1403">
        <f t="shared" ref="M20:M26" si="8">K20+L20</f>
        <v>13333.65</v>
      </c>
      <c r="N20" s="2258"/>
      <c r="O20" s="2259"/>
      <c r="P20" s="1403">
        <f t="shared" ref="P20:P26" si="9">N20+O20</f>
        <v>0</v>
      </c>
      <c r="R20" s="1247">
        <f t="shared" si="5"/>
        <v>30517.910000000003</v>
      </c>
      <c r="S20" s="1248">
        <f t="shared" si="5"/>
        <v>67245.669999999984</v>
      </c>
    </row>
    <row r="21" spans="1:19">
      <c r="A21" s="2260"/>
      <c r="B21" s="50" t="s">
        <v>1957</v>
      </c>
      <c r="C21" s="2955" t="s">
        <v>3077</v>
      </c>
      <c r="D21" s="48">
        <f t="shared" si="6"/>
        <v>34002.75</v>
      </c>
      <c r="E21" s="56">
        <f t="shared" si="1"/>
        <v>74924.460000000006</v>
      </c>
      <c r="F21" s="57"/>
      <c r="G21" s="58">
        <f>'数据-基础表'!M13</f>
        <v>74924.460000000006</v>
      </c>
      <c r="H21" s="723">
        <f t="shared" si="7"/>
        <v>8409.64</v>
      </c>
      <c r="I21" s="51">
        <f t="shared" si="2"/>
        <v>18530.5</v>
      </c>
      <c r="J21" s="1392"/>
      <c r="K21" s="1391">
        <f t="shared" si="3"/>
        <v>18530.5</v>
      </c>
      <c r="L21" s="1247">
        <f t="shared" si="4"/>
        <v>0</v>
      </c>
      <c r="M21" s="1403">
        <f t="shared" si="8"/>
        <v>18530.5</v>
      </c>
      <c r="N21" s="2258"/>
      <c r="O21" s="2259"/>
      <c r="P21" s="1403">
        <f t="shared" si="9"/>
        <v>0</v>
      </c>
      <c r="R21" s="1247">
        <f t="shared" si="5"/>
        <v>42412.39</v>
      </c>
      <c r="S21" s="1248">
        <f t="shared" si="5"/>
        <v>93454.96</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102223.02</v>
      </c>
      <c r="E27" s="1394">
        <f>IF(SUM(E19:E26)='数据-基础表'!BA5,SUM(E19:E26),IF(F27="地上面积有误","面积有误","地下面积有误"))</f>
        <v>225246.61</v>
      </c>
      <c r="F27" s="1393">
        <f>IF(SUM(F19:F26)=E8,SUM(F19:F26),"地上面积有误")</f>
        <v>150322.14999999997</v>
      </c>
      <c r="G27" s="1395">
        <f>SUM(G19:G26)</f>
        <v>74924.460000000006</v>
      </c>
      <c r="H27" s="1396">
        <f>SUM(H19:H26)</f>
        <v>25282.04</v>
      </c>
      <c r="I27" s="1397">
        <f>SUM(I19:I26)</f>
        <v>55708.53</v>
      </c>
      <c r="J27" s="1392"/>
      <c r="K27" s="1400">
        <f>SUM(K19:K26)</f>
        <v>55708.53</v>
      </c>
      <c r="L27" s="1401">
        <f>SUM(L19:L26)</f>
        <v>0</v>
      </c>
      <c r="M27" s="1404">
        <f>SUM(M19:M26)</f>
        <v>55708.53</v>
      </c>
      <c r="N27" s="1400">
        <f t="shared" ref="N27:O27" si="10">SUM(N19:N26)</f>
        <v>0</v>
      </c>
      <c r="O27" s="1401">
        <f t="shared" si="10"/>
        <v>0</v>
      </c>
      <c r="P27" s="1402">
        <f>SUM(P19:P26)</f>
        <v>0</v>
      </c>
      <c r="R27" s="1249" t="str">
        <f>IF(SUM(R19:R26)=$D$3,SUM(R19:R26),SUM(R19:R26)&amp;"误差"&amp;ROUND(SUM(R19:R26)-$D$3,2))</f>
        <v>127505.06误差-3223.93</v>
      </c>
      <c r="S27" s="1247" t="str">
        <f>IF(SUM(S19:S26)=$E$3,SUM(S19:S26),SUM(S19:S26)&amp;"误差"&amp;ROUND(SUM(S19:S26)-E3,2))</f>
        <v>280955.14误差-7103.87</v>
      </c>
    </row>
    <row r="28" spans="1:19">
      <c r="A28" s="2260"/>
      <c r="B28" s="50" t="s">
        <v>1959</v>
      </c>
      <c r="C28" s="1259" t="s">
        <v>1960</v>
      </c>
      <c r="D28" s="48">
        <f>ROUND($D$3*E28/$E$3,2)</f>
        <v>25282.04</v>
      </c>
      <c r="E28" s="56">
        <f>SUM(F28:G28)</f>
        <v>55708.529999999992</v>
      </c>
      <c r="F28" s="64">
        <f>'数据-基础表'!BQ5+'数据-基础表'!BS5</f>
        <v>72.319999999999993</v>
      </c>
      <c r="G28" s="65">
        <f>'数据-基础表'!BR5+'数据-基础表'!BT5</f>
        <v>55636.209999999992</v>
      </c>
      <c r="H28" s="1392"/>
      <c r="I28" s="1392"/>
      <c r="J28" s="1392"/>
      <c r="K28" s="1392"/>
      <c r="L28" s="1392"/>
      <c r="M28" s="1392"/>
      <c r="N28" s="1392"/>
      <c r="O28" s="1392"/>
      <c r="P28" s="1392"/>
    </row>
    <row r="29" spans="1:19">
      <c r="A29" s="2260"/>
      <c r="B29" s="50" t="s">
        <v>1959</v>
      </c>
      <c r="C29" s="2264" t="s">
        <v>1961</v>
      </c>
      <c r="D29" s="48">
        <f>ROUND($D$3*E29/$E$3,2)</f>
        <v>3223.93</v>
      </c>
      <c r="E29" s="56">
        <f>SUM(F29:G29)</f>
        <v>7103.87</v>
      </c>
      <c r="F29" s="66">
        <f>'数据-基础表'!BM5+'数据-基础表'!BO5</f>
        <v>2558.5299999999997</v>
      </c>
      <c r="G29" s="67">
        <f>'数据-基础表'!BN5+'数据-基础表'!BP5</f>
        <v>4545.34</v>
      </c>
      <c r="H29" s="1392"/>
      <c r="I29" s="1392"/>
      <c r="J29" s="1392"/>
      <c r="K29" s="1392"/>
      <c r="L29" s="1392"/>
      <c r="M29" s="1392"/>
      <c r="N29" s="1392"/>
      <c r="O29" s="1392"/>
      <c r="P29" s="1392"/>
    </row>
    <row r="30" spans="1:19" ht="15">
      <c r="A30" s="2260"/>
      <c r="B30" s="50"/>
      <c r="C30" s="2265" t="s">
        <v>1958</v>
      </c>
      <c r="D30" s="1393">
        <f>SUM(D28:D29)</f>
        <v>28505.97</v>
      </c>
      <c r="E30" s="1393">
        <f>SUM(E28:E29)</f>
        <v>62812.399999999994</v>
      </c>
      <c r="F30" s="1393">
        <f>SUM(F28:F29)</f>
        <v>2630.85</v>
      </c>
      <c r="G30" s="1395">
        <f>SUM(G28:G29)</f>
        <v>60181.549999999988</v>
      </c>
      <c r="H30" s="1392"/>
      <c r="I30" s="1392"/>
      <c r="J30" s="1392"/>
      <c r="K30" s="1392"/>
      <c r="L30" s="1392"/>
      <c r="M30" s="1392"/>
      <c r="N30" s="1392"/>
      <c r="O30" s="1392"/>
      <c r="P30" s="1392"/>
    </row>
    <row r="31" spans="1:19" ht="15.75" thickBot="1">
      <c r="A31" s="2266"/>
      <c r="B31" s="2267"/>
      <c r="C31" s="1007" t="s">
        <v>1962</v>
      </c>
      <c r="D31" s="729">
        <f>D27+D30</f>
        <v>130728.99</v>
      </c>
      <c r="E31" s="729">
        <f>E27+E30</f>
        <v>288059.01</v>
      </c>
      <c r="F31" s="730">
        <f>F27+F30</f>
        <v>152952.99999999997</v>
      </c>
      <c r="G31" s="731">
        <f>G27+G30</f>
        <v>135106.01</v>
      </c>
      <c r="H31" s="1392"/>
      <c r="I31" s="1392"/>
      <c r="J31" s="1392"/>
      <c r="K31" s="1392"/>
      <c r="L31" s="1392"/>
      <c r="M31" s="1392"/>
      <c r="N31" s="1392"/>
      <c r="O31" s="1392"/>
      <c r="P31" s="1392"/>
    </row>
    <row r="32" spans="1:19">
      <c r="A32" s="2231"/>
      <c r="B32" s="2231" t="s">
        <v>1963</v>
      </c>
      <c r="C32" s="2231"/>
      <c r="D32" s="2231"/>
      <c r="E32" s="1274">
        <f>SUMIF(C19:C26,"*住宅*",E19:E26)</f>
        <v>0</v>
      </c>
      <c r="F32" s="2231"/>
      <c r="G32" s="2231"/>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F55" sqref="F5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43759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3064</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2" t="s">
        <v>2005</v>
      </c>
      <c r="AP5" s="1249" t="s">
        <v>2006</v>
      </c>
      <c r="AQ5" s="2302" t="s">
        <v>2007</v>
      </c>
      <c r="AR5" s="2302"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3" t="str">
        <f>'数据-汇总表'!C19</f>
        <v>洋房</v>
      </c>
      <c r="B6" s="2304" t="str">
        <f>IF(A6=0,"","经营性")</f>
        <v>经营性</v>
      </c>
      <c r="C6" s="2305" t="s">
        <v>3073</v>
      </c>
      <c r="D6" s="1051">
        <f>SUMIF(项目基本情况!D$12:I$12,C6,项目基本情况!D$14:I$14)</f>
        <v>70</v>
      </c>
      <c r="E6" s="1048">
        <f>IF(B6="","",SUMIF(项目基本情况!D$12:I$12,C6,项目基本情况!D$13:I$13))</f>
        <v>69161</v>
      </c>
      <c r="F6" s="72">
        <f>SUMIF(项目基本情况!D$12:I$12,C6,项目基本情况!D$15:I$15)</f>
        <v>69.59</v>
      </c>
      <c r="G6" s="73">
        <f>IF(ISERROR(ROUND(POWER(1+H6,D6-F6)*(POWER(1+H6,F6)-1)/(POWER(1+H6,D6)-1),3)),0,ROUND(POWER(1+H6,D6-F6)*(POWER(1+H6,F6)-1)/(POWER(1+H6,D6)-1),3))</f>
        <v>0.999</v>
      </c>
      <c r="H6" s="802">
        <v>0.04</v>
      </c>
      <c r="I6" s="802">
        <v>4.4999999999999998E-2</v>
      </c>
      <c r="J6" s="74">
        <v>8.5000000000000006E-2</v>
      </c>
      <c r="K6" s="1251">
        <f>SUMIF('数据-汇总表'!C$19:C$33,A6,'数据-汇总表'!E$19:E$33)</f>
        <v>96410.129999999976</v>
      </c>
      <c r="L6" s="803">
        <v>2500</v>
      </c>
      <c r="M6" s="75">
        <f t="shared" ref="M6:M14" si="0">ROUND(K6*L6/10000,0)</f>
        <v>24103</v>
      </c>
      <c r="N6" s="801">
        <v>0</v>
      </c>
      <c r="O6" s="75">
        <f>IF($N$5="成新度","——",ROUND(M6*N6,0))</f>
        <v>0</v>
      </c>
      <c r="P6" s="76">
        <f>IF($N$5="成新度","——",M6-O6)</f>
        <v>24103</v>
      </c>
      <c r="Q6" s="804">
        <v>0.15</v>
      </c>
      <c r="R6" s="77">
        <f ca="1">SUMIF('数据-汇总表'!C$19:C$33,A6,'数据-汇总表'!R$19:R$27)</f>
        <v>54574.759999999995</v>
      </c>
      <c r="S6" s="54">
        <f>IF('数据-汇总表'!$I$17="按面积比例",SUMIF('数据-汇总表'!C$19:C$33,A6,'数据-汇总表'!K$19:K$33),SUMIF('数据-汇总表'!C$19:C$33,A6,'数据-汇总表'!N$19:N$33))</f>
        <v>23844.38</v>
      </c>
      <c r="T6" s="1443">
        <f>ROUND($L$14*S6/10000,0)</f>
        <v>5961</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6"/>
      <c r="AO6" s="55" t="e">
        <f ca="1">SUMIF(INDIRECT("'"&amp;AN6&amp;"'"&amp;"!A:A"),"总价",INDIRECT("'"&amp;AN6&amp;"'"&amp;"!B:B"))</f>
        <v>#REF!</v>
      </c>
      <c r="AP6" s="2307">
        <f>IF(C6="住宅",K6*L6,0)</f>
        <v>241025324.99999994</v>
      </c>
      <c r="AQ6" s="55">
        <f>ROUND($L$14*$N$14*S6/10000,0)</f>
        <v>0</v>
      </c>
      <c r="AR6" s="55">
        <f>ROUND($L$14*(1-$N$14)*S6/10000,0)</f>
        <v>5961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联排</v>
      </c>
      <c r="B7" s="2304" t="str">
        <f t="shared" ref="B7:B13" si="1">IF(A7=0,"","经营性")</f>
        <v>经营性</v>
      </c>
      <c r="C7" s="2305" t="s">
        <v>3073</v>
      </c>
      <c r="D7" s="1051">
        <f>SUMIF(项目基本情况!D$12:I$12,C7,项目基本情况!D$14:I$14)</f>
        <v>70</v>
      </c>
      <c r="E7" s="1048">
        <f>IF(B7="","",SUMIF(项目基本情况!D$12:I$12,C7,项目基本情况!D$13:I$13))</f>
        <v>69161</v>
      </c>
      <c r="F7" s="72">
        <f>SUMIF(项目基本情况!D$12:I$12,C7,项目基本情况!D$15:I$15)</f>
        <v>69.59</v>
      </c>
      <c r="G7" s="73">
        <f t="shared" ref="G7:G11" si="2">IF(ISERROR(ROUND(POWER(1+H7,D7-F7)*(POWER(1+H7,F7)-1)/(POWER(1+H7,D7)-1),3)),0,ROUND(POWER(1+H7,D7-F7)*(POWER(1+H7,F7)-1)/(POWER(1+H7,D7)-1),3))</f>
        <v>0.999</v>
      </c>
      <c r="H7" s="802">
        <v>0.04</v>
      </c>
      <c r="I7" s="802">
        <v>4.4999999999999998E-2</v>
      </c>
      <c r="J7" s="74">
        <v>8.5000000000000006E-2</v>
      </c>
      <c r="K7" s="1251">
        <f>SUMIF('数据-汇总表'!C$19:C$33,A7,'数据-汇总表'!E$19:E$33)</f>
        <v>53912.01999999999</v>
      </c>
      <c r="L7" s="803">
        <v>2500</v>
      </c>
      <c r="M7" s="75">
        <f t="shared" si="0"/>
        <v>13478</v>
      </c>
      <c r="N7" s="801">
        <v>0</v>
      </c>
      <c r="O7" s="75">
        <f t="shared" ref="O7:O14" si="3">IF($N$5="成新度","——",ROUND(M7*N7,0))</f>
        <v>0</v>
      </c>
      <c r="P7" s="76">
        <f t="shared" ref="P7:P14" si="4">IF($N$5="成新度","——",M7-O7)</f>
        <v>13478</v>
      </c>
      <c r="Q7" s="804">
        <v>0.2</v>
      </c>
      <c r="R7" s="77">
        <f ca="1">SUMIF('数据-汇总表'!C$19:C$33,A7,'数据-汇总表'!R$19:R$27)</f>
        <v>30517.910000000003</v>
      </c>
      <c r="S7" s="54">
        <f>IF('数据-汇总表'!$I$17="按面积比例",SUMIF('数据-汇总表'!C$19:C$33,A7,'数据-汇总表'!K$19:K$33),SUMIF('数据-汇总表'!C$19:C$33,A7,'数据-汇总表'!N$19:N$33))</f>
        <v>13333.65</v>
      </c>
      <c r="T7" s="1443">
        <f t="shared" ref="T7:T13" si="5">ROUND($L$14*S7/10000,0)</f>
        <v>3333</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134780049.99999997</v>
      </c>
      <c r="AQ7" s="55">
        <f t="shared" ref="AQ7:AQ13" si="10">ROUND($L$14*$N$14*S7/10000,0)</f>
        <v>0</v>
      </c>
      <c r="AR7" s="55">
        <f t="shared" ref="AR7:AR13" si="11">ROUND($L$14*(1-$N$14)*S7/10000,0)</f>
        <v>3333</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t="str">
        <f>'数据-汇总表'!C21</f>
        <v>车库</v>
      </c>
      <c r="B8" s="2304" t="str">
        <f t="shared" si="1"/>
        <v>经营性</v>
      </c>
      <c r="C8" s="2305" t="s">
        <v>3070</v>
      </c>
      <c r="D8" s="1051">
        <f>SUMIF(项目基本情况!D$12:I$12,C8,项目基本情况!D$14:I$14)</f>
        <v>50</v>
      </c>
      <c r="E8" s="1048">
        <f>IF(B8="","",SUMIF(项目基本情况!D$12:I$12,C8,项目基本情况!D$13:I$13))</f>
        <v>61856</v>
      </c>
      <c r="F8" s="72">
        <f>SUMIF(项目基本情况!D$12:I$12,C8,项目基本情况!D$15:I$15)</f>
        <v>49.58</v>
      </c>
      <c r="G8" s="73">
        <f t="shared" si="2"/>
        <v>0.998</v>
      </c>
      <c r="H8" s="802">
        <v>4.4999999999999998E-2</v>
      </c>
      <c r="I8" s="802">
        <v>0.05</v>
      </c>
      <c r="J8" s="74">
        <v>8.5000000000000006E-2</v>
      </c>
      <c r="K8" s="1251">
        <f>SUMIF('数据-汇总表'!C$19:C$33,A8,'数据-汇总表'!E$19:E$33)</f>
        <v>74924.460000000006</v>
      </c>
      <c r="L8" s="803">
        <v>2500</v>
      </c>
      <c r="M8" s="75">
        <f>ROUND(K8*L8/10000,0)</f>
        <v>18731</v>
      </c>
      <c r="N8" s="801">
        <v>0</v>
      </c>
      <c r="O8" s="75">
        <f t="shared" si="3"/>
        <v>0</v>
      </c>
      <c r="P8" s="76">
        <f t="shared" si="4"/>
        <v>18731</v>
      </c>
      <c r="Q8" s="804">
        <v>0.05</v>
      </c>
      <c r="R8" s="77">
        <f ca="1">SUMIF('数据-汇总表'!C$19:C$33,A8,'数据-汇总表'!R$19:R$27)</f>
        <v>42412.39</v>
      </c>
      <c r="S8" s="54">
        <f>IF('数据-汇总表'!$I$17="按面积比例",SUMIF('数据-汇总表'!C$19:C$33,A8,'数据-汇总表'!K$19:K$33),SUMIF('数据-汇总表'!C$19:C$33,A8,'数据-汇总表'!N$19:N$33))</f>
        <v>18530.5</v>
      </c>
      <c r="T8" s="1443">
        <f t="shared" si="5"/>
        <v>4633</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4633</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55708.529999999992</v>
      </c>
      <c r="L14" s="91">
        <v>2500</v>
      </c>
      <c r="M14" s="75">
        <f t="shared" si="0"/>
        <v>13927</v>
      </c>
      <c r="N14" s="92">
        <v>0</v>
      </c>
      <c r="O14" s="75">
        <f t="shared" si="3"/>
        <v>0</v>
      </c>
      <c r="P14" s="76">
        <f t="shared" si="4"/>
        <v>13927</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7103.87</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0.999</v>
      </c>
      <c r="H16" s="99">
        <f>ROUND(SUMPRODUCT(H6:H13,K6:K13)/SUMPRODUCT((H6:H13&gt;0)*(K6:K13)),3)</f>
        <v>4.2000000000000003E-2</v>
      </c>
      <c r="I16" s="100"/>
      <c r="J16" s="100"/>
      <c r="K16" s="101">
        <f>SUM(K6:K15)</f>
        <v>288059.00999999995</v>
      </c>
      <c r="L16" s="102">
        <f>ROUND(M16*10000/SUM(K6:K14),0)</f>
        <v>2500</v>
      </c>
      <c r="M16" s="102">
        <f>SUM(M6:M14)</f>
        <v>70239</v>
      </c>
      <c r="N16" s="103">
        <f>ROUND(SUMPRODUCT(M6:M14,N6:N14)/M16,3)</f>
        <v>0</v>
      </c>
      <c r="O16" s="102">
        <f>SUM(O6:O14)</f>
        <v>0</v>
      </c>
      <c r="P16" s="102">
        <f>SUM(P6:P14)</f>
        <v>70239</v>
      </c>
      <c r="Q16" s="104">
        <f>ROUND(SUMPRODUCT(Q6:Q13,K6:K13)/SUMPRODUCT((Q6:Q13&gt;0)*(K6:K13)),2)</f>
        <v>0.13</v>
      </c>
      <c r="R16" s="1255">
        <f ca="1">SUM(R6:R13)</f>
        <v>127505.06</v>
      </c>
      <c r="S16" s="105">
        <f>SUM(S6:S13)</f>
        <v>55708.53</v>
      </c>
      <c r="T16" s="106">
        <f>IF(SUMIF(T6:T13,"&lt;9E307")=M14,SUMIF(T6:T13,"&lt;9E307"),"有误，请检查")</f>
        <v>13927</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3</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0</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3</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0</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3</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150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190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0</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200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200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0.05</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0.03</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7" t="s">
        <v>2080</v>
      </c>
      <c r="B1" s="3048"/>
      <c r="C1" s="3048"/>
      <c r="D1" s="3048"/>
      <c r="E1" s="3048"/>
      <c r="F1" s="3048"/>
      <c r="G1" s="304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1" sqref="G31"/>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288059.01</v>
      </c>
      <c r="C1" s="1741"/>
      <c r="D1" s="1741"/>
      <c r="E1" s="1741"/>
      <c r="F1" s="1741"/>
      <c r="G1" s="1739"/>
    </row>
    <row r="2" spans="1:10" ht="16.5">
      <c r="A2" s="1742" t="s">
        <v>1349</v>
      </c>
      <c r="B2" s="1742">
        <f>SUM(C14:C23)</f>
        <v>130728.99</v>
      </c>
      <c r="C2" s="1741"/>
      <c r="D2" s="1741"/>
      <c r="E2" s="1741"/>
      <c r="F2" s="1741"/>
      <c r="G2" s="1739"/>
    </row>
    <row r="3" spans="1:10" ht="16.5">
      <c r="A3" s="1742" t="s">
        <v>1358</v>
      </c>
      <c r="B3" s="1743">
        <f>项目基本情况!D3</f>
        <v>43759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201006</v>
      </c>
      <c r="C5" s="1742">
        <f ca="1">ROUND(B5*10000/$B$1,0)</f>
        <v>6978</v>
      </c>
      <c r="D5" s="1742">
        <f ca="1">ROUND(B5*10000/$B$2,0)</f>
        <v>15376</v>
      </c>
      <c r="E5" s="1741"/>
      <c r="F5" s="1739"/>
      <c r="G5" s="1739"/>
    </row>
    <row r="6" spans="1:10" ht="16.5">
      <c r="A6" s="1742" t="s">
        <v>1352</v>
      </c>
      <c r="B6" s="1742">
        <f ca="1">SUM(G14:G23)</f>
        <v>201006</v>
      </c>
      <c r="C6" s="1742">
        <f ca="1">ROUND(B6*10000/$B$1,0)</f>
        <v>6978</v>
      </c>
      <c r="D6" s="1742">
        <f ca="1">ROUND(B6*10000/$B$2,0)</f>
        <v>15376</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288059.01</v>
      </c>
      <c r="C14" s="1740">
        <f>结果表!C118</f>
        <v>130728.99</v>
      </c>
      <c r="D14" s="1740">
        <f ca="1">结果表!H118</f>
        <v>201006</v>
      </c>
      <c r="E14" s="1740">
        <f ca="1">ROUND(D14*10000/B14,0)</f>
        <v>6978</v>
      </c>
      <c r="F14" s="1740">
        <f ca="1">ROUND(D14*10000/C14,0)</f>
        <v>15376</v>
      </c>
      <c r="G14" s="1740">
        <f ca="1">结果表!D122</f>
        <v>201006</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30" sqref="J3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2117</v>
      </c>
      <c r="B1" s="2416"/>
      <c r="C1" s="2417"/>
      <c r="D1" s="2416"/>
      <c r="E1" s="2416"/>
      <c r="F1" s="2418" t="s">
        <v>2118</v>
      </c>
      <c r="G1" s="2068" t="s">
        <v>2119</v>
      </c>
      <c r="H1" s="2419" t="str">
        <f>IF(G1="现房","——","估价对象范围")</f>
        <v>估价对象范围</v>
      </c>
      <c r="I1" s="2420"/>
    </row>
    <row r="2" spans="1:12" ht="21.75" customHeight="1" thickBot="1">
      <c r="A2" s="3121" t="str">
        <f>项目基本情况!S2</f>
        <v>出让国有建设用地使用权及在建建筑物房地产</v>
      </c>
      <c r="B2" s="3122"/>
      <c r="C2" s="3122"/>
      <c r="D2" s="3122"/>
      <c r="E2" s="3122"/>
      <c r="F2" s="3122"/>
      <c r="G2" s="3122"/>
      <c r="H2" s="3122"/>
      <c r="I2" s="3123"/>
    </row>
    <row r="3" spans="1:12" ht="12.75">
      <c r="A3" s="3124" t="s">
        <v>2120</v>
      </c>
      <c r="B3" s="3125"/>
      <c r="C3" s="3125"/>
      <c r="D3" s="3125"/>
      <c r="E3" s="3125"/>
      <c r="F3" s="3125"/>
      <c r="G3" s="3125"/>
      <c r="H3" s="3125"/>
      <c r="I3" s="3125"/>
    </row>
    <row r="4" spans="1:12" ht="14.25">
      <c r="A4" s="2423" t="s">
        <v>2121</v>
      </c>
      <c r="B4" s="2424" t="s">
        <v>2122</v>
      </c>
      <c r="C4" s="2425" t="s">
        <v>3204</v>
      </c>
      <c r="D4" s="2425" t="s">
        <v>3205</v>
      </c>
      <c r="E4" s="3105" t="s">
        <v>2123</v>
      </c>
      <c r="F4" s="3118"/>
      <c r="G4" s="3118"/>
      <c r="H4" s="3118"/>
      <c r="I4" s="3106"/>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2124</v>
      </c>
      <c r="B5" s="3022">
        <v>25</v>
      </c>
      <c r="C5" s="3126"/>
      <c r="D5" s="3114"/>
      <c r="E5" s="140" t="s">
        <v>2125</v>
      </c>
      <c r="F5" s="2427"/>
      <c r="G5" s="2427"/>
      <c r="H5" s="2427"/>
      <c r="I5" s="1830"/>
    </row>
    <row r="6" spans="1:12" ht="12.75">
      <c r="A6" s="3096"/>
      <c r="B6" s="3022"/>
      <c r="C6" s="3128"/>
      <c r="D6" s="3114"/>
      <c r="E6" s="140" t="s">
        <v>2126</v>
      </c>
      <c r="F6" s="2427"/>
      <c r="G6" s="2427"/>
      <c r="H6" s="2427"/>
      <c r="I6" s="1830"/>
    </row>
    <row r="7" spans="1:12" ht="12.75">
      <c r="A7" s="3096"/>
      <c r="B7" s="3022"/>
      <c r="C7" s="3127"/>
      <c r="D7" s="3114"/>
      <c r="E7" s="140" t="s">
        <v>2127</v>
      </c>
      <c r="F7" s="2427"/>
      <c r="G7" s="2427"/>
      <c r="H7" s="2427"/>
      <c r="I7" s="1830"/>
    </row>
    <row r="8" spans="1:12" ht="12.75">
      <c r="A8" s="3096" t="s">
        <v>2128</v>
      </c>
      <c r="B8" s="3022">
        <v>15</v>
      </c>
      <c r="C8" s="3126"/>
      <c r="D8" s="3114"/>
      <c r="E8" s="140" t="s">
        <v>2129</v>
      </c>
      <c r="F8" s="2427"/>
      <c r="G8" s="2427"/>
      <c r="H8" s="2427"/>
      <c r="I8" s="1830"/>
    </row>
    <row r="9" spans="1:12" ht="12.75">
      <c r="A9" s="3096"/>
      <c r="B9" s="3022"/>
      <c r="C9" s="3127"/>
      <c r="D9" s="3114"/>
      <c r="E9" s="140" t="s">
        <v>2130</v>
      </c>
      <c r="F9" s="2427"/>
      <c r="G9" s="2427"/>
      <c r="H9" s="2427"/>
      <c r="I9" s="1830"/>
    </row>
    <row r="10" spans="1:12" ht="12.75">
      <c r="A10" s="3096" t="s">
        <v>2131</v>
      </c>
      <c r="B10" s="3022">
        <v>15</v>
      </c>
      <c r="C10" s="3126"/>
      <c r="D10" s="3114"/>
      <c r="E10" s="140" t="s">
        <v>2132</v>
      </c>
      <c r="F10" s="2427"/>
      <c r="G10" s="2427"/>
      <c r="H10" s="2427"/>
      <c r="I10" s="1830"/>
    </row>
    <row r="11" spans="1:12" ht="12.75">
      <c r="A11" s="3096"/>
      <c r="B11" s="3022"/>
      <c r="C11" s="3127"/>
      <c r="D11" s="3114"/>
      <c r="E11" s="140" t="s">
        <v>2133</v>
      </c>
      <c r="F11" s="2427"/>
      <c r="G11" s="2427"/>
      <c r="H11" s="2427"/>
      <c r="I11" s="1830"/>
    </row>
    <row r="12" spans="1:12" ht="12.75">
      <c r="A12" s="3096" t="s">
        <v>2134</v>
      </c>
      <c r="B12" s="3022">
        <v>15</v>
      </c>
      <c r="C12" s="3126"/>
      <c r="D12" s="3114"/>
      <c r="E12" s="140" t="s">
        <v>2135</v>
      </c>
      <c r="F12" s="2427"/>
      <c r="G12" s="2427"/>
      <c r="H12" s="2427"/>
      <c r="I12" s="1830"/>
    </row>
    <row r="13" spans="1:12" ht="12.75">
      <c r="A13" s="3096"/>
      <c r="B13" s="3022"/>
      <c r="C13" s="3127"/>
      <c r="D13" s="3114"/>
      <c r="E13" s="140" t="s">
        <v>2136</v>
      </c>
      <c r="F13" s="2427"/>
      <c r="G13" s="2427"/>
      <c r="H13" s="2427"/>
      <c r="I13" s="1830"/>
    </row>
    <row r="14" spans="1:12" ht="12.75">
      <c r="A14" s="3096" t="s">
        <v>2137</v>
      </c>
      <c r="B14" s="3022">
        <v>30</v>
      </c>
      <c r="C14" s="3126">
        <v>5</v>
      </c>
      <c r="D14" s="3114">
        <v>5</v>
      </c>
      <c r="E14" s="140" t="s">
        <v>2138</v>
      </c>
      <c r="F14" s="2427"/>
      <c r="G14" s="2427"/>
      <c r="H14" s="2427"/>
      <c r="I14" s="1830"/>
    </row>
    <row r="15" spans="1:12" ht="12.75">
      <c r="A15" s="3096"/>
      <c r="B15" s="3022"/>
      <c r="C15" s="3128"/>
      <c r="D15" s="3114"/>
      <c r="E15" s="140" t="s">
        <v>2139</v>
      </c>
      <c r="F15" s="2427"/>
      <c r="G15" s="2427"/>
      <c r="H15" s="2427"/>
      <c r="I15" s="1830"/>
    </row>
    <row r="16" spans="1:12" ht="12.75">
      <c r="A16" s="3096"/>
      <c r="B16" s="3022"/>
      <c r="C16" s="3127"/>
      <c r="D16" s="3114"/>
      <c r="E16" s="140" t="s">
        <v>2140</v>
      </c>
      <c r="F16" s="2427"/>
      <c r="G16" s="2427"/>
      <c r="H16" s="2427"/>
      <c r="I16" s="1830"/>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288059.01</v>
      </c>
      <c r="M18" s="2426">
        <f>IF(C1="",'数据-汇总表'!E3,SUMIF(项目类型,C1,'数据-汇总表'!E17:E26))</f>
        <v>288059.01</v>
      </c>
    </row>
    <row r="19" spans="1:35" ht="15">
      <c r="A19" s="2432" t="s">
        <v>2146</v>
      </c>
      <c r="B19" s="2433" t="s">
        <v>2147</v>
      </c>
      <c r="C19" s="143">
        <f ca="1">SUMIF(INDIRECT("'"&amp;C4&amp;"'"&amp;"!A:A"),结果表!B19,INDIRECT("'"&amp;C4&amp;"'"&amp;"!B:B"))</f>
        <v>216129</v>
      </c>
      <c r="D19" s="144">
        <f ca="1">SUMIF(INDIRECT("'"&amp;D4&amp;"'"&amp;"!A:A"),结果表!B19,INDIRECT("'"&amp;D4&amp;"'"&amp;"!B:B"))</f>
        <v>185882</v>
      </c>
      <c r="E19" s="2432" t="s">
        <v>2148</v>
      </c>
      <c r="F19" s="2433" t="s">
        <v>2147</v>
      </c>
      <c r="G19" s="145">
        <f ca="1">ROUND(C19*$C$18+D19*$D$18,0)</f>
        <v>201006</v>
      </c>
      <c r="H19" s="2434" t="s">
        <v>2149</v>
      </c>
      <c r="I19" s="138"/>
      <c r="K19" s="2426" t="s">
        <v>2150</v>
      </c>
      <c r="L19" s="2426">
        <f>IF(C1="",'数据-汇总表'!D3,SUMIF(项目类型,C1,'数据-汇总表'!D17:D26)+SUMIF(项目类型,C1,'数据-汇总表'!H17:H27))</f>
        <v>130728.99</v>
      </c>
      <c r="M19" s="2426">
        <f>IF(C1="",'数据-汇总表'!D3,SUMIF(项目类型,C1,'数据-汇总表'!D17:D26))</f>
        <v>130728.99</v>
      </c>
    </row>
    <row r="20" spans="1:35" ht="15">
      <c r="A20" s="2435"/>
      <c r="B20" s="1247" t="s">
        <v>2151</v>
      </c>
      <c r="C20" s="146">
        <f ca="1">SUMIF(INDIRECT("'"&amp;C4&amp;"'"&amp;"!A:A"),结果表!B20,INDIRECT("'"&amp;C4&amp;"'"&amp;"!B:B"))</f>
        <v>7503</v>
      </c>
      <c r="D20" s="147">
        <f ca="1">SUMIF(INDIRECT("'"&amp;D4&amp;"'"&amp;"!A:A"),结果表!B20,INDIRECT("'"&amp;D4&amp;"'"&amp;"!B:B"))</f>
        <v>6453</v>
      </c>
      <c r="E20" s="2435"/>
      <c r="F20" s="1247" t="s">
        <v>2151</v>
      </c>
      <c r="G20" s="148">
        <f ca="1">ROUND(C20*$C$18+D20*$D$18,0)</f>
        <v>6978</v>
      </c>
      <c r="H20" s="980" t="s">
        <v>2152</v>
      </c>
      <c r="I20" s="138"/>
    </row>
    <row r="21" spans="1:35" ht="15" customHeight="1" thickBot="1">
      <c r="A21" s="1000"/>
      <c r="B21" s="2436" t="s">
        <v>2153</v>
      </c>
      <c r="C21" s="789">
        <f ca="1">ROUND(C19*10000/L19,0)</f>
        <v>16533</v>
      </c>
      <c r="D21" s="790">
        <f ca="1">ROUND(D19*10000/L19,0)</f>
        <v>14219</v>
      </c>
      <c r="E21" s="1000"/>
      <c r="F21" s="2436" t="s">
        <v>2153</v>
      </c>
      <c r="G21" s="149">
        <f ca="1">ROUND(G19*10000/L19,0)</f>
        <v>15376</v>
      </c>
      <c r="H21" s="2437" t="s">
        <v>2152</v>
      </c>
      <c r="I21" s="138"/>
    </row>
    <row r="22" spans="1:35" ht="15" thickBot="1">
      <c r="A22" s="2278" t="s">
        <v>2154</v>
      </c>
      <c r="B22" s="2438"/>
      <c r="C22" s="2439"/>
      <c r="D22" s="791">
        <f ca="1">IF(C19&lt;D19,D19/C19-1,C19/D19-1)</f>
        <v>0.16272151149654079</v>
      </c>
      <c r="E22" s="138"/>
      <c r="F22" s="138"/>
      <c r="G22" s="138"/>
      <c r="H22" s="138"/>
      <c r="I22" s="138"/>
    </row>
    <row r="23" spans="1:35" ht="13.5" thickBot="1">
      <c r="A23" s="2416"/>
      <c r="B23" s="2416"/>
      <c r="C23" s="2416"/>
      <c r="D23" s="2416"/>
      <c r="E23" s="138"/>
      <c r="F23" s="138"/>
      <c r="G23" s="138"/>
      <c r="H23" s="138"/>
      <c r="I23" s="138"/>
    </row>
    <row r="24" spans="1:35" ht="14.25">
      <c r="A24" s="3135" t="s">
        <v>2155</v>
      </c>
      <c r="B24" s="2433" t="s">
        <v>2147</v>
      </c>
      <c r="C24" s="145">
        <f>IF(B30=0,0,D30)</f>
        <v>0</v>
      </c>
      <c r="D24" s="2440"/>
      <c r="E24" s="138"/>
      <c r="F24" s="138"/>
      <c r="G24" s="138"/>
      <c r="H24" s="138"/>
      <c r="I24" s="138"/>
    </row>
    <row r="25" spans="1:35" ht="14.25">
      <c r="A25" s="3136"/>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201006</v>
      </c>
      <c r="D32" s="2447" t="s">
        <v>2162</v>
      </c>
      <c r="E32" s="138"/>
      <c r="F32" s="138"/>
      <c r="G32" s="138"/>
      <c r="H32" s="138"/>
      <c r="I32" s="138"/>
    </row>
    <row r="33" spans="1:15" ht="15">
      <c r="A33" s="957" t="s">
        <v>2163</v>
      </c>
      <c r="B33" s="2448"/>
      <c r="C33" s="2449"/>
      <c r="D33" s="2450"/>
      <c r="E33" s="2451" t="s">
        <v>2164</v>
      </c>
      <c r="F33" s="2452" t="str">
        <f>IF(D32="楼面单价","取值（单价）","取值（总价）")</f>
        <v>取值（总价）</v>
      </c>
      <c r="G33" s="138"/>
      <c r="H33" s="138"/>
      <c r="I33" s="138"/>
    </row>
    <row r="34" spans="1:15" ht="15">
      <c r="A34" s="2453"/>
      <c r="B34" s="2454"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2166</v>
      </c>
      <c r="F34" s="1735"/>
      <c r="G34" s="138"/>
      <c r="H34" s="138"/>
      <c r="I34" s="138"/>
    </row>
    <row r="35" spans="1:15" ht="15.75" thickBot="1">
      <c r="A35" s="2456"/>
      <c r="B35" s="2457"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2168</v>
      </c>
      <c r="F35" s="163"/>
      <c r="G35" s="138"/>
      <c r="H35" s="138"/>
      <c r="I35" s="138"/>
    </row>
    <row r="36" spans="1:15" ht="15.75" thickBot="1">
      <c r="A36" s="3115" t="s">
        <v>2169</v>
      </c>
      <c r="B36" s="2459" t="s">
        <v>2170</v>
      </c>
      <c r="C36" s="154"/>
      <c r="D36" s="2460"/>
      <c r="E36" s="2461"/>
      <c r="F36" s="2462"/>
      <c r="G36" s="138"/>
      <c r="H36" s="138"/>
      <c r="I36" s="138"/>
    </row>
    <row r="37" spans="1:15" ht="15.75" thickBot="1">
      <c r="A37" s="3116"/>
      <c r="B37" s="2264" t="s">
        <v>2171</v>
      </c>
      <c r="C37" s="156"/>
      <c r="D37" s="1392"/>
      <c r="E37" s="1392"/>
      <c r="F37" s="2462"/>
      <c r="G37" s="138"/>
      <c r="H37" s="138"/>
      <c r="I37" s="138"/>
    </row>
    <row r="38" spans="1:15" ht="15.75" thickBot="1">
      <c r="A38" s="3117"/>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32" t="s">
        <v>2183</v>
      </c>
      <c r="B45" s="3133"/>
      <c r="C45" s="3134"/>
      <c r="D45" s="164">
        <f ca="1">ROUND(H101*F45,0)</f>
        <v>201006</v>
      </c>
      <c r="E45" s="165" t="s">
        <v>2184</v>
      </c>
      <c r="F45" s="166">
        <v>1</v>
      </c>
      <c r="G45" s="167" t="s">
        <v>2185</v>
      </c>
      <c r="H45" s="138"/>
      <c r="I45" s="138"/>
      <c r="J45" s="3051" t="s">
        <v>2186</v>
      </c>
      <c r="K45" s="3051"/>
      <c r="L45" s="3051"/>
      <c r="M45" s="3051"/>
      <c r="N45" s="3051"/>
      <c r="O45" s="3051"/>
    </row>
    <row r="46" spans="1:15" ht="14.25" customHeight="1">
      <c r="A46" s="3129" t="s">
        <v>2187</v>
      </c>
      <c r="B46" s="3130"/>
      <c r="C46" s="3130"/>
      <c r="D46" s="3130"/>
      <c r="E46" s="3130"/>
      <c r="F46" s="3130"/>
      <c r="G46" s="3131"/>
      <c r="H46" s="2478"/>
      <c r="I46" s="168"/>
      <c r="J46" s="1808">
        <v>1</v>
      </c>
      <c r="K46" s="3051" t="s">
        <v>2188</v>
      </c>
      <c r="L46" s="3051"/>
      <c r="M46" s="3052"/>
      <c r="N46" s="3052"/>
      <c r="O46" s="3052"/>
    </row>
    <row r="47" spans="1:15" ht="12" customHeight="1">
      <c r="A47" s="169" t="s">
        <v>2189</v>
      </c>
      <c r="B47" s="170"/>
      <c r="C47" s="171"/>
      <c r="D47" s="172" t="s">
        <v>2190</v>
      </c>
      <c r="E47" s="24" t="s">
        <v>2191</v>
      </c>
      <c r="F47" s="173" t="s">
        <v>2192</v>
      </c>
      <c r="G47" s="174" t="s">
        <v>2193</v>
      </c>
      <c r="H47" s="2478"/>
      <c r="I47" s="168"/>
      <c r="J47" s="1808">
        <v>2</v>
      </c>
      <c r="K47" s="3051" t="s">
        <v>2194</v>
      </c>
      <c r="L47" s="3051"/>
      <c r="M47" s="3053">
        <f>'数据-取费表'!B2</f>
        <v>43759</v>
      </c>
      <c r="N47" s="3053"/>
      <c r="O47" s="3053"/>
    </row>
    <row r="48" spans="1:15" ht="25.5">
      <c r="A48" s="3119" t="s">
        <v>2195</v>
      </c>
      <c r="B48" s="3120"/>
      <c r="C48" s="3120"/>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051" t="s">
        <v>2198</v>
      </c>
      <c r="L48" s="3051"/>
      <c r="M48" s="3054">
        <f ca="1">H101</f>
        <v>201006</v>
      </c>
      <c r="N48" s="3054"/>
      <c r="O48" s="3054"/>
    </row>
    <row r="49" spans="1:35" ht="25.5" customHeight="1">
      <c r="A49" s="176" t="s">
        <v>2199</v>
      </c>
      <c r="B49" s="3099" t="s">
        <v>2200</v>
      </c>
      <c r="C49" s="3099"/>
      <c r="D49" s="177">
        <v>0</v>
      </c>
      <c r="E49" s="23" t="s">
        <v>2201</v>
      </c>
      <c r="F49" s="28" t="s">
        <v>34</v>
      </c>
      <c r="G49" s="3080"/>
      <c r="H49" s="138"/>
      <c r="I49" s="2481"/>
      <c r="J49" s="1808">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2202</v>
      </c>
      <c r="C50" s="3099"/>
      <c r="D50" s="179"/>
      <c r="E50" s="31"/>
      <c r="F50" s="180"/>
      <c r="G50" s="3081"/>
      <c r="H50" s="138"/>
      <c r="I50" s="2481"/>
      <c r="J50" s="3051" t="s">
        <v>2203</v>
      </c>
      <c r="K50" s="3051"/>
      <c r="L50" s="3051"/>
      <c r="M50" s="3051"/>
      <c r="N50" s="3051"/>
      <c r="O50" s="3051"/>
    </row>
    <row r="51" spans="1:35" ht="12" customHeight="1">
      <c r="A51" s="181"/>
      <c r="B51" s="3099" t="s">
        <v>2204</v>
      </c>
      <c r="C51" s="3099"/>
      <c r="D51" s="182"/>
      <c r="E51" s="30"/>
      <c r="F51" s="180"/>
      <c r="G51" s="3082"/>
      <c r="H51" s="138"/>
      <c r="I51" s="2481"/>
      <c r="J51" s="2482" t="s">
        <v>2205</v>
      </c>
      <c r="K51" s="3051" t="s">
        <v>2206</v>
      </c>
      <c r="L51" s="3051"/>
      <c r="M51" s="2482" t="s">
        <v>2207</v>
      </c>
      <c r="N51" s="2482" t="s">
        <v>2208</v>
      </c>
      <c r="O51" s="2482" t="s">
        <v>2209</v>
      </c>
    </row>
    <row r="52" spans="1:35" ht="24" customHeight="1">
      <c r="A52" s="183" t="s">
        <v>2210</v>
      </c>
      <c r="B52" s="3099" t="s">
        <v>2211</v>
      </c>
      <c r="C52" s="3099"/>
      <c r="D52" s="182">
        <f ca="1">ROUND(D45*'数据-取费表'!B41/(1+'数据-取费表'!C42),0)</f>
        <v>10529</v>
      </c>
      <c r="E52" s="11" t="s">
        <v>2212</v>
      </c>
      <c r="F52" s="184">
        <f>'数据-取费表'!B41</f>
        <v>5.5000000000000007E-2</v>
      </c>
      <c r="G52" s="2483"/>
      <c r="H52" s="138"/>
      <c r="I52" s="2481"/>
      <c r="J52" s="1808">
        <v>1</v>
      </c>
      <c r="K52" s="3074" t="s">
        <v>2213</v>
      </c>
      <c r="L52" s="3074"/>
      <c r="M52" s="1750">
        <f>D48</f>
        <v>0</v>
      </c>
      <c r="N52" s="1808" t="str">
        <f>E48</f>
        <v>销售额×税（费）率</v>
      </c>
      <c r="O52" s="1751" t="str">
        <f>F48</f>
        <v>免征</v>
      </c>
    </row>
    <row r="53" spans="1:35" ht="12" customHeight="1">
      <c r="A53" s="183" t="s">
        <v>2214</v>
      </c>
      <c r="B53" s="3100" t="s">
        <v>2215</v>
      </c>
      <c r="C53" s="3101"/>
      <c r="D53" s="182">
        <f ca="1">ROUND(D45*'数据-取费表'!B41/(1+'数据-取费表'!C42),0)</f>
        <v>10529</v>
      </c>
      <c r="E53" s="11" t="s">
        <v>2212</v>
      </c>
      <c r="F53" s="184">
        <f>'数据-取费表'!B41</f>
        <v>5.5000000000000007E-2</v>
      </c>
      <c r="G53" s="2483"/>
      <c r="H53" s="138"/>
      <c r="I53" s="2481"/>
      <c r="J53" s="1808">
        <v>2</v>
      </c>
      <c r="K53" s="3074" t="s">
        <v>2216</v>
      </c>
      <c r="L53" s="3074"/>
      <c r="M53" s="1750">
        <f t="shared" ref="M53:O54" ca="1" si="0">D55</f>
        <v>101</v>
      </c>
      <c r="N53" s="1808" t="str">
        <f t="shared" si="0"/>
        <v>销售额×税（费）率</v>
      </c>
      <c r="O53" s="1751">
        <f t="shared" si="0"/>
        <v>5.0000000000000001E-4</v>
      </c>
    </row>
    <row r="54" spans="1:35" ht="12" customHeight="1">
      <c r="A54" s="183" t="s">
        <v>2217</v>
      </c>
      <c r="B54" s="3100" t="s">
        <v>2218</v>
      </c>
      <c r="C54" s="3101"/>
      <c r="D54" s="182">
        <f ca="1">C68</f>
        <v>10529</v>
      </c>
      <c r="E54" s="30" t="s">
        <v>2219</v>
      </c>
      <c r="F54" s="184">
        <f>'数据-取费表'!B41</f>
        <v>5.5000000000000007E-2</v>
      </c>
      <c r="G54" s="2483"/>
      <c r="H54" s="2484"/>
      <c r="I54" s="2481"/>
      <c r="J54" s="1808">
        <v>3</v>
      </c>
      <c r="K54" s="3074" t="s">
        <v>2220</v>
      </c>
      <c r="L54" s="3074"/>
      <c r="M54" s="1750">
        <f t="shared" ca="1" si="0"/>
        <v>113951</v>
      </c>
      <c r="N54" s="1808" t="str">
        <f t="shared" si="0"/>
        <v>增值额×税（费）率</v>
      </c>
      <c r="O54" s="1752" t="str">
        <f t="shared" si="0"/>
        <v>——</v>
      </c>
    </row>
    <row r="55" spans="1:35" ht="24" customHeight="1">
      <c r="A55" s="3138" t="s">
        <v>2221</v>
      </c>
      <c r="B55" s="3120"/>
      <c r="C55" s="3120"/>
      <c r="D55" s="185">
        <f ca="1">IF(H55="个人住宅",0,ROUND(D45*I55,0))</f>
        <v>101</v>
      </c>
      <c r="E55" s="11" t="s">
        <v>2222</v>
      </c>
      <c r="F55" s="184">
        <f>IF(H55="正常",I55,"免征")</f>
        <v>5.0000000000000001E-4</v>
      </c>
      <c r="G55" s="2483"/>
      <c r="H55" s="2480" t="s">
        <v>2223</v>
      </c>
      <c r="I55" s="186">
        <f>'数据-取费表'!B49</f>
        <v>5.0000000000000001E-4</v>
      </c>
      <c r="J55" s="1808" t="str">
        <f>IF(H59="非个人房产","",4)</f>
        <v/>
      </c>
      <c r="K55" s="3074" t="str">
        <f>IF(H59="非个人房产","——","个人所得税")</f>
        <v>——</v>
      </c>
      <c r="L55" s="3074"/>
      <c r="M55" s="1753" t="str">
        <f>D59</f>
        <v>——</v>
      </c>
      <c r="N55" s="1806" t="str">
        <f>E59</f>
        <v>——</v>
      </c>
      <c r="O55" s="1754" t="str">
        <f>F59</f>
        <v>——</v>
      </c>
    </row>
    <row r="56" spans="1:35" ht="24.75">
      <c r="A56" s="3138" t="s">
        <v>2224</v>
      </c>
      <c r="B56" s="3120"/>
      <c r="C56" s="3120"/>
      <c r="D56" s="185">
        <f ca="1">IF(H56="个人住宅",D57,D58)</f>
        <v>113951</v>
      </c>
      <c r="E56" s="11" t="s">
        <v>2225</v>
      </c>
      <c r="F56" s="184" t="str">
        <f>IF(H56="正常",F58,"免征")</f>
        <v>——</v>
      </c>
      <c r="G56" s="2485" t="s">
        <v>2226</v>
      </c>
      <c r="H56" s="2486" t="s">
        <v>2223</v>
      </c>
      <c r="I56" s="2487"/>
      <c r="J56" s="1808" t="str">
        <f>IF(项目基本情况!K6="上海银行",IF(J55="",4,J55+1),"")</f>
        <v/>
      </c>
      <c r="K56" s="3057" t="str">
        <f>IF(项目基本情况!K6="上海银行","其他处置费用","")</f>
        <v/>
      </c>
      <c r="L56" s="3058"/>
      <c r="M56" s="1750" t="str">
        <f>IF(项目基本情况!K6="上海银行",M69,"")</f>
        <v/>
      </c>
      <c r="N56" s="3060" t="str">
        <f>IF(项目基本情况!K6="上海银行","包含处置中涉及的律师、诉讼、拍卖、评估等费用","")</f>
        <v/>
      </c>
      <c r="O56" s="3061"/>
    </row>
    <row r="57" spans="1:35" ht="12.75">
      <c r="A57" s="183" t="s">
        <v>2199</v>
      </c>
      <c r="B57" s="3105" t="s">
        <v>2227</v>
      </c>
      <c r="C57" s="3106"/>
      <c r="D57" s="187">
        <v>0</v>
      </c>
      <c r="E57" s="23" t="s">
        <v>2201</v>
      </c>
      <c r="F57" s="155"/>
      <c r="G57" s="2483"/>
      <c r="H57" s="2487"/>
      <c r="I57" s="2487"/>
      <c r="J57" s="3074">
        <f>IF(AND(J55="",J56=""),4,IF(项目基本情况!K6="上海银行",结果表!J56+1,结果表!J55+1))</f>
        <v>4</v>
      </c>
      <c r="K57" s="3074" t="s">
        <v>2228</v>
      </c>
      <c r="L57" s="2488" t="s">
        <v>2229</v>
      </c>
      <c r="M57" s="1755"/>
      <c r="N57" s="1756">
        <f ca="1">SUMIF(M52:M56,"&lt;9e307")</f>
        <v>114052</v>
      </c>
      <c r="O57" s="2489"/>
      <c r="P57" s="1749" t="e">
        <f ca="1">N57/M49</f>
        <v>#VALUE!</v>
      </c>
    </row>
    <row r="58" spans="1:35" ht="24.75">
      <c r="A58" s="183" t="s">
        <v>2210</v>
      </c>
      <c r="B58" s="3105" t="s">
        <v>2230</v>
      </c>
      <c r="C58" s="3118"/>
      <c r="D58" s="185">
        <f ca="1">IF(H58="转让取得",C81,C97)</f>
        <v>113951</v>
      </c>
      <c r="E58" s="11" t="s">
        <v>2225</v>
      </c>
      <c r="F58" s="24" t="s">
        <v>34</v>
      </c>
      <c r="G58" s="2483"/>
      <c r="H58" s="2486" t="s">
        <v>2231</v>
      </c>
      <c r="I58" s="2487"/>
      <c r="J58" s="3074"/>
      <c r="K58" s="3074"/>
      <c r="L58" s="2488" t="s">
        <v>2232</v>
      </c>
      <c r="M58" s="1757"/>
      <c r="N58" s="2490" t="str">
        <f ca="1">NUMBERSTRING(INT(N57*10000),2)&amp;"元整"</f>
        <v>壹拾壹亿肆仟零伍拾贰万元整</v>
      </c>
      <c r="O58" s="2491"/>
    </row>
    <row r="59" spans="1:35" ht="24.75" thickBot="1">
      <c r="A59" s="3078" t="s">
        <v>2233</v>
      </c>
      <c r="B59" s="3079"/>
      <c r="C59" s="3079"/>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076">
        <f>J57+1</f>
        <v>5</v>
      </c>
      <c r="K59" s="3074" t="s">
        <v>2235</v>
      </c>
      <c r="L59" s="1808" t="s">
        <v>2229</v>
      </c>
      <c r="M59" s="1758"/>
      <c r="N59" s="1759" t="e">
        <f ca="1">M49-N57</f>
        <v>#VALUE!</v>
      </c>
      <c r="O59" s="2493"/>
    </row>
    <row r="60" spans="1:35" ht="12" customHeight="1">
      <c r="A60" s="2494"/>
      <c r="B60" s="2416"/>
      <c r="C60" s="2416"/>
      <c r="D60" s="2416"/>
      <c r="E60" s="2164"/>
      <c r="F60" s="2487"/>
      <c r="G60" s="2487"/>
      <c r="H60" s="2495"/>
      <c r="I60" s="138"/>
      <c r="J60" s="3077"/>
      <c r="K60" s="3074"/>
      <c r="L60" s="2488" t="s">
        <v>2232</v>
      </c>
      <c r="M60" s="1757"/>
      <c r="N60" s="2490" t="e">
        <f ca="1">NUMBERSTRING(INT(N59*10000),2)&amp;"元整"</f>
        <v>#VALUE!</v>
      </c>
      <c r="O60" s="2491"/>
    </row>
    <row r="61" spans="1:35" ht="13.5" thickBot="1">
      <c r="A61" s="3137" t="s">
        <v>2236</v>
      </c>
      <c r="B61" s="3137"/>
      <c r="C61" s="3137"/>
      <c r="D61" s="3137"/>
      <c r="E61" s="3137"/>
      <c r="F61" s="2487"/>
      <c r="G61" s="2487"/>
      <c r="H61" s="2495"/>
      <c r="I61" s="138"/>
      <c r="J61" s="1808">
        <f>J59+1</f>
        <v>6</v>
      </c>
      <c r="K61" s="3074" t="s">
        <v>2237</v>
      </c>
      <c r="L61" s="3074"/>
      <c r="M61" s="1760"/>
      <c r="N61" s="1761" t="e">
        <f ca="1">ROUND(N59*10000/'数据-汇总表'!E3,0)</f>
        <v>#VALUE!</v>
      </c>
      <c r="O61" s="2496"/>
    </row>
    <row r="62" spans="1:35" ht="12.75">
      <c r="A62" s="3094" t="s">
        <v>2238</v>
      </c>
      <c r="B62" s="3095"/>
      <c r="C62" s="1800"/>
      <c r="D62" s="1800" t="s">
        <v>2239</v>
      </c>
      <c r="E62" s="192" t="s">
        <v>2240</v>
      </c>
      <c r="F62" s="2487"/>
      <c r="G62" s="2487"/>
      <c r="H62" s="2495"/>
      <c r="I62" s="138"/>
    </row>
    <row r="63" spans="1:35" ht="12.75">
      <c r="A63" s="203" t="s">
        <v>775</v>
      </c>
      <c r="B63" s="193" t="s">
        <v>2241</v>
      </c>
      <c r="C63" s="194">
        <f ca="1">ROUND((C64+C65)/(1+'数据-取费表'!C42),0)</f>
        <v>191434</v>
      </c>
      <c r="D63" s="195"/>
      <c r="E63" s="196"/>
      <c r="F63" s="2487"/>
      <c r="G63" s="2487"/>
      <c r="H63" s="2495"/>
      <c r="I63" s="138"/>
      <c r="J63" s="3059" t="s">
        <v>2242</v>
      </c>
      <c r="K63" s="2497" t="s">
        <v>2243</v>
      </c>
      <c r="L63" s="1748" t="e">
        <f>IF(M49&gt;10000,M49*0.5%,IF(AND(M49&gt;1000,M49&lt;=10000),M49*1%,IF(AND(M49&gt;100,M49&lt;=1000),M49*3%,IF(AND(M49&gt;10,M49&lt;=100),M49*5%,M49*8%))))</f>
        <v>#VALUE!</v>
      </c>
      <c r="M63" s="24" t="e">
        <f>ROUND(L63,1)</f>
        <v>#VALUE!</v>
      </c>
      <c r="Z63" s="2421"/>
      <c r="AI63" s="2422"/>
    </row>
    <row r="64" spans="1:35" ht="14.25" customHeight="1">
      <c r="A64" s="197" t="s">
        <v>770</v>
      </c>
      <c r="B64" s="198" t="s">
        <v>2244</v>
      </c>
      <c r="C64" s="199">
        <f ca="1">D45</f>
        <v>201006</v>
      </c>
      <c r="D64" s="200" t="s">
        <v>32</v>
      </c>
      <c r="E64" s="201"/>
      <c r="F64" s="2487"/>
      <c r="G64" s="2487"/>
      <c r="H64" s="2495"/>
      <c r="I64" s="138"/>
      <c r="J64" s="3059"/>
      <c r="K64" s="2497"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7" t="s">
        <v>771</v>
      </c>
      <c r="B65" s="198" t="s">
        <v>2247</v>
      </c>
      <c r="C65" s="202"/>
      <c r="D65" s="200"/>
      <c r="E65" s="201"/>
      <c r="F65" s="2487"/>
      <c r="G65" s="2487"/>
      <c r="H65" s="2495"/>
      <c r="I65" s="138"/>
      <c r="J65" s="3059"/>
      <c r="K65" s="2497" t="s">
        <v>2248</v>
      </c>
      <c r="L65" s="1748" t="e">
        <f>IF(M49&gt;1000,M49*0.1%,IF(AND(M49&gt;500,M49&lt;=1000),M49*0.5%,IF(AND(M49&gt;50,M49&lt;=500),M49*1%,IF(AND(M49&gt;1,M49&lt;=50),M49*1.5%))))</f>
        <v>#VALUE!</v>
      </c>
      <c r="M65" s="24" t="e">
        <f t="shared" si="1"/>
        <v>#VALUE!</v>
      </c>
      <c r="N65" s="138" t="s">
        <v>2246</v>
      </c>
      <c r="Z65" s="2421"/>
      <c r="AI65" s="2422"/>
    </row>
    <row r="66" spans="1:35" ht="14.25" customHeight="1">
      <c r="A66" s="203" t="s">
        <v>772</v>
      </c>
      <c r="B66" s="204" t="s">
        <v>2249</v>
      </c>
      <c r="C66" s="205"/>
      <c r="D66" s="206" t="s">
        <v>32</v>
      </c>
      <c r="E66" s="1772" t="s">
        <v>1367</v>
      </c>
      <c r="F66" s="2487"/>
      <c r="G66" s="2487"/>
      <c r="H66" s="2495"/>
      <c r="I66" s="138"/>
      <c r="J66" s="3059"/>
      <c r="K66" s="2497" t="s">
        <v>2250</v>
      </c>
      <c r="L66" s="1748" t="e">
        <f>M49*0.5%</f>
        <v>#VALUE!</v>
      </c>
      <c r="M66" s="24" t="e">
        <f>IF(L66&gt;0.5,0.5,ROUND(L66,0))</f>
        <v>#VALUE!</v>
      </c>
      <c r="N66" s="138" t="s">
        <v>2251</v>
      </c>
      <c r="Z66" s="2421"/>
      <c r="AI66" s="2422"/>
    </row>
    <row r="67" spans="1:35" ht="14.25" customHeight="1">
      <c r="A67" s="203" t="s">
        <v>773</v>
      </c>
      <c r="B67" s="204" t="s">
        <v>2252</v>
      </c>
      <c r="C67" s="207">
        <f ca="1">C63-C66</f>
        <v>191434</v>
      </c>
      <c r="D67" s="200" t="s">
        <v>32</v>
      </c>
      <c r="E67" s="201"/>
      <c r="F67" s="2487"/>
      <c r="G67" s="2487"/>
      <c r="H67" s="2495"/>
      <c r="I67" s="138"/>
      <c r="J67" s="3059"/>
      <c r="K67" s="2497"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2254</v>
      </c>
      <c r="C68" s="210">
        <f ca="1">IF(C67&lt;=0,0,ROUND(C67*D68,0))</f>
        <v>10529</v>
      </c>
      <c r="D68" s="211">
        <f>'数据-取费表'!B41</f>
        <v>5.5000000000000007E-2</v>
      </c>
      <c r="E68" s="212"/>
      <c r="F68" s="2487"/>
      <c r="G68" s="2487"/>
      <c r="H68" s="2495"/>
      <c r="I68" s="138"/>
      <c r="J68" s="3059"/>
      <c r="K68" s="2497" t="s">
        <v>2255</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059"/>
      <c r="K69" s="2497" t="s">
        <v>2256</v>
      </c>
      <c r="L69" s="2503"/>
      <c r="M69" s="24" t="e">
        <f>ROUND(SUM(M63:M68),0)</f>
        <v>#VALUE!</v>
      </c>
      <c r="N69" s="1749"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3" t="s">
        <v>2257</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4" t="s">
        <v>2238</v>
      </c>
      <c r="B71" s="3095"/>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191434</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957</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100" t="s">
        <v>2266</v>
      </c>
      <c r="F76" s="3099"/>
      <c r="G76" s="3099"/>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957</v>
      </c>
      <c r="D78" s="226">
        <f>'数据-取费表'!B43</f>
        <v>5.000000000000001E-3</v>
      </c>
      <c r="E78" s="3091" t="s">
        <v>2271</v>
      </c>
      <c r="F78" s="3092"/>
      <c r="G78" s="3092"/>
      <c r="H78" s="309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190477</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199.03552769070009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113951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2275</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4" t="s">
        <v>2238</v>
      </c>
      <c r="B84" s="3095"/>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191434</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957</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91" t="s">
        <v>2284</v>
      </c>
      <c r="F91" s="3092"/>
      <c r="G91" s="3092"/>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91" t="s">
        <v>2288</v>
      </c>
      <c r="F92" s="3092"/>
      <c r="G92" s="3092"/>
      <c r="H92" s="309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957</v>
      </c>
      <c r="D93" s="226">
        <f>'数据-取费表'!B43</f>
        <v>5.000000000000001E-3</v>
      </c>
      <c r="E93" s="3091" t="s">
        <v>2271</v>
      </c>
      <c r="F93" s="3092"/>
      <c r="G93" s="3092"/>
      <c r="H93" s="309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139" t="s">
        <v>2292</v>
      </c>
      <c r="F94" s="3140"/>
      <c r="G94" s="3140"/>
      <c r="H94" s="314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190477</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199.03552769070009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113951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2293</v>
      </c>
      <c r="B99" s="2416"/>
      <c r="C99" s="2416"/>
      <c r="D99" s="2416"/>
      <c r="E99" s="2164"/>
      <c r="F99" s="2164"/>
      <c r="G99" s="2164"/>
      <c r="H99" s="2163"/>
      <c r="I99" s="138"/>
    </row>
    <row r="100" spans="1:35" ht="18.75" customHeight="1">
      <c r="A100" s="3043" t="s">
        <v>2294</v>
      </c>
      <c r="B100" s="3044"/>
      <c r="C100" s="3044"/>
      <c r="D100" s="3075"/>
      <c r="E100" s="3044" t="s">
        <v>2295</v>
      </c>
      <c r="F100" s="3044"/>
      <c r="G100" s="3044"/>
      <c r="H100" s="3075"/>
      <c r="I100" s="138"/>
    </row>
    <row r="101" spans="1:35" ht="18.75" customHeight="1">
      <c r="A101" s="3083" t="s">
        <v>2296</v>
      </c>
      <c r="B101" s="3084"/>
      <c r="C101" s="736" t="str">
        <f>C4</f>
        <v>土地比较法-住宅、综合</v>
      </c>
      <c r="D101" s="737" t="str">
        <f>D4</f>
        <v>假设开发法</v>
      </c>
      <c r="E101" s="3055" t="s">
        <v>2297</v>
      </c>
      <c r="F101" s="3056"/>
      <c r="G101" s="2518" t="s">
        <v>2298</v>
      </c>
      <c r="H101" s="1045">
        <f ca="1">H118</f>
        <v>201006</v>
      </c>
      <c r="I101" s="138"/>
    </row>
    <row r="102" spans="1:35" ht="18.75" customHeight="1">
      <c r="A102" s="3085" t="s">
        <v>2299</v>
      </c>
      <c r="B102" s="2518" t="s">
        <v>2298</v>
      </c>
      <c r="C102" s="736">
        <f ca="1">C19</f>
        <v>216129</v>
      </c>
      <c r="D102" s="737">
        <f ca="1">D19</f>
        <v>185882</v>
      </c>
      <c r="E102" s="3055"/>
      <c r="F102" s="3056"/>
      <c r="G102" s="2518" t="s">
        <v>2300</v>
      </c>
      <c r="H102" s="371">
        <f ca="1">I118</f>
        <v>6978</v>
      </c>
      <c r="I102" s="138"/>
    </row>
    <row r="103" spans="1:35" ht="42.75" customHeight="1">
      <c r="A103" s="3085"/>
      <c r="B103" s="2518" t="s">
        <v>2300</v>
      </c>
      <c r="C103" s="738">
        <f ca="1">C20</f>
        <v>7503</v>
      </c>
      <c r="D103" s="739">
        <f ca="1">D20</f>
        <v>6453</v>
      </c>
      <c r="E103" s="3049" t="s">
        <v>2301</v>
      </c>
      <c r="F103" s="3050"/>
      <c r="G103" s="2519" t="s">
        <v>2302</v>
      </c>
      <c r="H103" s="1045">
        <f>IF(D36="正常操作",H104+H105+H106,H105+H106)</f>
        <v>0</v>
      </c>
      <c r="I103" s="138"/>
    </row>
    <row r="104" spans="1:35" ht="18.75" customHeight="1">
      <c r="A104" s="3085" t="s">
        <v>2303</v>
      </c>
      <c r="B104" s="2520" t="s">
        <v>2298</v>
      </c>
      <c r="C104" s="740">
        <f ca="1">H118</f>
        <v>201006</v>
      </c>
      <c r="D104" s="741"/>
      <c r="E104" s="2264" t="s">
        <v>2304</v>
      </c>
      <c r="F104" s="2256"/>
      <c r="G104" s="2519" t="s">
        <v>2302</v>
      </c>
      <c r="H104" s="1046">
        <f>IF(D36="同一抵押权人同一抵押物续贷",C36&amp;"（未扣减，详见特别提示）",C36)</f>
        <v>0</v>
      </c>
      <c r="I104" s="138"/>
    </row>
    <row r="105" spans="1:35" ht="18.75" customHeight="1" thickBot="1">
      <c r="A105" s="3097"/>
      <c r="B105" s="2521" t="s">
        <v>2300</v>
      </c>
      <c r="C105" s="742">
        <f ca="1">I118</f>
        <v>6978</v>
      </c>
      <c r="D105" s="743"/>
      <c r="E105" s="2264" t="s">
        <v>2305</v>
      </c>
      <c r="F105" s="2256"/>
      <c r="G105" s="2519" t="s">
        <v>2302</v>
      </c>
      <c r="H105" s="1046">
        <f>C37</f>
        <v>0</v>
      </c>
      <c r="I105" s="138"/>
    </row>
    <row r="106" spans="1:35" ht="18.75" customHeight="1">
      <c r="A106" s="2416" t="s">
        <v>2306</v>
      </c>
      <c r="B106" s="2416"/>
      <c r="C106" s="2416"/>
      <c r="D106" s="2416"/>
      <c r="E106" s="2522" t="s">
        <v>2307</v>
      </c>
      <c r="F106" s="2256"/>
      <c r="G106" s="2519" t="s">
        <v>2302</v>
      </c>
      <c r="H106" s="1046">
        <f>C38</f>
        <v>0</v>
      </c>
      <c r="I106" s="138"/>
    </row>
    <row r="107" spans="1:35" ht="18.75" customHeight="1">
      <c r="A107" s="138"/>
      <c r="B107" s="138"/>
      <c r="C107" s="138"/>
      <c r="D107" s="138"/>
      <c r="E107" s="3086" t="str">
        <f>IF(项目基本情况!E8="已注销","——","3.房地产抵押价值")</f>
        <v>3.房地产抵押价值</v>
      </c>
      <c r="F107" s="3056"/>
      <c r="G107" s="2518" t="s">
        <v>2298</v>
      </c>
      <c r="H107" s="1045">
        <f ca="1">IF(E107="——","——",H101-H103)</f>
        <v>201006</v>
      </c>
      <c r="I107" s="138"/>
    </row>
    <row r="108" spans="1:35" ht="18.75" customHeight="1">
      <c r="A108" s="138"/>
      <c r="B108" s="138"/>
      <c r="C108" s="138"/>
      <c r="D108" s="138"/>
      <c r="E108" s="3086"/>
      <c r="F108" s="3056"/>
      <c r="G108" s="2518" t="s">
        <v>2300</v>
      </c>
      <c r="H108" s="371">
        <f ca="1">ROUND(H107*10000/'数据-汇总表'!E3,0)</f>
        <v>6978</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18" t="s">
        <v>2298</v>
      </c>
      <c r="H109" s="348" t="str">
        <f>IF(E109="——","——",H101-H105-H106)</f>
        <v>——</v>
      </c>
      <c r="I109" s="138"/>
    </row>
    <row r="110" spans="1:35" ht="18.75" customHeight="1">
      <c r="A110" s="138"/>
      <c r="B110" s="138"/>
      <c r="C110" s="138"/>
      <c r="D110" s="138"/>
      <c r="E110" s="3086"/>
      <c r="F110" s="3056"/>
      <c r="G110" s="2518" t="s">
        <v>2300</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18" t="s">
        <v>2298</v>
      </c>
      <c r="H111" s="1045" t="str">
        <f>IF(E111="——","——",N59)</f>
        <v>——</v>
      </c>
      <c r="I111" s="138"/>
    </row>
    <row r="112" spans="1:35" ht="18.75" customHeight="1" thickBot="1">
      <c r="A112" s="138"/>
      <c r="B112" s="138"/>
      <c r="C112" s="138"/>
      <c r="D112" s="138"/>
      <c r="E112" s="3089"/>
      <c r="F112" s="3090"/>
      <c r="G112" s="2523" t="s">
        <v>2300</v>
      </c>
      <c r="H112" s="790" t="str">
        <f>IF(E111="——","——",N61)</f>
        <v>——</v>
      </c>
      <c r="I112" s="138"/>
    </row>
    <row r="113" spans="1:11" ht="18.75" customHeight="1">
      <c r="A113" s="138"/>
      <c r="B113" s="138"/>
      <c r="C113" s="138"/>
      <c r="D113" s="138"/>
      <c r="E113" s="3098" t="s">
        <v>2306</v>
      </c>
      <c r="F113" s="3098"/>
      <c r="G113" s="3098"/>
      <c r="H113" s="3098"/>
      <c r="I113" s="138"/>
    </row>
    <row r="114" spans="1:11" ht="3.75" customHeight="1">
      <c r="A114" s="2416"/>
      <c r="B114" s="2416"/>
      <c r="C114" s="2416"/>
      <c r="D114" s="2416"/>
      <c r="E114" s="2494"/>
      <c r="F114" s="2494"/>
      <c r="G114" s="2494"/>
      <c r="H114" s="2494"/>
      <c r="I114" s="2416"/>
    </row>
    <row r="115" spans="1:11" ht="18.75" customHeight="1">
      <c r="A115" s="3111" t="s">
        <v>2308</v>
      </c>
      <c r="B115" s="3112"/>
      <c r="C115" s="3112"/>
      <c r="D115" s="3112"/>
      <c r="E115" s="3112"/>
      <c r="F115" s="3112"/>
      <c r="G115" s="3112"/>
      <c r="H115" s="3112"/>
      <c r="I115" s="3113"/>
    </row>
    <row r="116" spans="1:11" ht="27" customHeight="1">
      <c r="A116" s="3022" t="s">
        <v>2309</v>
      </c>
      <c r="B116" s="3065" t="s">
        <v>2310</v>
      </c>
      <c r="C116" s="3065" t="s">
        <v>2311</v>
      </c>
      <c r="D116" s="3071" t="s">
        <v>2312</v>
      </c>
      <c r="E116" s="3072"/>
      <c r="F116" s="3107" t="s">
        <v>2313</v>
      </c>
      <c r="G116" s="3107"/>
      <c r="H116" s="3022" t="s">
        <v>2314</v>
      </c>
      <c r="I116" s="3022"/>
    </row>
    <row r="117" spans="1:11" ht="18.75" customHeight="1">
      <c r="A117" s="3022"/>
      <c r="B117" s="3066"/>
      <c r="C117" s="3066"/>
      <c r="D117" s="1794" t="s">
        <v>2315</v>
      </c>
      <c r="E117" s="1794" t="s">
        <v>2316</v>
      </c>
      <c r="F117" s="1794" t="s">
        <v>2315</v>
      </c>
      <c r="G117" s="1794" t="s">
        <v>2317</v>
      </c>
      <c r="H117" s="1794" t="s">
        <v>2315</v>
      </c>
      <c r="I117" s="1794" t="s">
        <v>2317</v>
      </c>
    </row>
    <row r="118" spans="1:11" ht="24.75" customHeight="1">
      <c r="A118" s="2524" t="str">
        <f>项目基本情况!S2</f>
        <v>出让国有建设用地使用权及在建建筑物房地产</v>
      </c>
      <c r="B118" s="1794">
        <f>M18</f>
        <v>288059.01</v>
      </c>
      <c r="C118" s="1794">
        <f>M19</f>
        <v>130728.99</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201006</v>
      </c>
      <c r="I118" s="1794">
        <f ca="1">ROUND(IF(D32="楼面单价",C32,H118*10000/B118),0)</f>
        <v>6978</v>
      </c>
    </row>
    <row r="119" spans="1:11" ht="18.75" customHeight="1">
      <c r="A119" s="3022" t="s">
        <v>2318</v>
      </c>
      <c r="B119" s="3022"/>
      <c r="C119" s="3022"/>
      <c r="D119" s="3067" t="e">
        <f ca="1">NUMBERSTRING(INT(D118*10000),2)&amp;"元整"</f>
        <v>#REF!</v>
      </c>
      <c r="E119" s="3068"/>
      <c r="F119" s="3067" t="e">
        <f ca="1">NUMBERSTRING(INT(F118*10000),2)&amp;"元整"</f>
        <v>#REF!</v>
      </c>
      <c r="G119" s="3068"/>
      <c r="H119" s="3067" t="str">
        <f ca="1">NUMBERSTRING(INT(H118*10000),2)&amp;"元整"</f>
        <v>贰拾亿壹仟零陆万元整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1" t="str">
        <f>IF(D120=0,"故，本次评估不存在"&amp;A120,"故，本次评估"&amp;A120&amp;"为人民币"&amp;D120&amp;"万元整。")</f>
        <v>故，本次评估不存在估价师知悉的法定优先受偿款</v>
      </c>
    </row>
    <row r="121" spans="1:11" ht="18.75" customHeight="1">
      <c r="A121" s="3108" t="s">
        <v>2318</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201006</v>
      </c>
      <c r="E122" s="3063"/>
      <c r="F122" s="3063"/>
      <c r="G122" s="3063"/>
      <c r="H122" s="3063"/>
      <c r="I122" s="3064"/>
    </row>
    <row r="123" spans="1:11" ht="18.75" customHeight="1">
      <c r="A123" s="3022" t="s">
        <v>2318</v>
      </c>
      <c r="B123" s="3022"/>
      <c r="C123" s="3022"/>
      <c r="D123" s="3067" t="str">
        <f ca="1">NUMBERSTRING(INT(D122*10000),2)&amp;"元整"</f>
        <v>贰拾亿壹仟零陆万元整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2318</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2318</v>
      </c>
      <c r="B127" s="3022"/>
      <c r="C127" s="3022"/>
      <c r="D127" s="3067" t="e">
        <f>NUMBERSTRING(INT(D126*10000),2)&amp;"元整"</f>
        <v>#VALUE!</v>
      </c>
      <c r="E127" s="3069"/>
      <c r="F127" s="3069"/>
      <c r="G127" s="3069"/>
      <c r="H127" s="3069"/>
      <c r="I127" s="3068"/>
    </row>
    <row r="128" spans="1:11" ht="21.75" customHeight="1">
      <c r="A128" s="3070" t="s">
        <v>2319</v>
      </c>
      <c r="B128" s="3070"/>
      <c r="C128" s="3070"/>
      <c r="D128" s="3070"/>
      <c r="E128" s="3070"/>
      <c r="F128" s="3070"/>
      <c r="G128" s="3070"/>
      <c r="H128" s="3070"/>
      <c r="I128" s="3070"/>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出让国有建设用地使用权及在建建筑物预评估</v>
      </c>
      <c r="C37" s="2956"/>
      <c r="D37" s="2956"/>
      <c r="E37" s="2956"/>
      <c r="F37" s="2956"/>
      <c r="G37" s="2956"/>
      <c r="H37" s="2956"/>
      <c r="I37" s="2956"/>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115327</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4004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48718326</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48718326</v>
      </c>
      <c r="D8" s="266"/>
      <c r="E8" s="264"/>
      <c r="F8" s="265"/>
      <c r="G8" s="2550"/>
    </row>
    <row r="9" spans="1:8" s="258" customFormat="1" ht="13.5" customHeight="1">
      <c r="A9" s="950" t="s">
        <v>800</v>
      </c>
      <c r="B9" s="268" t="s">
        <v>2344</v>
      </c>
      <c r="C9" s="269">
        <f ca="1">ROUND(D9*E9,0)</f>
        <v>22548323</v>
      </c>
      <c r="D9" s="1032">
        <f ca="1">IF(B1="",'数据-汇总表'!E5,IF(INDIRECT("'数据-取费表'!c"&amp;$G$1)="住宅",INDIRECT("'数据-取费表'!k"&amp;$G$1),0))</f>
        <v>150322.14999999997</v>
      </c>
      <c r="E9" s="269">
        <f>'数据-取费表'!B27</f>
        <v>150</v>
      </c>
      <c r="F9" s="265"/>
      <c r="G9" s="270"/>
    </row>
    <row r="10" spans="1:8" s="258" customFormat="1" ht="13.5" customHeight="1">
      <c r="A10" s="950" t="s">
        <v>801</v>
      </c>
      <c r="B10" s="268" t="s">
        <v>2346</v>
      </c>
      <c r="C10" s="269">
        <f ca="1">ROUND(D10*E10,0)</f>
        <v>26170003</v>
      </c>
      <c r="D10" s="1032">
        <f ca="1">IF(B1="",'数据-汇总表'!E6,IF(INDIRECT("'数据-取费表'!c"&amp;$G$1)="住宅",INDIRECT("'数据-取费表'!s"&amp;$G$1),INDIRECT("'数据-取费表'!k"&amp;$G$1)+INDIRECT("'数据-取费表'!s"&amp;$G$1)))</f>
        <v>137736.86000000004</v>
      </c>
      <c r="E10" s="269">
        <f>'数据-取费表'!B28</f>
        <v>190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0</v>
      </c>
      <c r="D19" s="1036">
        <f ca="1">D9+D10</f>
        <v>288059.01</v>
      </c>
      <c r="E19" s="255">
        <f>'数据-取费表'!B31</f>
        <v>0</v>
      </c>
      <c r="F19" s="275"/>
      <c r="G19" s="2550"/>
    </row>
    <row r="20" spans="1:7" s="258" customFormat="1" ht="13.5" customHeight="1">
      <c r="A20" s="299" t="s">
        <v>2440</v>
      </c>
      <c r="B20" s="254" t="s">
        <v>2441</v>
      </c>
      <c r="C20" s="276">
        <f ca="1">ROUND((C5+C19)*F20,0)</f>
        <v>974367</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7347587</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7277345</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0</v>
      </c>
      <c r="D24" s="282"/>
      <c r="E24" s="282"/>
      <c r="F24" s="283"/>
      <c r="G24" s="284" t="s">
        <v>2452</v>
      </c>
    </row>
    <row r="25" spans="1:7" s="258" customFormat="1" ht="24">
      <c r="A25" s="951" t="s">
        <v>2342</v>
      </c>
      <c r="B25" s="259" t="s">
        <v>2453</v>
      </c>
      <c r="C25" s="1381">
        <f ca="1">ROUND(IF('数据-取费表'!B22&lt;=1,C20*F22*'数据-取费表'!B22/2,C20*(POWER((1+F22),'数据-取费表'!B22/2)-1)),0)</f>
        <v>70242</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6460050</v>
      </c>
      <c r="D27" s="279">
        <f ca="1">C29</f>
        <v>2.5999999999999999E-3</v>
      </c>
      <c r="E27" s="280" t="s">
        <v>2380</v>
      </c>
      <c r="F27" s="290">
        <f ca="1">IF(B1="",'数据-取费表'!Q16,INDIRECT("'数据-取费表'!q"&amp;$G$1))</f>
        <v>0.13</v>
      </c>
      <c r="G27" s="291" t="s">
        <v>2381</v>
      </c>
    </row>
    <row r="28" spans="1:7" s="258" customFormat="1" ht="13.5" customHeight="1">
      <c r="A28" s="951" t="s">
        <v>791</v>
      </c>
      <c r="B28" s="292" t="s">
        <v>2382</v>
      </c>
      <c r="C28" s="293">
        <f ca="1">ROUND((C5+C19+C20)*F27,0)</f>
        <v>6460050</v>
      </c>
      <c r="D28" s="279"/>
      <c r="E28" s="280"/>
      <c r="F28" s="290"/>
      <c r="G28" s="291"/>
    </row>
    <row r="29" spans="1:7" s="258" customFormat="1" ht="13.5" customHeight="1">
      <c r="A29" s="951" t="s">
        <v>792</v>
      </c>
      <c r="B29" s="292" t="s">
        <v>2383</v>
      </c>
      <c r="C29" s="282">
        <f ca="1">ROUND(C21*F27,4)</f>
        <v>2.5999999999999999E-3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68753064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816929024</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702387850</v>
      </c>
      <c r="D34" s="261"/>
      <c r="E34" s="264"/>
      <c r="F34" s="301"/>
      <c r="G34" s="263"/>
    </row>
    <row r="35" spans="1:7" ht="13.5" customHeight="1">
      <c r="A35" s="951" t="s">
        <v>796</v>
      </c>
      <c r="B35" s="259" t="s">
        <v>2393</v>
      </c>
      <c r="C35" s="264">
        <f ca="1">ROUND(C34*F35,0)</f>
        <v>35119393</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11274161</v>
      </c>
      <c r="D36" s="264"/>
      <c r="E36" s="264"/>
      <c r="F36" s="303">
        <f>'数据-取费表'!B34</f>
        <v>0.03</v>
      </c>
      <c r="G36" s="304" t="s">
        <v>2396</v>
      </c>
    </row>
    <row r="37" spans="1:7" s="302" customFormat="1" ht="13.5" customHeight="1">
      <c r="A37" s="951" t="s">
        <v>798</v>
      </c>
      <c r="B37" s="259" t="s">
        <v>2397</v>
      </c>
      <c r="C37" s="293">
        <f ca="1">ROUND(E37*D37,0)</f>
        <v>57611802</v>
      </c>
      <c r="D37" s="261">
        <f ca="1">D19</f>
        <v>288059.01</v>
      </c>
      <c r="E37" s="293">
        <f>'数据-取费表'!B35</f>
        <v>200</v>
      </c>
      <c r="F37" s="303"/>
      <c r="G37" s="305"/>
    </row>
    <row r="38" spans="1:7" ht="13.5" customHeight="1">
      <c r="A38" s="951" t="s">
        <v>799</v>
      </c>
      <c r="B38" s="259" t="s">
        <v>2399</v>
      </c>
      <c r="C38" s="264">
        <f ca="1">ROUND(C34*F38,0)</f>
        <v>10535818</v>
      </c>
      <c r="D38" s="264"/>
      <c r="E38" s="264"/>
      <c r="F38" s="303">
        <f>'数据-取费表'!B36</f>
        <v>1.4999999999999999E-2</v>
      </c>
      <c r="G38" s="263" t="s">
        <v>2394</v>
      </c>
    </row>
    <row r="39" spans="1:7" s="258" customFormat="1" ht="13.5" customHeight="1">
      <c r="A39" s="299" t="s">
        <v>2400</v>
      </c>
      <c r="B39" s="254" t="s">
        <v>2401</v>
      </c>
      <c r="C39" s="276">
        <f ca="1">ROUND(C33*F20,0)</f>
        <v>16338580</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60069855</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58892015</v>
      </c>
      <c r="D42" s="282"/>
      <c r="E42" s="282"/>
      <c r="F42" s="283"/>
      <c r="G42" s="3142" t="s">
        <v>2457</v>
      </c>
    </row>
    <row r="43" spans="1:7" ht="13.5" customHeight="1">
      <c r="A43" s="951" t="s">
        <v>792</v>
      </c>
      <c r="B43" s="259" t="s">
        <v>2411</v>
      </c>
      <c r="C43" s="282">
        <f ca="1">ROUND(IF('数据-取费表'!B22&lt;=1,C39*F22*'数据-取费表'!B20/2,C39*(POWER((1+F22),'数据-取费表'!B20/2)-1)),0)</f>
        <v>1177840</v>
      </c>
      <c r="D43" s="282"/>
      <c r="E43" s="282"/>
      <c r="F43" s="283"/>
      <c r="G43" s="3143"/>
    </row>
    <row r="44" spans="1:7" ht="13.5" customHeight="1">
      <c r="A44" s="951" t="s">
        <v>793</v>
      </c>
      <c r="B44" s="259" t="s">
        <v>2412</v>
      </c>
      <c r="C44" s="282">
        <f ca="1">ROUND(IF('数据-取费表'!B22&lt;=1,C40*F22*'数据-取费表'!B20/2,C40*(POWER((1+F22),'数据-取费表'!B20/2)-1)),4)</f>
        <v>1.4E-3</v>
      </c>
      <c r="D44" s="282"/>
      <c r="E44" s="282"/>
      <c r="F44" s="283"/>
      <c r="G44" s="3144"/>
    </row>
    <row r="45" spans="1:7" s="258" customFormat="1" ht="13.5" customHeight="1">
      <c r="A45" s="299" t="s">
        <v>2413</v>
      </c>
      <c r="B45" s="288" t="s">
        <v>2379</v>
      </c>
      <c r="C45" s="289">
        <f ca="1">C46</f>
        <v>108324789</v>
      </c>
      <c r="D45" s="279">
        <f ca="1">C47</f>
        <v>2.5999999999999999E-3</v>
      </c>
      <c r="E45" s="280" t="s">
        <v>2405</v>
      </c>
      <c r="F45" s="290"/>
      <c r="G45" s="291" t="s">
        <v>2414</v>
      </c>
    </row>
    <row r="46" spans="1:7" s="258" customFormat="1" ht="13.5" customHeight="1">
      <c r="A46" s="951" t="s">
        <v>791</v>
      </c>
      <c r="B46" s="292" t="s">
        <v>2415</v>
      </c>
      <c r="C46" s="293">
        <f ca="1">ROUND((C33+C39)*F27,0)</f>
        <v>108324789</v>
      </c>
      <c r="D46" s="307"/>
      <c r="E46" s="280"/>
      <c r="F46" s="290"/>
      <c r="G46" s="291"/>
    </row>
    <row r="47" spans="1:7" s="258" customFormat="1" ht="13.5" customHeight="1">
      <c r="A47" s="951" t="s">
        <v>792</v>
      </c>
      <c r="B47" s="292" t="s">
        <v>2416</v>
      </c>
      <c r="C47" s="282">
        <f ca="1">ROUND(C40*F27,4)</f>
        <v>2.5999999999999999E-3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1084519541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1084519541</v>
      </c>
      <c r="D51" s="276"/>
      <c r="E51" s="276"/>
      <c r="F51" s="308"/>
      <c r="G51" s="278" t="s">
        <v>2426</v>
      </c>
    </row>
    <row r="52" spans="1:7" s="252" customFormat="1" ht="16.5" thickBot="1">
      <c r="A52" s="309" t="s">
        <v>2427</v>
      </c>
      <c r="B52" s="310"/>
      <c r="C52" s="311">
        <f ca="1">C31+C51</f>
        <v>1153272605</v>
      </c>
      <c r="D52" s="310"/>
      <c r="E52" s="310"/>
      <c r="F52" s="310"/>
      <c r="G52" s="312"/>
    </row>
    <row r="55" spans="1:7" ht="15">
      <c r="B55" s="314" t="s">
        <v>2428</v>
      </c>
      <c r="C55" s="315"/>
    </row>
    <row r="56" spans="1:7">
      <c r="B56" s="317" t="s">
        <v>1508</v>
      </c>
      <c r="C56" s="319">
        <f ca="1">1-C57</f>
        <v>6.0000000000000053E-2</v>
      </c>
    </row>
    <row r="57" spans="1:7">
      <c r="B57" s="317" t="s">
        <v>1509</v>
      </c>
      <c r="C57" s="318">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185882</v>
      </c>
      <c r="C2" s="320" t="s">
        <v>2461</v>
      </c>
      <c r="D2" s="320"/>
      <c r="E2" s="320"/>
      <c r="F2" s="320"/>
      <c r="G2" s="320"/>
      <c r="H2" s="320"/>
      <c r="I2" s="320"/>
      <c r="J2" s="320"/>
      <c r="K2" s="320"/>
    </row>
    <row r="3" spans="1:33" ht="18" customHeight="1" thickBot="1">
      <c r="A3" s="247" t="s">
        <v>2330</v>
      </c>
      <c r="B3" s="248">
        <f ca="1">ROUND(B2*10000/IF(C1="",'数据-汇总表'!E3,INDIRECT("'数据-取费表'!K"&amp;$K$1)),0)</f>
        <v>6453</v>
      </c>
      <c r="C3" s="320" t="s">
        <v>2462</v>
      </c>
      <c r="D3" s="320"/>
      <c r="E3" s="320"/>
      <c r="F3" s="320"/>
      <c r="G3" s="320"/>
      <c r="H3" s="320"/>
      <c r="I3" s="320"/>
      <c r="J3" s="320"/>
      <c r="K3" s="320"/>
    </row>
    <row r="4" spans="1:33" s="956" customFormat="1" ht="16.5" customHeight="1">
      <c r="A4" s="953" t="s">
        <v>2463</v>
      </c>
      <c r="B4" s="954"/>
      <c r="C4" s="996">
        <f>SUM(C8:K8)</f>
        <v>387535</v>
      </c>
      <c r="D4" s="954"/>
      <c r="E4" s="954"/>
      <c r="F4" s="954"/>
      <c r="G4" s="954"/>
      <c r="H4" s="954"/>
      <c r="I4" s="954"/>
      <c r="J4" s="954"/>
      <c r="K4" s="955"/>
    </row>
    <row r="5" spans="1:33" s="960" customFormat="1" ht="15">
      <c r="A5" s="957" t="s">
        <v>2464</v>
      </c>
      <c r="B5" s="958" t="s">
        <v>2465</v>
      </c>
      <c r="C5" s="2554" t="s">
        <v>3066</v>
      </c>
      <c r="D5" s="2554" t="s">
        <v>3065</v>
      </c>
      <c r="E5" s="2554" t="s">
        <v>3070</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v>23000</v>
      </c>
      <c r="D6" s="962">
        <v>27000</v>
      </c>
      <c r="E6" s="962">
        <v>135000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96410.129999999976</v>
      </c>
      <c r="D7" s="321">
        <f>SUMIF('数据-汇总表'!$C19:$C33,假设开发法!D5,'数据-汇总表'!$E19:$E33)</f>
        <v>53912.01999999999</v>
      </c>
      <c r="E7" s="321">
        <f>SUMIF('数据-汇总表'!$C19:$C33,假设开发法!E5,'数据-汇总表'!$E19:$E33)</f>
        <v>74924.460000000006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ROUND(C6*C7/10000,0)</f>
        <v>221743</v>
      </c>
      <c r="D8" s="997">
        <f t="shared" ref="D8:E8" si="0">ROUND(D6*D7/10000,0)</f>
        <v>145562</v>
      </c>
      <c r="E8" s="997">
        <f>ROUND(E7/50*E6/10000,0)</f>
        <v>20230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70239</v>
      </c>
      <c r="D11" s="973"/>
      <c r="E11" s="375"/>
      <c r="F11" s="974">
        <f ca="1">1-IF('数据-取费表'!B24=0,1,IF(C1="",'数据-取费表'!N16,INDIRECT("'数据-取费表'!n"&amp;$K$1)))</f>
        <v>1</v>
      </c>
      <c r="G11" s="8"/>
      <c r="H11" s="968"/>
      <c r="I11" s="968"/>
      <c r="J11" s="968"/>
      <c r="K11" s="969"/>
    </row>
    <row r="12" spans="1:33" s="975" customFormat="1" ht="13.5" customHeight="1">
      <c r="A12" s="971" t="s">
        <v>1331</v>
      </c>
      <c r="B12" s="972" t="s">
        <v>2479</v>
      </c>
      <c r="C12" s="24">
        <f ca="1">ROUND(C11*F12,0)</f>
        <v>3512</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1127</v>
      </c>
      <c r="D13" s="1033"/>
      <c r="E13" s="375"/>
      <c r="F13" s="976">
        <f>'数据-取费表'!B34</f>
        <v>0.03</v>
      </c>
      <c r="G13" s="8" t="s">
        <v>2482</v>
      </c>
      <c r="H13" s="968"/>
      <c r="I13" s="968"/>
      <c r="J13" s="968"/>
      <c r="K13" s="969"/>
    </row>
    <row r="14" spans="1:33" s="977" customFormat="1" ht="13.5" customHeight="1">
      <c r="A14" s="971" t="s">
        <v>1333</v>
      </c>
      <c r="B14" s="972" t="s">
        <v>2483</v>
      </c>
      <c r="C14" s="24">
        <f ca="1">ROUND(D14*E14*F11/10000,0)</f>
        <v>5761</v>
      </c>
      <c r="D14" s="1033">
        <f ca="1">IF(C1="",'数据-汇总表'!E3,INDIRECT("'数据-取费表'!K"&amp;$K$1)+INDIRECT("'数据-取费表'!S"&amp;$K$1))</f>
        <v>288059.01</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1054</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81693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5761</v>
      </c>
      <c r="D17" s="1033">
        <f ca="1">D14</f>
        <v>288059.01</v>
      </c>
      <c r="E17" s="24">
        <f>'数据-取费表'!B32</f>
        <v>200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4872</v>
      </c>
      <c r="D18" s="1033"/>
      <c r="E18" s="24"/>
      <c r="F18" s="976"/>
      <c r="G18" s="2556"/>
      <c r="H18" s="1576"/>
      <c r="I18" s="2557" t="s">
        <v>2491</v>
      </c>
      <c r="J18" s="979"/>
      <c r="K18" s="980"/>
    </row>
    <row r="19" spans="1:33" s="975" customFormat="1" ht="13.5" customHeight="1">
      <c r="A19" s="971" t="s">
        <v>805</v>
      </c>
      <c r="B19" s="972" t="s">
        <v>2492</v>
      </c>
      <c r="C19" s="24">
        <f ca="1">ROUND(D19*E19/10000,0)</f>
        <v>2255</v>
      </c>
      <c r="D19" s="1033">
        <f ca="1">IF(C1="",'数据-汇总表'!E5,IF(INDIRECT("'数据-取费表'!c"&amp;$K$1)="住宅",INDIRECT("'数据-取费表'!k"&amp;$K$1),0))</f>
        <v>150322.14999999997</v>
      </c>
      <c r="E19" s="24">
        <f>'数据-取费表'!B27</f>
        <v>150</v>
      </c>
      <c r="F19" s="976"/>
      <c r="G19" s="15"/>
      <c r="H19" s="1578"/>
      <c r="I19" s="981"/>
      <c r="J19" s="981"/>
      <c r="K19" s="982"/>
    </row>
    <row r="20" spans="1:33" s="975" customFormat="1" ht="13.5" customHeight="1">
      <c r="A20" s="971" t="s">
        <v>806</v>
      </c>
      <c r="B20" s="972" t="s">
        <v>2493</v>
      </c>
      <c r="C20" s="24">
        <f ca="1">ROUND(D20*E20/10000,0)</f>
        <v>2617</v>
      </c>
      <c r="D20" s="1033">
        <f ca="1">IF(C1="",'数据-汇总表'!E6,IF(INDIRECT("'数据-取费表'!c"&amp;$K$1)="住宅",INDIRECT("'数据-取费表'!s"&amp;$K$1),INDIRECT("'数据-取费表'!k"&amp;$K$1)+INDIRECT("'数据-取费表'!s"&amp;$K$1)))</f>
        <v>137736.86000000004</v>
      </c>
      <c r="E20" s="24">
        <f>'数据-取费表'!B28</f>
        <v>190</v>
      </c>
      <c r="F20" s="976"/>
      <c r="G20" s="15"/>
      <c r="H20" s="981"/>
      <c r="I20" s="981"/>
      <c r="J20" s="981"/>
      <c r="K20" s="982"/>
    </row>
    <row r="21" spans="1:33" s="975" customFormat="1" ht="13.5" customHeight="1">
      <c r="A21" s="961" t="s">
        <v>802</v>
      </c>
      <c r="B21" s="985" t="s">
        <v>2494</v>
      </c>
      <c r="C21" s="986">
        <f ca="1">C16+C17+C18</f>
        <v>92326</v>
      </c>
      <c r="D21" s="987"/>
      <c r="E21" s="325"/>
      <c r="F21" s="325"/>
      <c r="G21" s="140" t="s">
        <v>2495</v>
      </c>
      <c r="H21" s="979"/>
      <c r="I21" s="979"/>
      <c r="J21" s="979"/>
      <c r="K21" s="980"/>
    </row>
    <row r="22" spans="1:33" s="975" customFormat="1" ht="13.5" customHeight="1">
      <c r="A22" s="961" t="s">
        <v>2467</v>
      </c>
      <c r="B22" s="985" t="s">
        <v>2496</v>
      </c>
      <c r="C22" s="986">
        <f ca="1">ROUND(C21*F22,0)</f>
        <v>1847</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7751</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7348</v>
      </c>
      <c r="D25" s="324">
        <f ca="1">C26</f>
        <v>0.1537</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0.1537</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7348</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13250</v>
      </c>
      <c r="D28" s="324">
        <f ca="1">C29</f>
        <v>0.1338</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0.1338</v>
      </c>
      <c r="D29" s="328"/>
      <c r="E29" s="329"/>
      <c r="F29" s="334"/>
      <c r="G29" s="140" t="s">
        <v>2510</v>
      </c>
      <c r="H29" s="979"/>
      <c r="I29" s="979"/>
      <c r="J29" s="979"/>
      <c r="K29" s="980"/>
    </row>
    <row r="30" spans="1:33" s="335" customFormat="1" ht="13.5" customHeight="1">
      <c r="A30" s="971" t="s">
        <v>804</v>
      </c>
      <c r="B30" s="994" t="s">
        <v>2511</v>
      </c>
      <c r="C30" s="336">
        <f ca="1">ROUND((C21+C22+C23)*F28,0)</f>
        <v>13250</v>
      </c>
      <c r="D30" s="328"/>
      <c r="E30" s="329"/>
      <c r="F30" s="334"/>
      <c r="G30" s="140"/>
      <c r="H30" s="979"/>
      <c r="I30" s="979"/>
      <c r="J30" s="979"/>
      <c r="K30" s="980"/>
    </row>
    <row r="31" spans="1:33" s="975" customFormat="1" ht="13.5" customHeight="1" thickBot="1">
      <c r="A31" s="2560" t="s">
        <v>2512</v>
      </c>
      <c r="B31" s="1005" t="s">
        <v>2513</v>
      </c>
      <c r="C31" s="1006">
        <f>ROUND(C4*F31/(1+'数据-取费表'!C42),0)</f>
        <v>20299</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185882</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1" sqref="K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#DIV/0!</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0</v>
      </c>
      <c r="D5" s="1821" t="s">
        <v>1397</v>
      </c>
      <c r="E5" s="1293"/>
      <c r="F5" s="1294"/>
      <c r="G5" s="1850"/>
      <c r="H5" s="344">
        <v>1</v>
      </c>
      <c r="I5" s="345" t="s">
        <v>1396</v>
      </c>
      <c r="J5" s="1292">
        <f ca="1">J6+J10+J12</f>
        <v>0</v>
      </c>
      <c r="K5" s="1821" t="s">
        <v>1397</v>
      </c>
      <c r="L5" s="1293"/>
      <c r="M5" s="1294"/>
    </row>
    <row r="6" spans="1:37" ht="18" customHeight="1">
      <c r="A6" s="1291" t="s">
        <v>1032</v>
      </c>
      <c r="B6" s="3147" t="s">
        <v>1398</v>
      </c>
      <c r="C6" s="1296">
        <f ca="1">ROUND(F6*F8*F7*(1-F9)/10000,0)</f>
        <v>0</v>
      </c>
      <c r="D6" s="164" t="s">
        <v>3028</v>
      </c>
      <c r="E6" s="347" t="s">
        <v>1400</v>
      </c>
      <c r="F6" s="348">
        <f ca="1">INDIRECT("'数据-取费表'!u"&amp;$G$1)</f>
        <v>0</v>
      </c>
      <c r="G6" s="1850"/>
      <c r="H6" s="1291" t="s">
        <v>1032</v>
      </c>
      <c r="I6" s="3147" t="s">
        <v>1398</v>
      </c>
      <c r="J6" s="346">
        <f ca="1">ROUND(M6*M8*M7*(1-M9)/10000,0)</f>
        <v>0</v>
      </c>
      <c r="K6" s="164" t="s">
        <v>3027</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0"/>
      <c r="H7" s="349"/>
      <c r="I7" s="3148"/>
      <c r="J7" s="351"/>
      <c r="K7" s="352"/>
      <c r="L7" s="347" t="s">
        <v>1401</v>
      </c>
      <c r="M7" s="348">
        <f ca="1">F7</f>
        <v>0</v>
      </c>
    </row>
    <row r="8" spans="1:37" ht="18" customHeight="1">
      <c r="A8" s="349"/>
      <c r="B8" s="3148"/>
      <c r="C8" s="351"/>
      <c r="D8" s="352"/>
      <c r="E8" s="347" t="s">
        <v>1402</v>
      </c>
      <c r="F8" s="348">
        <f ca="1">INDIRECT("'数据-取费表'!ai"&amp;$G$1)</f>
        <v>0</v>
      </c>
      <c r="G8" s="1850"/>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0"/>
      <c r="H9" s="349"/>
      <c r="I9" s="3149"/>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3037</v>
      </c>
      <c r="E10" s="358" t="s">
        <v>1405</v>
      </c>
      <c r="F10" s="1366"/>
      <c r="G10" s="1850"/>
      <c r="H10" s="1291" t="s">
        <v>1036</v>
      </c>
      <c r="I10" s="1822" t="s">
        <v>1404</v>
      </c>
      <c r="J10" s="346">
        <f ca="1">ROUND(IF(M10="押一",J6/12*M11,IF(M10="押二",J6/12*2*M11,IF(M10="押三",J6/12*3*M11,J11*M11))),0)</f>
        <v>0</v>
      </c>
      <c r="K10" s="1823" t="s">
        <v>3036</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ROUND(F17*(F43+INDIRECT("'数据-取费表'!S"&amp;$G$1))/10000,0)</f>
        <v>0</v>
      </c>
      <c r="D17" s="347" t="s">
        <v>1422</v>
      </c>
      <c r="E17" s="347" t="s">
        <v>1423</v>
      </c>
      <c r="F17" s="26">
        <f>'数据-取费表'!B35</f>
        <v>200</v>
      </c>
      <c r="G17" s="1853"/>
      <c r="H17" s="1201" t="s">
        <v>1032</v>
      </c>
      <c r="I17" s="347" t="s">
        <v>1424</v>
      </c>
      <c r="J17" s="24">
        <f ca="1">ROUND(IF(项目基本情况!B11="自然人",J6*M17/(1+'数据-取费表'!C42),J18+J19+J20),1)</f>
        <v>0</v>
      </c>
      <c r="K17" s="1799" t="s">
        <v>1425</v>
      </c>
      <c r="L17" s="1797" t="s">
        <v>1426</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IF(K19="按租金收入计税",ROUND(J6*M19/(1+'数据-取费表'!C42),2),ROUND(C29*M19*0.7,2))</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ROUND(M20*M21/10000,2)</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ROUND(J13*M23,1)</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0</v>
      </c>
      <c r="D31" s="1799" t="s">
        <v>1425</v>
      </c>
      <c r="E31" s="1797" t="s">
        <v>1476</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1428</v>
      </c>
      <c r="C32" s="24">
        <f ca="1">IF(项目基本情况!B11="自然人","——",ROUND(C6*F32/(1+'数据-取费表'!C42),2))</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0</v>
      </c>
      <c r="D33" s="1827"/>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IF(项目基本情况!B11="自然人","——",ROUND(F34*F35/10000,2))</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ROUND(C29*F36,1)</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ROUND(C13*F37,1)</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ROUND(C40*10000/F43,0)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#DIV/0!</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3060</v>
      </c>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t="s">
        <v>3063</v>
      </c>
      <c r="K48" s="1888" t="s">
        <v>1526</v>
      </c>
      <c r="L48" s="1889">
        <f ca="1">INDIRECT("'数据-取费表'!f"&amp;$G$1)</f>
        <v>0</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3029</v>
      </c>
      <c r="E49" s="1829" t="s">
        <v>1486</v>
      </c>
      <c r="F49" s="1281"/>
      <c r="G49" s="1890"/>
      <c r="H49" s="793"/>
      <c r="I49" s="1886" t="s">
        <v>1529</v>
      </c>
      <c r="J49" s="1891">
        <v>2018</v>
      </c>
      <c r="K49" s="1888" t="s">
        <v>1530</v>
      </c>
      <c r="L49" s="1892"/>
      <c r="O49" s="1893" t="s">
        <v>1039</v>
      </c>
      <c r="P49" s="1884" t="s">
        <v>1531</v>
      </c>
      <c r="Q49" s="1885">
        <f ca="1">C29</f>
        <v>0</v>
      </c>
      <c r="R49" s="1885" t="s">
        <v>1524</v>
      </c>
    </row>
    <row r="50" spans="1:18" s="1841" customFormat="1" ht="13.5" thickBot="1">
      <c r="A50" s="1195"/>
      <c r="B50" s="1198"/>
      <c r="C50" s="1368"/>
      <c r="D50" s="1172"/>
      <c r="E50" s="1277" t="s">
        <v>1401</v>
      </c>
      <c r="F50" s="1278">
        <f ca="1">F7</f>
        <v>0</v>
      </c>
      <c r="H50" s="793"/>
      <c r="I50" s="1886" t="s">
        <v>1532</v>
      </c>
      <c r="J50" s="1894">
        <f>SUMPRODUCT((I63:I65=J47)*(J62:L62=J48)*(J63:L65))</f>
        <v>80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0</v>
      </c>
      <c r="I51" s="1897" t="s">
        <v>1535</v>
      </c>
      <c r="J51" s="1898">
        <f>IF(J49="",J50,J49+J50-YEAR('数据-取费表'!B2))</f>
        <v>79</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-3</v>
      </c>
      <c r="R52" s="1885" t="s">
        <v>1541</v>
      </c>
    </row>
    <row r="53" spans="1:18" s="1841" customFormat="1" ht="24.75" thickBot="1">
      <c r="A53" s="1405" t="s">
        <v>1134</v>
      </c>
      <c r="B53" s="1830" t="s">
        <v>1404</v>
      </c>
      <c r="C53" s="361">
        <f ca="1">ROUND(IF(F53="押一",C49/12*F11,IF(F53="押二",C49/12*2*F11,IF(F53="押三",C49/12*3*F11,C54*F11))),0)</f>
        <v>0</v>
      </c>
      <c r="D53" s="1823" t="s">
        <v>3036</v>
      </c>
      <c r="E53" s="358" t="s">
        <v>1405</v>
      </c>
      <c r="F53" s="1366"/>
      <c r="I53" s="1904" t="s">
        <v>1542</v>
      </c>
      <c r="J53" s="2950">
        <f ca="1">IF(M47="住宅",IF(D1="——",MAX(J51,L48),MAX(J51,L48-'数据-取费表'!B24)),IF(D1="——",MIN(J51,L48),MIN(J51,L48-'数据-取费表'!B24)))</f>
        <v>-3</v>
      </c>
      <c r="K53" s="3145" t="s">
        <v>1543</v>
      </c>
      <c r="L53" s="3146"/>
      <c r="O53" s="1883" t="s">
        <v>1043</v>
      </c>
      <c r="P53" s="1884" t="s">
        <v>1544</v>
      </c>
      <c r="Q53" s="1885" t="e">
        <f ca="1">Q47+Q48</f>
        <v>#DIV/0!</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0</v>
      </c>
      <c r="D56" s="1912"/>
      <c r="E56" s="1913"/>
      <c r="F56" s="1905"/>
      <c r="I56" s="1914" t="s">
        <v>1549</v>
      </c>
      <c r="J56" s="1915" t="s">
        <v>3059</v>
      </c>
      <c r="K56" s="1886" t="s">
        <v>1550</v>
      </c>
      <c r="L56" s="1889" t="str">
        <f ca="1">IF(L48&lt;J51,"——",L48-J53)</f>
        <v>——</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0</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0</v>
      </c>
      <c r="D59" s="1182" t="s">
        <v>1425</v>
      </c>
      <c r="E59" s="1183" t="s">
        <v>1426</v>
      </c>
      <c r="F59" s="368">
        <f ca="1">IF(项目基本情况!B11="企业","",IF(INDIRECT("'数据-取费表'!c"&amp;$G$1)="住宅",5%,IF(F49*F50*F51/12/(1+'数据-取费表'!C42)&gt;20000,12%,7%)))</f>
        <v>7.0000000000000007E-2</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ROUND(C48*F66,1)</f>
        <v>0</v>
      </c>
      <c r="D66" s="1183" t="s">
        <v>1500</v>
      </c>
      <c r="E66" s="1169" t="s">
        <v>1417</v>
      </c>
      <c r="F66" s="357">
        <f t="shared" ca="1" si="0"/>
        <v>0</v>
      </c>
      <c r="O66" s="1883" t="s">
        <v>1038</v>
      </c>
      <c r="P66" s="1884" t="s">
        <v>1553</v>
      </c>
      <c r="Q66" s="1885">
        <f ca="1">L60</f>
        <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c r="O70" s="1893" t="s">
        <v>1046</v>
      </c>
      <c r="P70" s="1932" t="s">
        <v>1580</v>
      </c>
      <c r="Q70" s="1885">
        <f ca="1">C13</f>
        <v>0</v>
      </c>
      <c r="R70" s="1885" t="s">
        <v>1524</v>
      </c>
    </row>
    <row r="71" spans="1:18" s="1841" customFormat="1" ht="13.5" thickBot="1">
      <c r="A71" s="1190" t="s">
        <v>1030</v>
      </c>
      <c r="B71" s="1191" t="s">
        <v>1482</v>
      </c>
      <c r="C71" s="382" t="e">
        <f ca="1">ROUND(C68*10000/F71,0)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147" t="s">
        <v>1398</v>
      </c>
      <c r="C6" s="1296">
        <f ca="1">ROUND(F6*F8*F7*(1-F9),0)</f>
        <v>0</v>
      </c>
      <c r="D6" s="164" t="s">
        <v>3025</v>
      </c>
      <c r="E6" s="347" t="s">
        <v>1400</v>
      </c>
      <c r="F6" s="348">
        <f ca="1">INDIRECT("'数据-取费表'!u"&amp;$G$1)</f>
        <v>0</v>
      </c>
      <c r="G6" s="1850"/>
      <c r="H6" s="1291" t="s">
        <v>1032</v>
      </c>
      <c r="I6" s="3147" t="s">
        <v>1398</v>
      </c>
      <c r="J6" s="346">
        <f ca="1">ROUND(M6*M8*M7*(1-M9),0)</f>
        <v>0</v>
      </c>
      <c r="K6" s="1833" t="s">
        <v>3026</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0"/>
      <c r="H7" s="349"/>
      <c r="I7" s="3148"/>
      <c r="J7" s="351"/>
      <c r="K7" s="352"/>
      <c r="L7" s="347" t="s">
        <v>1401</v>
      </c>
      <c r="M7" s="348">
        <f ca="1">F7</f>
        <v>0</v>
      </c>
    </row>
    <row r="8" spans="1:37" ht="18" customHeight="1">
      <c r="A8" s="349"/>
      <c r="B8" s="3148"/>
      <c r="C8" s="351"/>
      <c r="D8" s="352"/>
      <c r="E8" s="347" t="s">
        <v>1402</v>
      </c>
      <c r="F8" s="348">
        <f ca="1">INDIRECT("'数据-取费表'!ai"&amp;$G$1)</f>
        <v>0</v>
      </c>
      <c r="G8" s="1850"/>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0"/>
      <c r="H9" s="349"/>
      <c r="I9" s="3149"/>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3036</v>
      </c>
      <c r="E10" s="358" t="s">
        <v>1405</v>
      </c>
      <c r="F10" s="1366"/>
      <c r="G10" s="1850"/>
      <c r="H10" s="1291" t="s">
        <v>1036</v>
      </c>
      <c r="I10" s="1822" t="s">
        <v>1404</v>
      </c>
      <c r="J10" s="346">
        <f ca="1">ROUND(IF(M10="押一",J6/12*M11,IF(M10="押二",J6/12*2*M11,IF(M10="押三",J6/12*3*M11,J11*M11))),0)</f>
        <v>0</v>
      </c>
      <c r="K10" s="1834" t="s">
        <v>3038</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0.05</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200</v>
      </c>
      <c r="G17" s="1853"/>
      <c r="H17" s="1201" t="s">
        <v>1032</v>
      </c>
      <c r="I17" s="347" t="s">
        <v>1424</v>
      </c>
      <c r="J17" s="24">
        <f ca="1">ROUND(IF(项目基本情况!B11="自然人",J6*M17/(1+'数据-取费表'!C42),J18+J19+J20),0)</f>
        <v>0</v>
      </c>
      <c r="K17" s="1799" t="s">
        <v>1425</v>
      </c>
      <c r="L17" s="1797" t="s">
        <v>1426</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1.5</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-3</v>
      </c>
      <c r="R52" s="1885" t="s">
        <v>1541</v>
      </c>
    </row>
    <row r="53" spans="1:18" s="1841" customFormat="1" ht="30.75" customHeight="1" thickBot="1">
      <c r="A53" s="1361" t="s">
        <v>1134</v>
      </c>
      <c r="B53" s="369" t="s">
        <v>1404</v>
      </c>
      <c r="C53" s="361">
        <f ca="1">ROUND(IF(F53="押一",C49/12*F11,IF(F53="押二",C49/12*2*F11,IF(F53="押三",C49/12*3*F11,C54*F11))),0)</f>
        <v>0</v>
      </c>
      <c r="D53" s="1823" t="s">
        <v>3039</v>
      </c>
      <c r="E53" s="358" t="s">
        <v>1405</v>
      </c>
      <c r="F53" s="1366"/>
      <c r="I53" s="1904" t="s">
        <v>1542</v>
      </c>
      <c r="J53" s="2950">
        <f ca="1">IF(M47="住宅",IF(D1="——",MAX(J51,L48),MAX(J51,L48-'数据-取费表'!B24)),IF(D1="——",MIN(J51,L48),MIN(J51,L48-'数据-取费表'!B24)))</f>
        <v>-3</v>
      </c>
      <c r="K53" s="3145" t="s">
        <v>1543</v>
      </c>
      <c r="L53" s="3146"/>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f ca="1">IF(项目基本情况!B11="企业","",IF(INDIRECT("'数据-取费表'!c"&amp;$G$1)="住宅",5%,IF(F49*F50*F51/12/(1+'数据-取费表'!C42)&gt;20000,12%,7%)))</f>
        <v>7.0000000000000007E-2</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1.5</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0</v>
      </c>
      <c r="C2" s="2566" t="s">
        <v>2517</v>
      </c>
      <c r="D2" s="2567" t="s">
        <v>2518</v>
      </c>
      <c r="E2" s="2568">
        <f>SUM(E6:E13)</f>
        <v>0</v>
      </c>
    </row>
    <row r="3" spans="1:6" ht="15.75">
      <c r="A3" s="2564" t="s">
        <v>1390</v>
      </c>
      <c r="B3" s="2565" t="e">
        <f ca="1">ROUND(B2*10000/E2,0)</f>
        <v>#DIV/0!</v>
      </c>
      <c r="C3" s="2566" t="s">
        <v>2525</v>
      </c>
      <c r="D3" s="2569"/>
      <c r="E3" s="2570"/>
    </row>
    <row r="4" spans="1:6" ht="15.75">
      <c r="A4" s="2571"/>
      <c r="B4" s="2569"/>
      <c r="C4" s="2569"/>
      <c r="D4" s="2569"/>
      <c r="E4" s="2570"/>
    </row>
    <row r="5" spans="1:6" ht="15">
      <c r="A5" s="2572" t="s">
        <v>2519</v>
      </c>
      <c r="B5" s="3150" t="s">
        <v>2520</v>
      </c>
      <c r="C5" s="3150"/>
      <c r="D5" s="2573"/>
      <c r="E5" s="2574" t="s">
        <v>2521</v>
      </c>
      <c r="F5" s="2575" t="s">
        <v>2522</v>
      </c>
    </row>
    <row r="6" spans="1:6">
      <c r="A6" s="2576">
        <f>'数据-取费表'!AN6</f>
        <v>0</v>
      </c>
      <c r="B6" s="2575" t="e">
        <f ca="1">IF(F6="是",'数据-取费表'!AO6,0)</f>
        <v>#REF!</v>
      </c>
      <c r="C6" s="2566" t="s">
        <v>2517</v>
      </c>
      <c r="D6" s="2569"/>
      <c r="E6" s="2577">
        <f>IF(OR(A6=0,F6="否"),0,'数据-取费表'!K6+'数据-取费表'!S6)</f>
        <v>0</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4">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6"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2532</v>
      </c>
      <c r="D3" s="399">
        <f>IF(D1="",'数据-汇总表'!E3,SUMIF('数据-汇总表'!$C19:$C33,D1,'数据-汇总表'!$E19:$E33))</f>
        <v>288059.01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90" t="s">
        <v>2534</v>
      </c>
      <c r="D4" s="3191"/>
      <c r="E4" s="3192" t="s">
        <v>2535</v>
      </c>
      <c r="F4" s="3193"/>
      <c r="G4" s="3190" t="s">
        <v>2536</v>
      </c>
      <c r="H4" s="3191"/>
      <c r="I4" s="3190" t="s">
        <v>2537</v>
      </c>
      <c r="J4" s="3191"/>
      <c r="K4" s="2596" t="s">
        <v>2538</v>
      </c>
      <c r="L4" s="1130"/>
      <c r="M4" s="1131"/>
      <c r="N4" s="1131"/>
      <c r="O4" s="1131"/>
      <c r="P4" s="3194" t="s">
        <v>2539</v>
      </c>
      <c r="Q4" s="3195"/>
      <c r="R4" s="3177" t="s">
        <v>2535</v>
      </c>
      <c r="S4" s="3178"/>
      <c r="T4" s="3177" t="s">
        <v>2536</v>
      </c>
      <c r="U4" s="3178"/>
      <c r="V4" s="3202" t="s">
        <v>2537</v>
      </c>
      <c r="W4" s="3202"/>
      <c r="X4" s="1812"/>
      <c r="Y4" s="3177" t="s">
        <v>2539</v>
      </c>
      <c r="Z4" s="3178"/>
      <c r="AA4" s="3172" t="s">
        <v>2535</v>
      </c>
      <c r="AB4" s="3172" t="s">
        <v>2536</v>
      </c>
      <c r="AC4" s="3172" t="s">
        <v>2537</v>
      </c>
    </row>
    <row r="5" spans="1:29" ht="15">
      <c r="A5" s="404"/>
      <c r="B5" s="405"/>
      <c r="C5" s="3183" t="s">
        <v>2540</v>
      </c>
      <c r="D5" s="3184"/>
      <c r="E5" s="3181" t="s">
        <v>2541</v>
      </c>
      <c r="F5" s="3182"/>
      <c r="G5" s="3183" t="s">
        <v>2542</v>
      </c>
      <c r="H5" s="3184"/>
      <c r="I5" s="3183" t="s">
        <v>2543</v>
      </c>
      <c r="J5" s="3184"/>
      <c r="K5" s="2597"/>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2544</v>
      </c>
      <c r="D6" s="3186"/>
      <c r="E6" s="3187" t="s">
        <v>2544</v>
      </c>
      <c r="F6" s="3188"/>
      <c r="G6" s="3185" t="s">
        <v>2544</v>
      </c>
      <c r="H6" s="3186"/>
      <c r="I6" s="3185" t="s">
        <v>2544</v>
      </c>
      <c r="J6" s="3186"/>
      <c r="K6" s="2597" t="s">
        <v>2545</v>
      </c>
      <c r="L6" s="1130"/>
      <c r="M6" s="1131"/>
      <c r="N6" s="1131"/>
      <c r="O6" s="1131"/>
      <c r="P6" s="3198"/>
      <c r="Q6" s="3199"/>
      <c r="R6" s="3179"/>
      <c r="S6" s="3180"/>
      <c r="T6" s="3200"/>
      <c r="U6" s="3201"/>
      <c r="V6" s="3202"/>
      <c r="W6" s="3202"/>
      <c r="X6" s="1812"/>
      <c r="Y6" s="3200"/>
      <c r="Z6" s="3201"/>
      <c r="AA6" s="3174"/>
      <c r="AB6" s="3174"/>
      <c r="AC6" s="3174"/>
    </row>
    <row r="7" spans="1:29" s="117" customFormat="1" ht="15.75" thickBot="1">
      <c r="A7" s="408" t="s">
        <v>2546</v>
      </c>
      <c r="B7" s="409"/>
      <c r="C7" s="410">
        <f>'数据-取费表'!B2</f>
        <v>43759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5" t="s">
        <v>2547</v>
      </c>
      <c r="Q7" s="3203"/>
      <c r="R7" s="770" t="s">
        <v>23</v>
      </c>
      <c r="S7" s="771">
        <f t="shared" ref="S7:S15" si="0">F7</f>
        <v>0</v>
      </c>
      <c r="T7" s="770" t="s">
        <v>23</v>
      </c>
      <c r="U7" s="771">
        <f t="shared" ref="U7:U15" si="1">H7</f>
        <v>0</v>
      </c>
      <c r="V7" s="770" t="s">
        <v>23</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5" t="s">
        <v>2550</v>
      </c>
      <c r="Q8" s="3176"/>
      <c r="R8" s="770" t="s">
        <v>23</v>
      </c>
      <c r="S8" s="771">
        <f t="shared" si="0"/>
        <v>0</v>
      </c>
      <c r="T8" s="770" t="s">
        <v>23</v>
      </c>
      <c r="U8" s="771">
        <f t="shared" si="1"/>
        <v>0</v>
      </c>
      <c r="V8" s="770" t="s">
        <v>23</v>
      </c>
      <c r="W8" s="771">
        <f t="shared" si="2"/>
        <v>0</v>
      </c>
      <c r="X8" s="772"/>
      <c r="Y8" s="3175" t="s">
        <v>2550</v>
      </c>
      <c r="Z8" s="317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9" t="s">
        <v>2553</v>
      </c>
      <c r="Q9" s="1794"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4"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9"/>
      <c r="Q12" s="1794">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9"/>
      <c r="Q13" s="1794">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9"/>
      <c r="Q14" s="1794">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2558</v>
      </c>
      <c r="Q15" s="1809" t="str">
        <f t="shared" si="6"/>
        <v>居住社区成熟度</v>
      </c>
      <c r="R15" s="774" t="s">
        <v>21</v>
      </c>
      <c r="S15" s="775">
        <f t="shared" si="0"/>
        <v>100</v>
      </c>
      <c r="T15" s="774" t="s">
        <v>21</v>
      </c>
      <c r="U15" s="775">
        <f t="shared" si="1"/>
        <v>100</v>
      </c>
      <c r="V15" s="774" t="s">
        <v>21</v>
      </c>
      <c r="W15" s="775">
        <f t="shared" si="2"/>
        <v>100</v>
      </c>
      <c r="X15" s="1812"/>
      <c r="Y15" s="3209"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17"/>
      <c r="Q16" s="1809"/>
      <c r="R16" s="774"/>
      <c r="S16" s="775"/>
      <c r="T16" s="774"/>
      <c r="U16" s="775"/>
      <c r="V16" s="774"/>
      <c r="W16" s="775"/>
      <c r="X16" s="1812"/>
      <c r="Y16" s="3210"/>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09" t="str">
        <f>B17</f>
        <v>交通便捷度</v>
      </c>
      <c r="R17" s="774" t="s">
        <v>21</v>
      </c>
      <c r="S17" s="775">
        <f>F17</f>
        <v>100</v>
      </c>
      <c r="T17" s="774" t="s">
        <v>21</v>
      </c>
      <c r="U17" s="775">
        <f>H17</f>
        <v>100</v>
      </c>
      <c r="V17" s="774" t="s">
        <v>21</v>
      </c>
      <c r="W17" s="775">
        <f>J17</f>
        <v>100</v>
      </c>
      <c r="X17" s="1812"/>
      <c r="Y17" s="3210"/>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17"/>
      <c r="Q18" s="1809"/>
      <c r="R18" s="774"/>
      <c r="S18" s="775"/>
      <c r="T18" s="774"/>
      <c r="U18" s="775"/>
      <c r="V18" s="774"/>
      <c r="W18" s="775"/>
      <c r="X18" s="1812"/>
      <c r="Y18" s="3210"/>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09" t="str">
        <f>B19</f>
        <v>公共配套设施</v>
      </c>
      <c r="R19" s="774" t="s">
        <v>21</v>
      </c>
      <c r="S19" s="775">
        <f>F19</f>
        <v>100</v>
      </c>
      <c r="T19" s="774" t="s">
        <v>21</v>
      </c>
      <c r="U19" s="775">
        <f>H19</f>
        <v>100</v>
      </c>
      <c r="V19" s="774" t="s">
        <v>21</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17"/>
      <c r="Q20" s="1809"/>
      <c r="R20" s="774"/>
      <c r="S20" s="775"/>
      <c r="T20" s="774"/>
      <c r="U20" s="775"/>
      <c r="V20" s="774"/>
      <c r="W20" s="775"/>
      <c r="X20" s="1812"/>
      <c r="Y20" s="3210"/>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17"/>
      <c r="Q22" s="1809"/>
      <c r="R22" s="774"/>
      <c r="S22" s="775"/>
      <c r="T22" s="774"/>
      <c r="U22" s="775"/>
      <c r="V22" s="774"/>
      <c r="W22" s="775"/>
      <c r="X22" s="1812"/>
      <c r="Y22" s="3210"/>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09" t="str">
        <f>B23</f>
        <v>自然及人文环境</v>
      </c>
      <c r="R23" s="774" t="s">
        <v>21</v>
      </c>
      <c r="S23" s="775">
        <f>F23</f>
        <v>100</v>
      </c>
      <c r="T23" s="774" t="s">
        <v>21</v>
      </c>
      <c r="U23" s="775">
        <f>H23</f>
        <v>100</v>
      </c>
      <c r="V23" s="774" t="s">
        <v>21</v>
      </c>
      <c r="W23" s="775">
        <f>J23</f>
        <v>100</v>
      </c>
      <c r="X23" s="1812"/>
      <c r="Y23" s="3210"/>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17"/>
      <c r="Q24" s="1809"/>
      <c r="R24" s="774"/>
      <c r="S24" s="775"/>
      <c r="T24" s="774"/>
      <c r="U24" s="775"/>
      <c r="V24" s="774"/>
      <c r="W24" s="775"/>
      <c r="X24" s="1812"/>
      <c r="Y24" s="3210"/>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0"/>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7"/>
      <c r="Q26" s="1809" t="str">
        <f t="shared" si="11"/>
        <v>朝向</v>
      </c>
      <c r="R26" s="774" t="s">
        <v>21</v>
      </c>
      <c r="S26" s="775">
        <f t="shared" si="12"/>
        <v>100</v>
      </c>
      <c r="T26" s="774" t="s">
        <v>21</v>
      </c>
      <c r="U26" s="775">
        <f t="shared" si="13"/>
        <v>100</v>
      </c>
      <c r="V26" s="774" t="s">
        <v>21</v>
      </c>
      <c r="W26" s="775">
        <f t="shared" si="14"/>
        <v>100</v>
      </c>
      <c r="X26" s="1812"/>
      <c r="Y26" s="321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7"/>
      <c r="Q27" s="1794">
        <f t="shared" si="11"/>
        <v>111</v>
      </c>
      <c r="R27" s="770" t="s">
        <v>21</v>
      </c>
      <c r="S27" s="771">
        <f t="shared" si="12"/>
        <v>100</v>
      </c>
      <c r="T27" s="770" t="s">
        <v>21</v>
      </c>
      <c r="U27" s="771">
        <f t="shared" si="13"/>
        <v>100</v>
      </c>
      <c r="V27" s="770" t="s">
        <v>21</v>
      </c>
      <c r="W27" s="771">
        <f t="shared" si="14"/>
        <v>100</v>
      </c>
      <c r="X27" s="772"/>
      <c r="Y27" s="321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7"/>
      <c r="Q28" s="1809">
        <f t="shared" si="11"/>
        <v>111</v>
      </c>
      <c r="R28" s="774" t="s">
        <v>21</v>
      </c>
      <c r="S28" s="775">
        <f t="shared" si="12"/>
        <v>100</v>
      </c>
      <c r="T28" s="774" t="s">
        <v>21</v>
      </c>
      <c r="U28" s="775">
        <f t="shared" si="13"/>
        <v>100</v>
      </c>
      <c r="V28" s="774" t="s">
        <v>21</v>
      </c>
      <c r="W28" s="775">
        <f t="shared" si="14"/>
        <v>100</v>
      </c>
      <c r="X28" s="1812"/>
      <c r="Y28" s="321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7"/>
      <c r="Q29" s="1809">
        <f t="shared" si="11"/>
        <v>111</v>
      </c>
      <c r="R29" s="774" t="s">
        <v>21</v>
      </c>
      <c r="S29" s="775">
        <f t="shared" si="12"/>
        <v>100</v>
      </c>
      <c r="T29" s="774" t="s">
        <v>21</v>
      </c>
      <c r="U29" s="775">
        <f t="shared" si="13"/>
        <v>100</v>
      </c>
      <c r="V29" s="774" t="s">
        <v>21</v>
      </c>
      <c r="W29" s="775">
        <f t="shared" si="14"/>
        <v>100</v>
      </c>
      <c r="X29" s="1812"/>
      <c r="Y29" s="321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7"/>
      <c r="Q30" s="1809">
        <f t="shared" si="11"/>
        <v>111</v>
      </c>
      <c r="R30" s="774" t="s">
        <v>21</v>
      </c>
      <c r="S30" s="775">
        <f t="shared" si="12"/>
        <v>100</v>
      </c>
      <c r="T30" s="774" t="s">
        <v>21</v>
      </c>
      <c r="U30" s="775">
        <f t="shared" si="13"/>
        <v>100</v>
      </c>
      <c r="V30" s="774" t="s">
        <v>21</v>
      </c>
      <c r="W30" s="775">
        <f t="shared" si="14"/>
        <v>100</v>
      </c>
      <c r="X30" s="1812"/>
      <c r="Y30" s="321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7"/>
      <c r="Q31" s="1809">
        <f t="shared" si="11"/>
        <v>111</v>
      </c>
      <c r="R31" s="774" t="s">
        <v>21</v>
      </c>
      <c r="S31" s="775">
        <f t="shared" si="12"/>
        <v>100</v>
      </c>
      <c r="T31" s="774" t="s">
        <v>21</v>
      </c>
      <c r="U31" s="775">
        <f t="shared" si="13"/>
        <v>100</v>
      </c>
      <c r="V31" s="774" t="s">
        <v>21</v>
      </c>
      <c r="W31" s="775">
        <f t="shared" si="14"/>
        <v>100</v>
      </c>
      <c r="X31" s="1812"/>
      <c r="Y31" s="3210"/>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1" t="s">
        <v>2563</v>
      </c>
      <c r="Q32" s="1809" t="str">
        <f t="shared" si="11"/>
        <v>建筑类型</v>
      </c>
      <c r="R32" s="774" t="s">
        <v>21</v>
      </c>
      <c r="S32" s="775">
        <f t="shared" si="12"/>
        <v>100</v>
      </c>
      <c r="T32" s="774" t="s">
        <v>21</v>
      </c>
      <c r="U32" s="775">
        <f t="shared" si="13"/>
        <v>100</v>
      </c>
      <c r="V32" s="774" t="s">
        <v>21</v>
      </c>
      <c r="W32" s="775">
        <f t="shared" si="14"/>
        <v>100</v>
      </c>
      <c r="X32" s="1812"/>
      <c r="Y32" s="3214"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2"/>
      <c r="Q34" s="1809" t="str">
        <f t="shared" si="11"/>
        <v>建筑结构</v>
      </c>
      <c r="R34" s="774" t="s">
        <v>21</v>
      </c>
      <c r="S34" s="775">
        <f t="shared" si="12"/>
        <v>100</v>
      </c>
      <c r="T34" s="774" t="s">
        <v>21</v>
      </c>
      <c r="U34" s="775">
        <f t="shared" si="13"/>
        <v>100</v>
      </c>
      <c r="V34" s="774" t="s">
        <v>21</v>
      </c>
      <c r="W34" s="775">
        <f t="shared" si="14"/>
        <v>100</v>
      </c>
      <c r="X34" s="1812"/>
      <c r="Y34" s="3214"/>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2"/>
      <c r="Q35" s="1809" t="str">
        <f t="shared" si="11"/>
        <v>建筑品质</v>
      </c>
      <c r="R35" s="774" t="s">
        <v>21</v>
      </c>
      <c r="S35" s="775">
        <f t="shared" si="12"/>
        <v>100</v>
      </c>
      <c r="T35" s="774" t="s">
        <v>21</v>
      </c>
      <c r="U35" s="775">
        <f t="shared" si="13"/>
        <v>100</v>
      </c>
      <c r="V35" s="774" t="s">
        <v>21</v>
      </c>
      <c r="W35" s="775">
        <f t="shared" si="14"/>
        <v>100</v>
      </c>
      <c r="X35" s="1812"/>
      <c r="Y35" s="3214"/>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2"/>
      <c r="Q36" s="1809" t="str">
        <f t="shared" si="11"/>
        <v>公共部分装修</v>
      </c>
      <c r="R36" s="774" t="s">
        <v>21</v>
      </c>
      <c r="S36" s="775">
        <f t="shared" si="12"/>
        <v>100</v>
      </c>
      <c r="T36" s="774" t="s">
        <v>21</v>
      </c>
      <c r="U36" s="775">
        <f t="shared" si="13"/>
        <v>100</v>
      </c>
      <c r="V36" s="774" t="s">
        <v>21</v>
      </c>
      <c r="W36" s="775">
        <f t="shared" si="14"/>
        <v>100</v>
      </c>
      <c r="X36" s="1812"/>
      <c r="Y36" s="3214"/>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4"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2" t="s">
        <v>2563</v>
      </c>
      <c r="Q38" s="1809" t="str">
        <f t="shared" si="11"/>
        <v>物业管理</v>
      </c>
      <c r="R38" s="774" t="s">
        <v>21</v>
      </c>
      <c r="S38" s="775">
        <f t="shared" si="12"/>
        <v>100</v>
      </c>
      <c r="T38" s="774" t="s">
        <v>21</v>
      </c>
      <c r="U38" s="775">
        <f t="shared" si="13"/>
        <v>100</v>
      </c>
      <c r="V38" s="774" t="s">
        <v>21</v>
      </c>
      <c r="W38" s="775">
        <f t="shared" si="14"/>
        <v>100</v>
      </c>
      <c r="X38" s="1812"/>
      <c r="Y38" s="3214"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2"/>
      <c r="Q39" s="1809" t="str">
        <f t="shared" si="11"/>
        <v>市政基础设施</v>
      </c>
      <c r="R39" s="774" t="s">
        <v>21</v>
      </c>
      <c r="S39" s="775">
        <f t="shared" si="12"/>
        <v>100</v>
      </c>
      <c r="T39" s="774" t="s">
        <v>21</v>
      </c>
      <c r="U39" s="775">
        <f t="shared" si="13"/>
        <v>100</v>
      </c>
      <c r="V39" s="774" t="s">
        <v>21</v>
      </c>
      <c r="W39" s="775">
        <f t="shared" si="14"/>
        <v>100</v>
      </c>
      <c r="X39" s="1812"/>
      <c r="Y39" s="3214"/>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2"/>
      <c r="Q40" s="1809" t="str">
        <f t="shared" si="11"/>
        <v>房型</v>
      </c>
      <c r="R40" s="774" t="s">
        <v>21</v>
      </c>
      <c r="S40" s="775">
        <f t="shared" si="12"/>
        <v>100</v>
      </c>
      <c r="T40" s="774" t="s">
        <v>21</v>
      </c>
      <c r="U40" s="775">
        <f t="shared" si="13"/>
        <v>100</v>
      </c>
      <c r="V40" s="774" t="s">
        <v>21</v>
      </c>
      <c r="W40" s="775">
        <f t="shared" si="14"/>
        <v>100</v>
      </c>
      <c r="X40" s="1812"/>
      <c r="Y40" s="3214"/>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2"/>
      <c r="Q42" s="1809" t="str">
        <f t="shared" si="11"/>
        <v>内部装修</v>
      </c>
      <c r="R42" s="774" t="s">
        <v>21</v>
      </c>
      <c r="S42" s="775">
        <f t="shared" si="12"/>
        <v>100</v>
      </c>
      <c r="T42" s="774" t="s">
        <v>21</v>
      </c>
      <c r="U42" s="775">
        <f t="shared" si="13"/>
        <v>100</v>
      </c>
      <c r="V42" s="774" t="s">
        <v>21</v>
      </c>
      <c r="W42" s="775">
        <f t="shared" si="14"/>
        <v>100</v>
      </c>
      <c r="X42" s="1812"/>
      <c r="Y42" s="3214"/>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2"/>
      <c r="Q43" s="1809" t="str">
        <f t="shared" si="11"/>
        <v>内部装修维护情况</v>
      </c>
      <c r="R43" s="774" t="s">
        <v>21</v>
      </c>
      <c r="S43" s="775">
        <f t="shared" si="12"/>
        <v>100</v>
      </c>
      <c r="T43" s="774" t="s">
        <v>21</v>
      </c>
      <c r="U43" s="775">
        <f t="shared" si="13"/>
        <v>100</v>
      </c>
      <c r="V43" s="774" t="s">
        <v>21</v>
      </c>
      <c r="W43" s="775">
        <f t="shared" si="14"/>
        <v>100</v>
      </c>
      <c r="X43" s="1812"/>
      <c r="Y43" s="321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2"/>
      <c r="Q44" s="1794">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2"/>
      <c r="Q45" s="1809">
        <f t="shared" si="11"/>
        <v>111</v>
      </c>
      <c r="R45" s="774" t="s">
        <v>21</v>
      </c>
      <c r="S45" s="775">
        <f t="shared" si="12"/>
        <v>100</v>
      </c>
      <c r="T45" s="774" t="s">
        <v>21</v>
      </c>
      <c r="U45" s="775">
        <f t="shared" si="13"/>
        <v>100</v>
      </c>
      <c r="V45" s="774" t="s">
        <v>21</v>
      </c>
      <c r="W45" s="775">
        <f t="shared" si="14"/>
        <v>100</v>
      </c>
      <c r="X45" s="1812"/>
      <c r="Y45" s="3214"/>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3"/>
      <c r="Q46" s="1809">
        <f t="shared" si="11"/>
        <v>111</v>
      </c>
      <c r="R46" s="774" t="s">
        <v>20</v>
      </c>
      <c r="S46" s="775">
        <f t="shared" si="12"/>
        <v>100</v>
      </c>
      <c r="T46" s="774" t="s">
        <v>20</v>
      </c>
      <c r="U46" s="775">
        <f t="shared" si="13"/>
        <v>100</v>
      </c>
      <c r="V46" s="774" t="s">
        <v>20</v>
      </c>
      <c r="W46" s="775">
        <f t="shared" si="14"/>
        <v>100</v>
      </c>
      <c r="X46" s="1812"/>
      <c r="Y46" s="3215"/>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288059.01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90" t="s">
        <v>2644</v>
      </c>
      <c r="D4" s="3191"/>
      <c r="E4" s="3192" t="s">
        <v>2645</v>
      </c>
      <c r="F4" s="3193"/>
      <c r="G4" s="3190" t="s">
        <v>2646</v>
      </c>
      <c r="H4" s="3191"/>
      <c r="I4" s="3190" t="s">
        <v>2647</v>
      </c>
      <c r="J4" s="3191"/>
      <c r="K4" s="610" t="s">
        <v>2648</v>
      </c>
      <c r="L4" s="1130"/>
      <c r="M4" s="1131"/>
      <c r="N4" s="1131"/>
      <c r="O4" s="1131"/>
      <c r="P4" s="3194" t="s">
        <v>2649</v>
      </c>
      <c r="Q4" s="3195"/>
      <c r="R4" s="3177" t="s">
        <v>2645</v>
      </c>
      <c r="S4" s="3178"/>
      <c r="T4" s="3177" t="s">
        <v>2646</v>
      </c>
      <c r="U4" s="3178"/>
      <c r="V4" s="3202" t="s">
        <v>2647</v>
      </c>
      <c r="W4" s="3202"/>
      <c r="X4" s="1812"/>
      <c r="Y4" s="3177" t="s">
        <v>2649</v>
      </c>
      <c r="Z4" s="3178"/>
      <c r="AA4" s="3172" t="s">
        <v>2645</v>
      </c>
      <c r="AB4" s="3202" t="s">
        <v>2646</v>
      </c>
      <c r="AC4" s="3172" t="s">
        <v>2647</v>
      </c>
    </row>
    <row r="5" spans="1:29" ht="15">
      <c r="A5" s="404"/>
      <c r="B5" s="405"/>
      <c r="C5" s="3183" t="s">
        <v>2540</v>
      </c>
      <c r="D5" s="3184"/>
      <c r="E5" s="3181" t="s">
        <v>2541</v>
      </c>
      <c r="F5" s="3182"/>
      <c r="G5" s="3183" t="s">
        <v>2542</v>
      </c>
      <c r="H5" s="3184"/>
      <c r="I5" s="3183" t="s">
        <v>2543</v>
      </c>
      <c r="J5" s="3184"/>
      <c r="K5" s="610"/>
      <c r="L5" s="1130"/>
      <c r="M5" s="1131"/>
      <c r="N5" s="1131"/>
      <c r="O5" s="1131"/>
      <c r="P5" s="3196"/>
      <c r="Q5" s="3197"/>
      <c r="R5" s="3179"/>
      <c r="S5" s="3180"/>
      <c r="T5" s="3179"/>
      <c r="U5" s="3180"/>
      <c r="V5" s="3202"/>
      <c r="W5" s="3202"/>
      <c r="X5" s="1812"/>
      <c r="Y5" s="3179"/>
      <c r="Z5" s="3180"/>
      <c r="AA5" s="3173"/>
      <c r="AB5" s="3202"/>
      <c r="AC5" s="3173"/>
    </row>
    <row r="6" spans="1:29" ht="15.75" thickBot="1">
      <c r="A6" s="406"/>
      <c r="B6" s="407"/>
      <c r="C6" s="3185" t="s">
        <v>2544</v>
      </c>
      <c r="D6" s="3186"/>
      <c r="E6" s="3187" t="s">
        <v>2544</v>
      </c>
      <c r="F6" s="3188"/>
      <c r="G6" s="3185" t="s">
        <v>2544</v>
      </c>
      <c r="H6" s="3186"/>
      <c r="I6" s="3185" t="s">
        <v>2544</v>
      </c>
      <c r="J6" s="3186"/>
      <c r="K6" s="610" t="s">
        <v>2545</v>
      </c>
      <c r="L6" s="1130"/>
      <c r="M6" s="1131"/>
      <c r="N6" s="1131"/>
      <c r="O6" s="1131"/>
      <c r="P6" s="3198"/>
      <c r="Q6" s="3199"/>
      <c r="R6" s="3179"/>
      <c r="S6" s="3180"/>
      <c r="T6" s="3200"/>
      <c r="U6" s="3201"/>
      <c r="V6" s="3202"/>
      <c r="W6" s="3202"/>
      <c r="X6" s="1812"/>
      <c r="Y6" s="3200"/>
      <c r="Z6" s="3201"/>
      <c r="AA6" s="3174"/>
      <c r="AB6" s="3202"/>
      <c r="AC6" s="3174"/>
    </row>
    <row r="7" spans="1:29" s="117" customFormat="1" ht="15.75" thickBot="1">
      <c r="A7" s="408" t="s">
        <v>2546</v>
      </c>
      <c r="B7" s="409"/>
      <c r="C7" s="410">
        <f>'数据-取费表'!B2</f>
        <v>43759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2550</v>
      </c>
      <c r="Q8" s="3176"/>
      <c r="R8" s="770" t="s">
        <v>17</v>
      </c>
      <c r="S8" s="771">
        <f t="shared" si="0"/>
        <v>0</v>
      </c>
      <c r="T8" s="770" t="s">
        <v>17</v>
      </c>
      <c r="U8" s="771">
        <f t="shared" si="1"/>
        <v>0</v>
      </c>
      <c r="V8" s="770" t="s">
        <v>17</v>
      </c>
      <c r="W8" s="771">
        <f t="shared" si="2"/>
        <v>0</v>
      </c>
      <c r="X8" s="772"/>
      <c r="Y8" s="3175" t="s">
        <v>2550</v>
      </c>
      <c r="Z8" s="317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2553</v>
      </c>
      <c r="Q9" s="1794"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2558</v>
      </c>
      <c r="Q15" s="1809" t="str">
        <f t="shared" si="6"/>
        <v>商业繁华度</v>
      </c>
      <c r="R15" s="774" t="s">
        <v>17</v>
      </c>
      <c r="S15" s="775">
        <f t="shared" si="0"/>
        <v>100</v>
      </c>
      <c r="T15" s="774" t="s">
        <v>17</v>
      </c>
      <c r="U15" s="775">
        <f t="shared" si="1"/>
        <v>100</v>
      </c>
      <c r="V15" s="774" t="s">
        <v>17</v>
      </c>
      <c r="W15" s="775">
        <f t="shared" si="2"/>
        <v>100</v>
      </c>
      <c r="X15" s="1812"/>
      <c r="Y15" s="3209"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7"/>
      <c r="Q16" s="1809"/>
      <c r="R16" s="774"/>
      <c r="S16" s="775"/>
      <c r="T16" s="774"/>
      <c r="U16" s="775"/>
      <c r="V16" s="774"/>
      <c r="W16" s="775"/>
      <c r="X16" s="1812"/>
      <c r="Y16" s="3210"/>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17"/>
      <c r="Q18" s="1809"/>
      <c r="R18" s="774"/>
      <c r="S18" s="775"/>
      <c r="T18" s="774"/>
      <c r="U18" s="775"/>
      <c r="V18" s="774"/>
      <c r="W18" s="775"/>
      <c r="X18" s="1812"/>
      <c r="Y18" s="3210"/>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17"/>
      <c r="Q20" s="1809"/>
      <c r="R20" s="774"/>
      <c r="S20" s="775"/>
      <c r="T20" s="774"/>
      <c r="U20" s="775"/>
      <c r="V20" s="774"/>
      <c r="W20" s="775"/>
      <c r="X20" s="1812"/>
      <c r="Y20" s="3210"/>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17"/>
      <c r="Q22" s="1809"/>
      <c r="R22" s="774"/>
      <c r="S22" s="775"/>
      <c r="T22" s="774"/>
      <c r="U22" s="775"/>
      <c r="V22" s="774"/>
      <c r="W22" s="775"/>
      <c r="X22" s="1812"/>
      <c r="Y22" s="3210"/>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09" t="str">
        <f>B23</f>
        <v>自然及人文环境</v>
      </c>
      <c r="R23" s="774" t="s">
        <v>17</v>
      </c>
      <c r="S23" s="775">
        <f>F23</f>
        <v>100</v>
      </c>
      <c r="T23" s="774" t="s">
        <v>17</v>
      </c>
      <c r="U23" s="775">
        <f>H23</f>
        <v>100</v>
      </c>
      <c r="V23" s="774" t="s">
        <v>17</v>
      </c>
      <c r="W23" s="775">
        <f>J23</f>
        <v>100</v>
      </c>
      <c r="X23" s="1812"/>
      <c r="Y23" s="3210"/>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17"/>
      <c r="Q24" s="1809"/>
      <c r="R24" s="774"/>
      <c r="S24" s="775"/>
      <c r="T24" s="774"/>
      <c r="U24" s="775"/>
      <c r="V24" s="774"/>
      <c r="W24" s="775"/>
      <c r="X24" s="1812"/>
      <c r="Y24" s="3210"/>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09" t="str">
        <f t="shared" ref="Q25:Q46" si="11">B25</f>
        <v>临街状况</v>
      </c>
      <c r="R25" s="774" t="s">
        <v>17</v>
      </c>
      <c r="S25" s="775">
        <f>F25</f>
        <v>100</v>
      </c>
      <c r="T25" s="774" t="s">
        <v>17</v>
      </c>
      <c r="U25" s="775">
        <f>H25</f>
        <v>100</v>
      </c>
      <c r="V25" s="774" t="s">
        <v>17</v>
      </c>
      <c r="W25" s="775">
        <f>J25</f>
        <v>100</v>
      </c>
      <c r="X25" s="1812"/>
      <c r="Y25" s="3210"/>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09" t="str">
        <f t="shared" si="11"/>
        <v>平面位置/可视性</v>
      </c>
      <c r="R26" s="774" t="s">
        <v>17</v>
      </c>
      <c r="S26" s="775">
        <f>F26</f>
        <v>100</v>
      </c>
      <c r="T26" s="774" t="s">
        <v>17</v>
      </c>
      <c r="U26" s="775">
        <f>H26</f>
        <v>100</v>
      </c>
      <c r="V26" s="774" t="s">
        <v>17</v>
      </c>
      <c r="W26" s="775">
        <f>J26</f>
        <v>100</v>
      </c>
      <c r="X26" s="1812"/>
      <c r="Y26" s="3210"/>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7"/>
      <c r="Q27" s="1794" t="str">
        <f t="shared" si="11"/>
        <v>人流量</v>
      </c>
      <c r="R27" s="770" t="s">
        <v>17</v>
      </c>
      <c r="S27" s="771">
        <f>F27</f>
        <v>100</v>
      </c>
      <c r="T27" s="770" t="s">
        <v>17</v>
      </c>
      <c r="U27" s="771">
        <f>H27</f>
        <v>100</v>
      </c>
      <c r="V27" s="770" t="s">
        <v>17</v>
      </c>
      <c r="W27" s="771">
        <f>J27</f>
        <v>100</v>
      </c>
      <c r="X27" s="772"/>
      <c r="Y27" s="3210"/>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09">
        <f t="shared" si="11"/>
        <v>111</v>
      </c>
      <c r="R29" s="774" t="s">
        <v>17</v>
      </c>
      <c r="S29" s="775">
        <f t="shared" si="12"/>
        <v>100</v>
      </c>
      <c r="T29" s="774" t="s">
        <v>17</v>
      </c>
      <c r="U29" s="775">
        <f t="shared" si="13"/>
        <v>100</v>
      </c>
      <c r="V29" s="774" t="s">
        <v>17</v>
      </c>
      <c r="W29" s="775">
        <f t="shared" si="14"/>
        <v>100</v>
      </c>
      <c r="X29" s="1812"/>
      <c r="Y29" s="321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1" t="s">
        <v>2563</v>
      </c>
      <c r="Q32" s="1809" t="str">
        <f t="shared" si="11"/>
        <v>商业类型</v>
      </c>
      <c r="R32" s="774" t="s">
        <v>17</v>
      </c>
      <c r="S32" s="775">
        <f t="shared" si="12"/>
        <v>100</v>
      </c>
      <c r="T32" s="774" t="s">
        <v>17</v>
      </c>
      <c r="U32" s="775">
        <f t="shared" si="13"/>
        <v>100</v>
      </c>
      <c r="V32" s="774" t="s">
        <v>17</v>
      </c>
      <c r="W32" s="775">
        <f t="shared" si="14"/>
        <v>100</v>
      </c>
      <c r="X32" s="1812"/>
      <c r="Y32" s="3214"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2"/>
      <c r="Q34" s="1809" t="str">
        <f t="shared" si="11"/>
        <v>建筑结构</v>
      </c>
      <c r="R34" s="774" t="s">
        <v>17</v>
      </c>
      <c r="S34" s="775">
        <f t="shared" si="12"/>
        <v>100</v>
      </c>
      <c r="T34" s="774" t="s">
        <v>17</v>
      </c>
      <c r="U34" s="775">
        <f t="shared" si="13"/>
        <v>100</v>
      </c>
      <c r="V34" s="774" t="s">
        <v>17</v>
      </c>
      <c r="W34" s="775">
        <f t="shared" si="14"/>
        <v>100</v>
      </c>
      <c r="X34" s="1812"/>
      <c r="Y34" s="3214"/>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2"/>
      <c r="Q35" s="1809" t="str">
        <f t="shared" si="11"/>
        <v>公共部分装修</v>
      </c>
      <c r="R35" s="774" t="s">
        <v>17</v>
      </c>
      <c r="S35" s="775">
        <f t="shared" si="12"/>
        <v>100</v>
      </c>
      <c r="T35" s="774" t="s">
        <v>17</v>
      </c>
      <c r="U35" s="775">
        <f t="shared" si="13"/>
        <v>100</v>
      </c>
      <c r="V35" s="774" t="s">
        <v>17</v>
      </c>
      <c r="W35" s="775">
        <f t="shared" si="14"/>
        <v>100</v>
      </c>
      <c r="X35" s="1812"/>
      <c r="Y35" s="3214"/>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09" t="str">
        <f t="shared" si="11"/>
        <v>成新度</v>
      </c>
      <c r="R36" s="774" t="s">
        <v>17</v>
      </c>
      <c r="S36" s="775" t="e">
        <f t="shared" si="12"/>
        <v>#N/A</v>
      </c>
      <c r="T36" s="774" t="s">
        <v>17</v>
      </c>
      <c r="U36" s="775" t="e">
        <f t="shared" si="13"/>
        <v>#N/A</v>
      </c>
      <c r="V36" s="774" t="s">
        <v>17</v>
      </c>
      <c r="W36" s="775" t="e">
        <f t="shared" si="14"/>
        <v>#N/A</v>
      </c>
      <c r="X36" s="1812"/>
      <c r="Y36" s="3214"/>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2"/>
      <c r="Q37" s="1794"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2" t="s">
        <v>2563</v>
      </c>
      <c r="Q38" s="1809" t="str">
        <f t="shared" si="11"/>
        <v>业态</v>
      </c>
      <c r="R38" s="774" t="s">
        <v>17</v>
      </c>
      <c r="S38" s="775">
        <f t="shared" si="12"/>
        <v>100</v>
      </c>
      <c r="T38" s="774" t="s">
        <v>17</v>
      </c>
      <c r="U38" s="775">
        <f t="shared" si="13"/>
        <v>100</v>
      </c>
      <c r="V38" s="774" t="s">
        <v>17</v>
      </c>
      <c r="W38" s="775">
        <f t="shared" si="14"/>
        <v>100</v>
      </c>
      <c r="X38" s="1812"/>
      <c r="Y38" s="3214"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2"/>
      <c r="Q39" s="1809" t="str">
        <f t="shared" si="11"/>
        <v>层高</v>
      </c>
      <c r="R39" s="774" t="s">
        <v>17</v>
      </c>
      <c r="S39" s="775">
        <f t="shared" si="12"/>
        <v>100</v>
      </c>
      <c r="T39" s="774" t="s">
        <v>17</v>
      </c>
      <c r="U39" s="775">
        <f t="shared" si="13"/>
        <v>100</v>
      </c>
      <c r="V39" s="774" t="s">
        <v>17</v>
      </c>
      <c r="W39" s="775">
        <f t="shared" si="14"/>
        <v>100</v>
      </c>
      <c r="X39" s="1812"/>
      <c r="Y39" s="3214"/>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09" t="str">
        <f t="shared" si="11"/>
        <v>单套建筑面积</v>
      </c>
      <c r="R40" s="774" t="s">
        <v>17</v>
      </c>
      <c r="S40" s="775">
        <f t="shared" si="12"/>
        <v>100</v>
      </c>
      <c r="T40" s="774" t="s">
        <v>17</v>
      </c>
      <c r="U40" s="775">
        <f t="shared" si="13"/>
        <v>100</v>
      </c>
      <c r="V40" s="774" t="s">
        <v>17</v>
      </c>
      <c r="W40" s="775">
        <f t="shared" si="14"/>
        <v>100</v>
      </c>
      <c r="X40" s="1812"/>
      <c r="Y40" s="3214"/>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2"/>
      <c r="Q42" s="1809" t="str">
        <f t="shared" si="11"/>
        <v>内部装修</v>
      </c>
      <c r="R42" s="774" t="s">
        <v>17</v>
      </c>
      <c r="S42" s="775">
        <f t="shared" si="12"/>
        <v>100</v>
      </c>
      <c r="T42" s="774" t="s">
        <v>17</v>
      </c>
      <c r="U42" s="775">
        <f t="shared" si="13"/>
        <v>100</v>
      </c>
      <c r="V42" s="774" t="s">
        <v>17</v>
      </c>
      <c r="W42" s="775">
        <f t="shared" si="14"/>
        <v>100</v>
      </c>
      <c r="X42" s="1812"/>
      <c r="Y42" s="3214"/>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2"/>
      <c r="Q43" s="1809" t="str">
        <f t="shared" si="11"/>
        <v>内部装修维护情况</v>
      </c>
      <c r="R43" s="774" t="s">
        <v>17</v>
      </c>
      <c r="S43" s="775">
        <f t="shared" si="12"/>
        <v>100</v>
      </c>
      <c r="T43" s="774" t="s">
        <v>17</v>
      </c>
      <c r="U43" s="775">
        <f t="shared" si="13"/>
        <v>100</v>
      </c>
      <c r="V43" s="774" t="s">
        <v>17</v>
      </c>
      <c r="W43" s="775">
        <f t="shared" si="14"/>
        <v>100</v>
      </c>
      <c r="X43" s="1812"/>
      <c r="Y43" s="321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4">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09">
        <f t="shared" si="11"/>
        <v>111</v>
      </c>
      <c r="R45" s="774" t="s">
        <v>17</v>
      </c>
      <c r="S45" s="775">
        <f t="shared" si="12"/>
        <v>100</v>
      </c>
      <c r="T45" s="774" t="s">
        <v>17</v>
      </c>
      <c r="U45" s="775">
        <f t="shared" si="13"/>
        <v>100</v>
      </c>
      <c r="V45" s="774" t="s">
        <v>17</v>
      </c>
      <c r="W45" s="775">
        <f t="shared" si="14"/>
        <v>100</v>
      </c>
      <c r="X45" s="1812"/>
      <c r="Y45" s="3214"/>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09">
        <f t="shared" si="11"/>
        <v>111</v>
      </c>
      <c r="R46" s="774" t="s">
        <v>17</v>
      </c>
      <c r="S46" s="775">
        <f t="shared" si="12"/>
        <v>100</v>
      </c>
      <c r="T46" s="774" t="s">
        <v>17</v>
      </c>
      <c r="U46" s="775">
        <f t="shared" si="13"/>
        <v>100</v>
      </c>
      <c r="V46" s="774" t="s">
        <v>17</v>
      </c>
      <c r="W46" s="775">
        <f t="shared" si="14"/>
        <v>100</v>
      </c>
      <c r="X46" s="1812"/>
      <c r="Y46" s="3215"/>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288059.01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0" t="s">
        <v>2644</v>
      </c>
      <c r="D4" s="3191"/>
      <c r="E4" s="3192" t="s">
        <v>2645</v>
      </c>
      <c r="F4" s="3193"/>
      <c r="G4" s="3190" t="s">
        <v>2646</v>
      </c>
      <c r="H4" s="3191"/>
      <c r="I4" s="3190" t="s">
        <v>2647</v>
      </c>
      <c r="J4" s="3191"/>
      <c r="K4" s="610" t="s">
        <v>2648</v>
      </c>
      <c r="L4" s="1130"/>
      <c r="M4" s="1131"/>
      <c r="N4" s="1131"/>
      <c r="O4" s="1131"/>
      <c r="P4" s="3224" t="s">
        <v>2649</v>
      </c>
      <c r="Q4" s="3225"/>
      <c r="R4" s="3219" t="s">
        <v>2645</v>
      </c>
      <c r="S4" s="3220"/>
      <c r="T4" s="3219" t="s">
        <v>2646</v>
      </c>
      <c r="U4" s="3220"/>
      <c r="V4" s="3228" t="s">
        <v>2647</v>
      </c>
      <c r="W4" s="3228"/>
      <c r="X4" s="2670"/>
      <c r="Y4" s="3219" t="s">
        <v>2649</v>
      </c>
      <c r="Z4" s="3220"/>
      <c r="AA4" s="3218" t="s">
        <v>2645</v>
      </c>
      <c r="AB4" s="3218" t="s">
        <v>2646</v>
      </c>
      <c r="AC4" s="3221" t="s">
        <v>2647</v>
      </c>
    </row>
    <row r="5" spans="1:29" ht="15">
      <c r="A5" s="404"/>
      <c r="B5" s="405"/>
      <c r="C5" s="3183" t="s">
        <v>2540</v>
      </c>
      <c r="D5" s="3184"/>
      <c r="E5" s="3181" t="s">
        <v>2541</v>
      </c>
      <c r="F5" s="3182"/>
      <c r="G5" s="3183" t="s">
        <v>2542</v>
      </c>
      <c r="H5" s="3184"/>
      <c r="I5" s="3183" t="s">
        <v>2543</v>
      </c>
      <c r="J5" s="3184"/>
      <c r="K5" s="610"/>
      <c r="L5" s="1130"/>
      <c r="M5" s="1131"/>
      <c r="N5" s="1131"/>
      <c r="O5" s="1131"/>
      <c r="P5" s="3226"/>
      <c r="Q5" s="3197"/>
      <c r="R5" s="3179"/>
      <c r="S5" s="3180"/>
      <c r="T5" s="3179"/>
      <c r="U5" s="3180"/>
      <c r="V5" s="3202"/>
      <c r="W5" s="3202"/>
      <c r="X5" s="1812"/>
      <c r="Y5" s="3179"/>
      <c r="Z5" s="3180"/>
      <c r="AA5" s="3173"/>
      <c r="AB5" s="3173"/>
      <c r="AC5" s="3222"/>
    </row>
    <row r="6" spans="1:29" ht="15.75" thickBot="1">
      <c r="A6" s="406"/>
      <c r="B6" s="407"/>
      <c r="C6" s="3185" t="s">
        <v>2544</v>
      </c>
      <c r="D6" s="3186"/>
      <c r="E6" s="3187" t="s">
        <v>2544</v>
      </c>
      <c r="F6" s="3188"/>
      <c r="G6" s="3185" t="s">
        <v>2544</v>
      </c>
      <c r="H6" s="3186"/>
      <c r="I6" s="3185" t="s">
        <v>2544</v>
      </c>
      <c r="J6" s="3186"/>
      <c r="K6" s="610" t="s">
        <v>2545</v>
      </c>
      <c r="L6" s="1130"/>
      <c r="M6" s="1131"/>
      <c r="N6" s="1131"/>
      <c r="O6" s="1131"/>
      <c r="P6" s="3227"/>
      <c r="Q6" s="3199"/>
      <c r="R6" s="3179"/>
      <c r="S6" s="3180"/>
      <c r="T6" s="3200"/>
      <c r="U6" s="3201"/>
      <c r="V6" s="3202"/>
      <c r="W6" s="3202"/>
      <c r="X6" s="1812"/>
      <c r="Y6" s="3200"/>
      <c r="Z6" s="3201"/>
      <c r="AA6" s="3174"/>
      <c r="AB6" s="3174"/>
      <c r="AC6" s="3223"/>
    </row>
    <row r="7" spans="1:29" s="117" customFormat="1" ht="15.75" thickBot="1">
      <c r="A7" s="408" t="s">
        <v>2546</v>
      </c>
      <c r="B7" s="409"/>
      <c r="C7" s="410">
        <f>'数据-取费表'!B2</f>
        <v>43759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2550</v>
      </c>
      <c r="Q8" s="3176"/>
      <c r="R8" s="770" t="s">
        <v>17</v>
      </c>
      <c r="S8" s="771">
        <f t="shared" si="0"/>
        <v>0</v>
      </c>
      <c r="T8" s="770" t="s">
        <v>17</v>
      </c>
      <c r="U8" s="771">
        <f t="shared" si="1"/>
        <v>0</v>
      </c>
      <c r="V8" s="770" t="s">
        <v>17</v>
      </c>
      <c r="W8" s="771">
        <f t="shared" si="2"/>
        <v>0</v>
      </c>
      <c r="X8" s="772"/>
      <c r="Y8" s="3175" t="s">
        <v>2550</v>
      </c>
      <c r="Z8" s="3176"/>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2553</v>
      </c>
      <c r="Q9" s="1794"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9"/>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9"/>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9"/>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2558</v>
      </c>
      <c r="Q15" s="1809" t="str">
        <f t="shared" si="6"/>
        <v>办公集聚程度</v>
      </c>
      <c r="R15" s="774" t="s">
        <v>17</v>
      </c>
      <c r="S15" s="775">
        <f t="shared" si="0"/>
        <v>100</v>
      </c>
      <c r="T15" s="774" t="s">
        <v>17</v>
      </c>
      <c r="U15" s="775">
        <f t="shared" si="1"/>
        <v>100</v>
      </c>
      <c r="V15" s="774" t="s">
        <v>17</v>
      </c>
      <c r="W15" s="775">
        <f t="shared" si="2"/>
        <v>100</v>
      </c>
      <c r="X15" s="1812"/>
      <c r="Y15" s="3209"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17"/>
      <c r="Q16" s="1809"/>
      <c r="R16" s="774"/>
      <c r="S16" s="775"/>
      <c r="T16" s="774"/>
      <c r="U16" s="775"/>
      <c r="V16" s="774"/>
      <c r="W16" s="775"/>
      <c r="X16" s="1812"/>
      <c r="Y16" s="3210"/>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7"/>
      <c r="Q18" s="1809"/>
      <c r="R18" s="774"/>
      <c r="S18" s="775"/>
      <c r="T18" s="774"/>
      <c r="U18" s="775"/>
      <c r="V18" s="774"/>
      <c r="W18" s="775"/>
      <c r="X18" s="1812"/>
      <c r="Y18" s="3210"/>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7"/>
      <c r="Q20" s="1809"/>
      <c r="R20" s="774"/>
      <c r="S20" s="775"/>
      <c r="T20" s="774"/>
      <c r="U20" s="775"/>
      <c r="V20" s="774"/>
      <c r="W20" s="775"/>
      <c r="X20" s="1812"/>
      <c r="Y20" s="3210"/>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7"/>
      <c r="Q22" s="1809"/>
      <c r="R22" s="774"/>
      <c r="S22" s="775"/>
      <c r="T22" s="774"/>
      <c r="U22" s="775"/>
      <c r="V22" s="774"/>
      <c r="W22" s="775"/>
      <c r="X22" s="1812"/>
      <c r="Y22" s="3210"/>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7"/>
      <c r="Q24" s="1809"/>
      <c r="R24" s="774"/>
      <c r="S24" s="775"/>
      <c r="T24" s="774"/>
      <c r="U24" s="775"/>
      <c r="V24" s="774"/>
      <c r="W24" s="775"/>
      <c r="X24" s="1812"/>
      <c r="Y24" s="3210"/>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7"/>
      <c r="Q25" s="1809" t="str">
        <f>B25</f>
        <v>毗邻道路的类型与等级</v>
      </c>
      <c r="R25" s="774" t="s">
        <v>17</v>
      </c>
      <c r="S25" s="775">
        <f>F25</f>
        <v>100</v>
      </c>
      <c r="T25" s="774" t="s">
        <v>17</v>
      </c>
      <c r="U25" s="775">
        <f>H25</f>
        <v>100</v>
      </c>
      <c r="V25" s="774" t="s">
        <v>17</v>
      </c>
      <c r="W25" s="775">
        <f>J25</f>
        <v>100</v>
      </c>
      <c r="X25" s="1812"/>
      <c r="Y25" s="3210"/>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17"/>
      <c r="Q26" s="1809"/>
      <c r="R26" s="774"/>
      <c r="S26" s="775"/>
      <c r="T26" s="774"/>
      <c r="U26" s="775"/>
      <c r="V26" s="774"/>
      <c r="W26" s="775"/>
      <c r="X26" s="1812"/>
      <c r="Y26" s="3210"/>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09" t="str">
        <f t="shared" ref="Q27:Q47" si="11">B27</f>
        <v>楼层</v>
      </c>
      <c r="R27" s="774" t="s">
        <v>17</v>
      </c>
      <c r="S27" s="775">
        <f>F27</f>
        <v>100</v>
      </c>
      <c r="T27" s="774" t="s">
        <v>17</v>
      </c>
      <c r="U27" s="775">
        <f>H27</f>
        <v>100</v>
      </c>
      <c r="V27" s="774" t="s">
        <v>17</v>
      </c>
      <c r="W27" s="775">
        <f>J27</f>
        <v>100</v>
      </c>
      <c r="X27" s="1812"/>
      <c r="Y27" s="3210"/>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7"/>
      <c r="Q28" s="1794" t="str">
        <f t="shared" si="11"/>
        <v>朝向</v>
      </c>
      <c r="R28" s="770" t="s">
        <v>17</v>
      </c>
      <c r="S28" s="771">
        <f>F28</f>
        <v>100</v>
      </c>
      <c r="T28" s="770" t="s">
        <v>17</v>
      </c>
      <c r="U28" s="771">
        <f>H28</f>
        <v>100</v>
      </c>
      <c r="V28" s="770" t="s">
        <v>17</v>
      </c>
      <c r="W28" s="771">
        <f>J28</f>
        <v>100</v>
      </c>
      <c r="X28" s="772"/>
      <c r="Y28" s="3210"/>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7"/>
      <c r="Q29" s="1809">
        <f t="shared" si="11"/>
        <v>111</v>
      </c>
      <c r="R29" s="774" t="s">
        <v>17</v>
      </c>
      <c r="S29" s="775">
        <f t="shared" ref="S29:S47" si="12">F29</f>
        <v>100</v>
      </c>
      <c r="T29" s="774" t="s">
        <v>17</v>
      </c>
      <c r="U29" s="775">
        <f t="shared" ref="U29:U47" si="13">H29</f>
        <v>100</v>
      </c>
      <c r="V29" s="774" t="s">
        <v>17</v>
      </c>
      <c r="W29" s="775">
        <f t="shared" ref="W29:W47" si="14">J29</f>
        <v>100</v>
      </c>
      <c r="X29" s="1812"/>
      <c r="Y29" s="3210"/>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7"/>
      <c r="Q30" s="1809">
        <f t="shared" si="11"/>
        <v>111</v>
      </c>
      <c r="R30" s="774" t="s">
        <v>17</v>
      </c>
      <c r="S30" s="775">
        <f t="shared" si="12"/>
        <v>100</v>
      </c>
      <c r="T30" s="774" t="s">
        <v>17</v>
      </c>
      <c r="U30" s="775">
        <f t="shared" si="13"/>
        <v>100</v>
      </c>
      <c r="V30" s="774" t="s">
        <v>17</v>
      </c>
      <c r="W30" s="775">
        <f t="shared" si="14"/>
        <v>100</v>
      </c>
      <c r="X30" s="1812"/>
      <c r="Y30" s="3210"/>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7"/>
      <c r="Q31" s="1809">
        <f t="shared" si="11"/>
        <v>111</v>
      </c>
      <c r="R31" s="774" t="s">
        <v>17</v>
      </c>
      <c r="S31" s="775">
        <f t="shared" si="12"/>
        <v>100</v>
      </c>
      <c r="T31" s="774" t="s">
        <v>17</v>
      </c>
      <c r="U31" s="775">
        <f t="shared" si="13"/>
        <v>100</v>
      </c>
      <c r="V31" s="774" t="s">
        <v>17</v>
      </c>
      <c r="W31" s="775">
        <f t="shared" si="14"/>
        <v>100</v>
      </c>
      <c r="X31" s="1812"/>
      <c r="Y31" s="3210"/>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7"/>
      <c r="Q32" s="1809">
        <f t="shared" si="11"/>
        <v>111</v>
      </c>
      <c r="R32" s="774" t="s">
        <v>17</v>
      </c>
      <c r="S32" s="775">
        <f t="shared" si="12"/>
        <v>100</v>
      </c>
      <c r="T32" s="774" t="s">
        <v>17</v>
      </c>
      <c r="U32" s="775">
        <f t="shared" si="13"/>
        <v>100</v>
      </c>
      <c r="V32" s="774" t="s">
        <v>17</v>
      </c>
      <c r="W32" s="775">
        <f t="shared" si="14"/>
        <v>100</v>
      </c>
      <c r="X32" s="1812"/>
      <c r="Y32" s="3210"/>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1" t="s">
        <v>2563</v>
      </c>
      <c r="Q33" s="1809" t="str">
        <f t="shared" si="11"/>
        <v>建筑类型</v>
      </c>
      <c r="R33" s="774" t="s">
        <v>17</v>
      </c>
      <c r="S33" s="775">
        <f t="shared" si="12"/>
        <v>100</v>
      </c>
      <c r="T33" s="774" t="s">
        <v>17</v>
      </c>
      <c r="U33" s="775">
        <f t="shared" si="13"/>
        <v>100</v>
      </c>
      <c r="V33" s="774" t="s">
        <v>17</v>
      </c>
      <c r="W33" s="775">
        <f t="shared" si="14"/>
        <v>100</v>
      </c>
      <c r="X33" s="1812"/>
      <c r="Y33" s="3214"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09" t="str">
        <f t="shared" si="11"/>
        <v>建筑结构</v>
      </c>
      <c r="R35" s="774" t="s">
        <v>17</v>
      </c>
      <c r="S35" s="775">
        <f t="shared" si="12"/>
        <v>100</v>
      </c>
      <c r="T35" s="774" t="s">
        <v>17</v>
      </c>
      <c r="U35" s="775">
        <f t="shared" si="13"/>
        <v>100</v>
      </c>
      <c r="V35" s="774" t="s">
        <v>17</v>
      </c>
      <c r="W35" s="775">
        <f t="shared" si="14"/>
        <v>100</v>
      </c>
      <c r="X35" s="1812"/>
      <c r="Y35" s="3214"/>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09" t="str">
        <f t="shared" si="11"/>
        <v>公共部分装修</v>
      </c>
      <c r="R36" s="774" t="s">
        <v>17</v>
      </c>
      <c r="S36" s="775">
        <f t="shared" si="12"/>
        <v>100</v>
      </c>
      <c r="T36" s="774" t="s">
        <v>17</v>
      </c>
      <c r="U36" s="775">
        <f t="shared" si="13"/>
        <v>100</v>
      </c>
      <c r="V36" s="774" t="s">
        <v>17</v>
      </c>
      <c r="W36" s="775">
        <f t="shared" si="14"/>
        <v>100</v>
      </c>
      <c r="X36" s="1812"/>
      <c r="Y36" s="3214"/>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09" t="str">
        <f t="shared" si="11"/>
        <v>成新度</v>
      </c>
      <c r="R37" s="774" t="s">
        <v>17</v>
      </c>
      <c r="S37" s="775" t="e">
        <f t="shared" si="12"/>
        <v>#N/A</v>
      </c>
      <c r="T37" s="774" t="s">
        <v>17</v>
      </c>
      <c r="U37" s="775" t="e">
        <f t="shared" si="13"/>
        <v>#N/A</v>
      </c>
      <c r="V37" s="774" t="s">
        <v>17</v>
      </c>
      <c r="W37" s="775" t="e">
        <f t="shared" si="14"/>
        <v>#N/A</v>
      </c>
      <c r="X37" s="1812"/>
      <c r="Y37" s="3214"/>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4"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2563</v>
      </c>
      <c r="Q39" s="1809" t="str">
        <f t="shared" si="11"/>
        <v>物业管理</v>
      </c>
      <c r="R39" s="774" t="s">
        <v>17</v>
      </c>
      <c r="S39" s="775">
        <f t="shared" si="12"/>
        <v>100</v>
      </c>
      <c r="T39" s="774" t="s">
        <v>17</v>
      </c>
      <c r="U39" s="775">
        <f t="shared" si="13"/>
        <v>100</v>
      </c>
      <c r="V39" s="774" t="s">
        <v>17</v>
      </c>
      <c r="W39" s="775">
        <f t="shared" si="14"/>
        <v>100</v>
      </c>
      <c r="X39" s="1812"/>
      <c r="Y39" s="3214"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09" t="str">
        <f t="shared" si="11"/>
        <v>市政基础设施</v>
      </c>
      <c r="R40" s="774" t="s">
        <v>17</v>
      </c>
      <c r="S40" s="775">
        <f t="shared" si="12"/>
        <v>100</v>
      </c>
      <c r="T40" s="774" t="s">
        <v>17</v>
      </c>
      <c r="U40" s="775">
        <f t="shared" si="13"/>
        <v>100</v>
      </c>
      <c r="V40" s="774" t="s">
        <v>17</v>
      </c>
      <c r="W40" s="775">
        <f t="shared" si="14"/>
        <v>100</v>
      </c>
      <c r="X40" s="1812"/>
      <c r="Y40" s="3214"/>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09" t="str">
        <f t="shared" si="11"/>
        <v>层高</v>
      </c>
      <c r="R41" s="774" t="s">
        <v>17</v>
      </c>
      <c r="S41" s="775">
        <f t="shared" si="12"/>
        <v>100</v>
      </c>
      <c r="T41" s="774" t="s">
        <v>17</v>
      </c>
      <c r="U41" s="775">
        <f t="shared" si="13"/>
        <v>100</v>
      </c>
      <c r="V41" s="774" t="s">
        <v>17</v>
      </c>
      <c r="W41" s="775">
        <f t="shared" si="14"/>
        <v>100</v>
      </c>
      <c r="X41" s="1812"/>
      <c r="Y41" s="3214"/>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09" t="str">
        <f t="shared" si="11"/>
        <v>内部装修</v>
      </c>
      <c r="R43" s="774" t="s">
        <v>17</v>
      </c>
      <c r="S43" s="775">
        <f t="shared" si="12"/>
        <v>100</v>
      </c>
      <c r="T43" s="774" t="s">
        <v>17</v>
      </c>
      <c r="U43" s="775">
        <f t="shared" si="13"/>
        <v>100</v>
      </c>
      <c r="V43" s="774" t="s">
        <v>17</v>
      </c>
      <c r="W43" s="775">
        <f t="shared" si="14"/>
        <v>100</v>
      </c>
      <c r="X43" s="1812"/>
      <c r="Y43" s="3214"/>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2"/>
      <c r="Q44" s="1809" t="str">
        <f t="shared" si="11"/>
        <v>内部装修维护情况</v>
      </c>
      <c r="R44" s="774" t="s">
        <v>17</v>
      </c>
      <c r="S44" s="775">
        <f t="shared" si="12"/>
        <v>100</v>
      </c>
      <c r="T44" s="774" t="s">
        <v>17</v>
      </c>
      <c r="U44" s="775">
        <f t="shared" si="13"/>
        <v>100</v>
      </c>
      <c r="V44" s="774" t="s">
        <v>17</v>
      </c>
      <c r="W44" s="775">
        <f t="shared" si="14"/>
        <v>100</v>
      </c>
      <c r="X44" s="1812"/>
      <c r="Y44" s="3214"/>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4">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09">
        <f t="shared" si="11"/>
        <v>111</v>
      </c>
      <c r="R46" s="774" t="s">
        <v>17</v>
      </c>
      <c r="S46" s="775">
        <f t="shared" si="12"/>
        <v>100</v>
      </c>
      <c r="T46" s="774" t="s">
        <v>17</v>
      </c>
      <c r="U46" s="775">
        <f t="shared" si="13"/>
        <v>100</v>
      </c>
      <c r="V46" s="774" t="s">
        <v>17</v>
      </c>
      <c r="W46" s="775">
        <f t="shared" si="14"/>
        <v>100</v>
      </c>
      <c r="X46" s="1812"/>
      <c r="Y46" s="3214"/>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09">
        <f t="shared" si="11"/>
        <v>111</v>
      </c>
      <c r="R47" s="774" t="s">
        <v>17</v>
      </c>
      <c r="S47" s="775">
        <f t="shared" si="12"/>
        <v>100</v>
      </c>
      <c r="T47" s="774" t="s">
        <v>17</v>
      </c>
      <c r="U47" s="775">
        <f t="shared" si="13"/>
        <v>100</v>
      </c>
      <c r="V47" s="774" t="s">
        <v>17</v>
      </c>
      <c r="W47" s="775">
        <f t="shared" si="14"/>
        <v>100</v>
      </c>
      <c r="X47" s="1812"/>
      <c r="Y47" s="3215"/>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288059.01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30"/>
      <c r="M4" s="1131"/>
      <c r="N4" s="1131"/>
      <c r="O4" s="1131"/>
      <c r="P4" s="3194" t="s">
        <v>2649</v>
      </c>
      <c r="Q4" s="3195"/>
      <c r="R4" s="3177" t="s">
        <v>2645</v>
      </c>
      <c r="S4" s="3178"/>
      <c r="T4" s="3177" t="s">
        <v>2646</v>
      </c>
      <c r="U4" s="3178"/>
      <c r="V4" s="3202" t="s">
        <v>2647</v>
      </c>
      <c r="W4" s="3202"/>
      <c r="X4" s="1812"/>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2544</v>
      </c>
      <c r="D6" s="3186"/>
      <c r="E6" s="3187" t="s">
        <v>2544</v>
      </c>
      <c r="F6" s="3188"/>
      <c r="G6" s="3185" t="s">
        <v>2544</v>
      </c>
      <c r="H6" s="3186"/>
      <c r="I6" s="3185" t="s">
        <v>2544</v>
      </c>
      <c r="J6" s="3186"/>
      <c r="K6" s="610" t="s">
        <v>2545</v>
      </c>
      <c r="L6" s="1130"/>
      <c r="M6" s="1131"/>
      <c r="N6" s="1131"/>
      <c r="O6" s="1131"/>
      <c r="P6" s="3198"/>
      <c r="Q6" s="3199"/>
      <c r="R6" s="3179"/>
      <c r="S6" s="3180"/>
      <c r="T6" s="3200"/>
      <c r="U6" s="3201"/>
      <c r="V6" s="3202"/>
      <c r="W6" s="3202"/>
      <c r="X6" s="1812"/>
      <c r="Y6" s="3200"/>
      <c r="Z6" s="3201"/>
      <c r="AA6" s="3174"/>
      <c r="AB6" s="3174"/>
      <c r="AC6" s="3174"/>
    </row>
    <row r="7" spans="1:29" s="117" customFormat="1" ht="15.75" thickBot="1">
      <c r="A7" s="408" t="s">
        <v>2546</v>
      </c>
      <c r="B7" s="409"/>
      <c r="C7" s="410">
        <f>'数据-取费表'!B2</f>
        <v>43759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2550</v>
      </c>
      <c r="Q8" s="3176"/>
      <c r="R8" s="770" t="s">
        <v>17</v>
      </c>
      <c r="S8" s="771">
        <f t="shared" si="0"/>
        <v>0</v>
      </c>
      <c r="T8" s="770" t="s">
        <v>17</v>
      </c>
      <c r="U8" s="771">
        <f t="shared" si="1"/>
        <v>0</v>
      </c>
      <c r="V8" s="770" t="s">
        <v>17</v>
      </c>
      <c r="W8" s="771">
        <f t="shared" si="2"/>
        <v>0</v>
      </c>
      <c r="X8" s="772"/>
      <c r="Y8" s="3175" t="s">
        <v>2550</v>
      </c>
      <c r="Z8" s="317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2553</v>
      </c>
      <c r="Q9" s="1794"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7"/>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7"/>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7"/>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2558</v>
      </c>
      <c r="Q15" s="1809" t="str">
        <f t="shared" si="6"/>
        <v>产业集聚程度</v>
      </c>
      <c r="R15" s="774" t="s">
        <v>17</v>
      </c>
      <c r="S15" s="775">
        <f t="shared" si="0"/>
        <v>100</v>
      </c>
      <c r="T15" s="774" t="s">
        <v>17</v>
      </c>
      <c r="U15" s="775">
        <f t="shared" si="1"/>
        <v>100</v>
      </c>
      <c r="V15" s="774" t="s">
        <v>17</v>
      </c>
      <c r="W15" s="775">
        <f t="shared" si="2"/>
        <v>100</v>
      </c>
      <c r="X15" s="1812"/>
      <c r="Y15" s="3209"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10"/>
      <c r="Q18" s="1809"/>
      <c r="R18" s="774"/>
      <c r="S18" s="775"/>
      <c r="T18" s="774"/>
      <c r="U18" s="775"/>
      <c r="V18" s="774"/>
      <c r="W18" s="775"/>
      <c r="X18" s="1812"/>
      <c r="Y18" s="3210"/>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09" t="str">
        <f>B19</f>
        <v>公共配套设施</v>
      </c>
      <c r="R19" s="774" t="s">
        <v>17</v>
      </c>
      <c r="S19" s="775">
        <f>F19</f>
        <v>100</v>
      </c>
      <c r="T19" s="774" t="s">
        <v>17</v>
      </c>
      <c r="U19" s="775">
        <f>H19</f>
        <v>100</v>
      </c>
      <c r="V19" s="774" t="s">
        <v>17</v>
      </c>
      <c r="W19" s="775">
        <f>J19</f>
        <v>100</v>
      </c>
      <c r="X19" s="1812"/>
      <c r="Y19" s="3210"/>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10"/>
      <c r="Q20" s="1809"/>
      <c r="R20" s="774"/>
      <c r="S20" s="775"/>
      <c r="T20" s="774"/>
      <c r="U20" s="775"/>
      <c r="V20" s="774"/>
      <c r="W20" s="775"/>
      <c r="X20" s="1812"/>
      <c r="Y20" s="3210"/>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09" t="str">
        <f>B21</f>
        <v>基础设施水平</v>
      </c>
      <c r="R21" s="774" t="s">
        <v>17</v>
      </c>
      <c r="S21" s="775">
        <f>F21</f>
        <v>100</v>
      </c>
      <c r="T21" s="774" t="s">
        <v>17</v>
      </c>
      <c r="U21" s="775">
        <f>H21</f>
        <v>100</v>
      </c>
      <c r="V21" s="774" t="s">
        <v>17</v>
      </c>
      <c r="W21" s="775">
        <f>J21</f>
        <v>100</v>
      </c>
      <c r="X21" s="1812"/>
      <c r="Y21" s="3210"/>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10"/>
      <c r="Q22" s="1809"/>
      <c r="R22" s="774"/>
      <c r="S22" s="775"/>
      <c r="T22" s="774"/>
      <c r="U22" s="775"/>
      <c r="V22" s="774"/>
      <c r="W22" s="775"/>
      <c r="X22" s="1812"/>
      <c r="Y22" s="3210"/>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09" t="str">
        <f>B23</f>
        <v>环境质量</v>
      </c>
      <c r="R23" s="774" t="s">
        <v>17</v>
      </c>
      <c r="S23" s="775">
        <f>F23</f>
        <v>100</v>
      </c>
      <c r="T23" s="774" t="s">
        <v>17</v>
      </c>
      <c r="U23" s="775">
        <f>H23</f>
        <v>100</v>
      </c>
      <c r="V23" s="774" t="s">
        <v>17</v>
      </c>
      <c r="W23" s="775">
        <f>J23</f>
        <v>100</v>
      </c>
      <c r="X23" s="1812"/>
      <c r="Y23" s="3210"/>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10"/>
      <c r="Q24" s="1809"/>
      <c r="R24" s="774"/>
      <c r="S24" s="775"/>
      <c r="T24" s="774"/>
      <c r="U24" s="775"/>
      <c r="V24" s="774"/>
      <c r="W24" s="775"/>
      <c r="X24" s="1812"/>
      <c r="Y24" s="321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09">
        <f>B25</f>
        <v>111</v>
      </c>
      <c r="R25" s="774" t="s">
        <v>17</v>
      </c>
      <c r="S25" s="775">
        <f>F25</f>
        <v>100</v>
      </c>
      <c r="T25" s="774" t="s">
        <v>17</v>
      </c>
      <c r="U25" s="775">
        <f>H25</f>
        <v>100</v>
      </c>
      <c r="V25" s="774" t="s">
        <v>17</v>
      </c>
      <c r="W25" s="775">
        <f>J25</f>
        <v>100</v>
      </c>
      <c r="X25" s="1812"/>
      <c r="Y25" s="321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09">
        <f t="shared" ref="Q26:Q40" si="11">B26</f>
        <v>111</v>
      </c>
      <c r="R26" s="774" t="s">
        <v>17</v>
      </c>
      <c r="S26" s="775">
        <f>F26</f>
        <v>100</v>
      </c>
      <c r="T26" s="774" t="s">
        <v>17</v>
      </c>
      <c r="U26" s="775">
        <f>H26</f>
        <v>100</v>
      </c>
      <c r="V26" s="774" t="s">
        <v>17</v>
      </c>
      <c r="W26" s="775">
        <f>J26</f>
        <v>100</v>
      </c>
      <c r="X26" s="1812"/>
      <c r="Y26" s="321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4">
        <f t="shared" si="11"/>
        <v>111</v>
      </c>
      <c r="R27" s="770" t="s">
        <v>17</v>
      </c>
      <c r="S27" s="771">
        <f>F27</f>
        <v>100</v>
      </c>
      <c r="T27" s="770" t="s">
        <v>17</v>
      </c>
      <c r="U27" s="771">
        <f>H27</f>
        <v>100</v>
      </c>
      <c r="V27" s="770" t="s">
        <v>17</v>
      </c>
      <c r="W27" s="771">
        <f>J27</f>
        <v>100</v>
      </c>
      <c r="X27" s="772"/>
      <c r="Y27" s="321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09">
        <f t="shared" si="11"/>
        <v>111</v>
      </c>
      <c r="R28" s="774" t="s">
        <v>17</v>
      </c>
      <c r="S28" s="775">
        <f t="shared" ref="S28:S40" si="12">F28</f>
        <v>100</v>
      </c>
      <c r="T28" s="774" t="s">
        <v>17</v>
      </c>
      <c r="U28" s="775">
        <f t="shared" ref="U28:U40" si="13">H28</f>
        <v>100</v>
      </c>
      <c r="V28" s="774" t="s">
        <v>17</v>
      </c>
      <c r="W28" s="775">
        <f t="shared" ref="W28:W40" si="14">J28</f>
        <v>100</v>
      </c>
      <c r="X28" s="1812"/>
      <c r="Y28" s="3210"/>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3" t="s">
        <v>2563</v>
      </c>
      <c r="Q29" s="1809" t="str">
        <f t="shared" si="11"/>
        <v>建筑类型</v>
      </c>
      <c r="R29" s="774" t="s">
        <v>17</v>
      </c>
      <c r="S29" s="775">
        <f t="shared" si="12"/>
        <v>100</v>
      </c>
      <c r="T29" s="774" t="s">
        <v>17</v>
      </c>
      <c r="U29" s="775">
        <f t="shared" si="13"/>
        <v>100</v>
      </c>
      <c r="V29" s="774" t="s">
        <v>17</v>
      </c>
      <c r="W29" s="775">
        <f t="shared" si="14"/>
        <v>100</v>
      </c>
      <c r="X29" s="1812"/>
      <c r="Y29" s="3214"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09" t="str">
        <f t="shared" si="11"/>
        <v>建筑结构</v>
      </c>
      <c r="R31" s="774" t="s">
        <v>17</v>
      </c>
      <c r="S31" s="775">
        <f t="shared" si="12"/>
        <v>100</v>
      </c>
      <c r="T31" s="774" t="s">
        <v>17</v>
      </c>
      <c r="U31" s="775">
        <f t="shared" si="13"/>
        <v>100</v>
      </c>
      <c r="V31" s="774" t="s">
        <v>17</v>
      </c>
      <c r="W31" s="775">
        <f t="shared" si="14"/>
        <v>100</v>
      </c>
      <c r="X31" s="1812"/>
      <c r="Y31" s="3214"/>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09" t="str">
        <f t="shared" si="11"/>
        <v>公共部分装修</v>
      </c>
      <c r="R32" s="774" t="s">
        <v>17</v>
      </c>
      <c r="S32" s="775">
        <f t="shared" si="12"/>
        <v>100</v>
      </c>
      <c r="T32" s="774" t="s">
        <v>17</v>
      </c>
      <c r="U32" s="775">
        <f t="shared" si="13"/>
        <v>100</v>
      </c>
      <c r="V32" s="774" t="s">
        <v>17</v>
      </c>
      <c r="W32" s="775">
        <f t="shared" si="14"/>
        <v>100</v>
      </c>
      <c r="X32" s="1812"/>
      <c r="Y32" s="3214"/>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09" t="str">
        <f t="shared" si="11"/>
        <v>成新度</v>
      </c>
      <c r="R33" s="774" t="s">
        <v>17</v>
      </c>
      <c r="S33" s="775" t="e">
        <f t="shared" si="12"/>
        <v>#N/A</v>
      </c>
      <c r="T33" s="774" t="s">
        <v>17</v>
      </c>
      <c r="U33" s="775" t="e">
        <f t="shared" si="13"/>
        <v>#N/A</v>
      </c>
      <c r="V33" s="774" t="s">
        <v>17</v>
      </c>
      <c r="W33" s="775" t="e">
        <f t="shared" si="14"/>
        <v>#N/A</v>
      </c>
      <c r="X33" s="1812"/>
      <c r="Y33" s="3214"/>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4"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2563</v>
      </c>
      <c r="Q35" s="1809" t="str">
        <f t="shared" si="11"/>
        <v>市政基础设施</v>
      </c>
      <c r="R35" s="774" t="s">
        <v>17</v>
      </c>
      <c r="S35" s="775">
        <f t="shared" si="12"/>
        <v>100</v>
      </c>
      <c r="T35" s="774" t="s">
        <v>17</v>
      </c>
      <c r="U35" s="775">
        <f t="shared" si="13"/>
        <v>100</v>
      </c>
      <c r="V35" s="774" t="s">
        <v>17</v>
      </c>
      <c r="W35" s="775">
        <f t="shared" si="14"/>
        <v>100</v>
      </c>
      <c r="X35" s="1812"/>
      <c r="Y35" s="3214"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09" t="str">
        <f t="shared" si="11"/>
        <v>内部装修</v>
      </c>
      <c r="R36" s="774" t="s">
        <v>17</v>
      </c>
      <c r="S36" s="775">
        <f t="shared" si="12"/>
        <v>100</v>
      </c>
      <c r="T36" s="774" t="s">
        <v>17</v>
      </c>
      <c r="U36" s="775">
        <f t="shared" si="13"/>
        <v>100</v>
      </c>
      <c r="V36" s="774" t="s">
        <v>17</v>
      </c>
      <c r="W36" s="775">
        <f t="shared" si="14"/>
        <v>100</v>
      </c>
      <c r="X36" s="1812"/>
      <c r="Y36" s="3214"/>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09" t="str">
        <f t="shared" si="11"/>
        <v>内部装修状况</v>
      </c>
      <c r="R37" s="774" t="s">
        <v>17</v>
      </c>
      <c r="S37" s="775">
        <f t="shared" si="12"/>
        <v>100</v>
      </c>
      <c r="T37" s="774" t="s">
        <v>17</v>
      </c>
      <c r="U37" s="775">
        <f t="shared" si="13"/>
        <v>100</v>
      </c>
      <c r="V37" s="774" t="s">
        <v>17</v>
      </c>
      <c r="W37" s="775">
        <f t="shared" si="14"/>
        <v>100</v>
      </c>
      <c r="X37" s="1812"/>
      <c r="Y37" s="321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09">
        <f t="shared" si="11"/>
        <v>111</v>
      </c>
      <c r="R39" s="774" t="s">
        <v>17</v>
      </c>
      <c r="S39" s="775">
        <f t="shared" si="12"/>
        <v>100</v>
      </c>
      <c r="T39" s="774" t="s">
        <v>17</v>
      </c>
      <c r="U39" s="775">
        <f t="shared" si="13"/>
        <v>100</v>
      </c>
      <c r="V39" s="774" t="s">
        <v>17</v>
      </c>
      <c r="W39" s="775">
        <f t="shared" si="14"/>
        <v>100</v>
      </c>
      <c r="X39" s="1812"/>
      <c r="Y39" s="3214"/>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09">
        <f t="shared" si="11"/>
        <v>111</v>
      </c>
      <c r="R40" s="774" t="s">
        <v>17</v>
      </c>
      <c r="S40" s="775">
        <f t="shared" si="12"/>
        <v>100</v>
      </c>
      <c r="T40" s="774" t="s">
        <v>17</v>
      </c>
      <c r="U40" s="775">
        <f t="shared" si="13"/>
        <v>100</v>
      </c>
      <c r="V40" s="774" t="s">
        <v>17</v>
      </c>
      <c r="W40" s="775">
        <f t="shared" si="14"/>
        <v>100</v>
      </c>
      <c r="X40" s="1812"/>
      <c r="Y40" s="3215"/>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v>
      </c>
    </row>
    <row r="4" spans="1:1" ht="36">
      <c r="A4" s="1946" t="str">
        <f>"受贵公司委托，我公司对"&amp;项目基本情况!S1&amp;"进行了预评估。"</f>
        <v>受贵公司委托，我公司对出让国有建设用地使用权及在建建筑物房地产抵押价值进行了预评估。</v>
      </c>
    </row>
    <row r="5" spans="1:1" ht="18.75">
      <c r="A5" s="1947" t="s">
        <v>1607</v>
      </c>
    </row>
    <row r="6" spans="1:1" ht="18.75">
      <c r="A6" s="1948" t="s">
        <v>1608</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估价对象为出让国有建设用地使用权及在建建筑物房地产，为所有。根据《国有土地使用证》[]，估价对象（分摊）出让国有建设用地使用权面积为130728.99平方米，建筑面积为288059.01平方米。</v>
      </c>
    </row>
    <row r="8" spans="1:1" ht="57.75">
      <c r="A8" s="1949" t="s">
        <v>1609</v>
      </c>
    </row>
    <row r="9" spans="1:1" ht="18.75">
      <c r="A9" s="1948" t="s">
        <v>1610</v>
      </c>
    </row>
    <row r="10" spans="1:1" ht="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130728.99平方米，规划建筑面积为288059.01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1613</v>
      </c>
    </row>
    <row r="15" spans="1:1" ht="18">
      <c r="A15" s="1952" t="str">
        <f>TEXT(项目基本情况!D3,"yyyy年m月d日;;")&amp;IF(项目基本情况!D3=项目基本情况!B3,"（评估专业人员实地查勘之日）","")</f>
        <v>2019年10月21日</v>
      </c>
    </row>
    <row r="16" spans="1:1" ht="18.75">
      <c r="A16" s="1951" t="s">
        <v>1614</v>
      </c>
    </row>
    <row r="17" spans="1:1" ht="75">
      <c r="A17" s="1946" t="s">
        <v>1615</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1604</v>
      </c>
    </row>
    <row r="24" spans="1:1" ht="18">
      <c r="A24" s="1953" t="str">
        <f>"本次评估采用的主估价方法为"&amp;结果表!K4&amp;"和"&amp;结果表!L4&amp;"。"</f>
        <v>本次评估采用的主估价方法为比较法和假设开发法。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30"/>
      <c r="M4" s="1131"/>
      <c r="N4" s="1131"/>
      <c r="O4" s="1131"/>
      <c r="P4" s="3194" t="s">
        <v>2649</v>
      </c>
      <c r="Q4" s="3195"/>
      <c r="R4" s="3177" t="s">
        <v>2645</v>
      </c>
      <c r="S4" s="3178"/>
      <c r="T4" s="3177" t="s">
        <v>2646</v>
      </c>
      <c r="U4" s="3178"/>
      <c r="V4" s="3202" t="s">
        <v>2647</v>
      </c>
      <c r="W4" s="3202"/>
      <c r="X4" s="1812"/>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2544</v>
      </c>
      <c r="D6" s="3186"/>
      <c r="E6" s="3187" t="s">
        <v>2544</v>
      </c>
      <c r="F6" s="3188"/>
      <c r="G6" s="3185" t="s">
        <v>2544</v>
      </c>
      <c r="H6" s="3186"/>
      <c r="I6" s="3185" t="s">
        <v>2544</v>
      </c>
      <c r="J6" s="3186"/>
      <c r="K6" s="610" t="s">
        <v>2545</v>
      </c>
      <c r="L6" s="1130"/>
      <c r="M6" s="1131"/>
      <c r="N6" s="1131"/>
      <c r="O6" s="1131"/>
      <c r="P6" s="3198"/>
      <c r="Q6" s="3199"/>
      <c r="R6" s="3179"/>
      <c r="S6" s="3180"/>
      <c r="T6" s="3200"/>
      <c r="U6" s="3201"/>
      <c r="V6" s="3202"/>
      <c r="W6" s="3202"/>
      <c r="X6" s="1812"/>
      <c r="Y6" s="3200"/>
      <c r="Z6" s="3201"/>
      <c r="AA6" s="3174"/>
      <c r="AB6" s="3174"/>
      <c r="AC6" s="3174"/>
    </row>
    <row r="7" spans="1:29" s="117" customFormat="1" ht="15.75" thickBot="1">
      <c r="A7" s="408" t="s">
        <v>2546</v>
      </c>
      <c r="B7" s="409"/>
      <c r="C7" s="410">
        <f>'数据-取费表'!B2</f>
        <v>43759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2547</v>
      </c>
      <c r="Q7" s="3203"/>
      <c r="R7" s="770" t="s">
        <v>17</v>
      </c>
      <c r="S7" s="771">
        <f t="shared" ref="S7:S14" si="0">F7</f>
        <v>0</v>
      </c>
      <c r="T7" s="770" t="s">
        <v>17</v>
      </c>
      <c r="U7" s="771">
        <f t="shared" ref="U7:U14" si="1">H7</f>
        <v>0</v>
      </c>
      <c r="V7" s="770" t="s">
        <v>17</v>
      </c>
      <c r="W7" s="771">
        <f t="shared" ref="W7:W14" si="2">J7</f>
        <v>0</v>
      </c>
      <c r="X7" s="772"/>
      <c r="Y7" s="3175" t="s">
        <v>2547</v>
      </c>
      <c r="Z7" s="317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2550</v>
      </c>
      <c r="Q8" s="3176"/>
      <c r="R8" s="770" t="s">
        <v>17</v>
      </c>
      <c r="S8" s="771">
        <f t="shared" si="0"/>
        <v>0</v>
      </c>
      <c r="T8" s="770" t="s">
        <v>17</v>
      </c>
      <c r="U8" s="771">
        <f t="shared" si="1"/>
        <v>0</v>
      </c>
      <c r="V8" s="770" t="s">
        <v>17</v>
      </c>
      <c r="W8" s="771">
        <f t="shared" si="2"/>
        <v>0</v>
      </c>
      <c r="X8" s="772"/>
      <c r="Y8" s="3175" t="s">
        <v>2550</v>
      </c>
      <c r="Z8" s="317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2553</v>
      </c>
      <c r="Q9" s="1794"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2558</v>
      </c>
      <c r="Q14" s="1809" t="str">
        <f t="shared" si="6"/>
        <v>交通便捷度</v>
      </c>
      <c r="R14" s="774" t="s">
        <v>17</v>
      </c>
      <c r="S14" s="775">
        <f t="shared" si="0"/>
        <v>100</v>
      </c>
      <c r="T14" s="774" t="s">
        <v>17</v>
      </c>
      <c r="U14" s="775">
        <f t="shared" si="1"/>
        <v>100</v>
      </c>
      <c r="V14" s="774" t="s">
        <v>17</v>
      </c>
      <c r="W14" s="775">
        <f t="shared" si="2"/>
        <v>100</v>
      </c>
      <c r="X14" s="1812"/>
      <c r="Y14" s="3209"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0"/>
      <c r="Q15" s="1809"/>
      <c r="R15" s="774"/>
      <c r="S15" s="775"/>
      <c r="T15" s="774"/>
      <c r="U15" s="775"/>
      <c r="V15" s="774"/>
      <c r="W15" s="775"/>
      <c r="X15" s="1812"/>
      <c r="Y15" s="3210"/>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10"/>
      <c r="Q17" s="1809"/>
      <c r="R17" s="774"/>
      <c r="S17" s="775"/>
      <c r="T17" s="774"/>
      <c r="U17" s="775"/>
      <c r="V17" s="774"/>
      <c r="W17" s="775"/>
      <c r="X17" s="1812"/>
      <c r="Y17" s="3210"/>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10"/>
      <c r="Q19" s="1809"/>
      <c r="R19" s="774"/>
      <c r="S19" s="775"/>
      <c r="T19" s="774"/>
      <c r="U19" s="775"/>
      <c r="V19" s="774"/>
      <c r="W19" s="775"/>
      <c r="X19" s="1812"/>
      <c r="Y19" s="3210"/>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0"/>
      <c r="Q21" s="1809"/>
      <c r="R21" s="774"/>
      <c r="S21" s="775"/>
      <c r="T21" s="774"/>
      <c r="U21" s="775"/>
      <c r="V21" s="774"/>
      <c r="W21" s="775"/>
      <c r="X21" s="1812"/>
      <c r="Y21" s="3210"/>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09">
        <f t="shared" ref="Q24:Q36"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4"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09" t="str">
        <f t="shared" si="11"/>
        <v>公共部分装修</v>
      </c>
      <c r="R28" s="774" t="s">
        <v>17</v>
      </c>
      <c r="S28" s="775">
        <f t="shared" si="12"/>
        <v>100</v>
      </c>
      <c r="T28" s="774" t="s">
        <v>17</v>
      </c>
      <c r="U28" s="775">
        <f t="shared" si="13"/>
        <v>100</v>
      </c>
      <c r="V28" s="774" t="s">
        <v>17</v>
      </c>
      <c r="W28" s="775">
        <f t="shared" si="14"/>
        <v>100</v>
      </c>
      <c r="X28" s="1812"/>
      <c r="Y28" s="3214"/>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09" t="str">
        <f t="shared" si="11"/>
        <v>成新率</v>
      </c>
      <c r="R29" s="774" t="s">
        <v>17</v>
      </c>
      <c r="S29" s="775" t="e">
        <f t="shared" si="12"/>
        <v>#N/A</v>
      </c>
      <c r="T29" s="774" t="s">
        <v>17</v>
      </c>
      <c r="U29" s="775" t="e">
        <f t="shared" si="13"/>
        <v>#N/A</v>
      </c>
      <c r="V29" s="774" t="s">
        <v>17</v>
      </c>
      <c r="W29" s="775" t="e">
        <f t="shared" si="14"/>
        <v>#N/A</v>
      </c>
      <c r="X29" s="1812"/>
      <c r="Y29" s="3214"/>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09" t="str">
        <f t="shared" si="11"/>
        <v>物业等级</v>
      </c>
      <c r="R30" s="774" t="s">
        <v>17</v>
      </c>
      <c r="S30" s="775">
        <f t="shared" si="12"/>
        <v>100</v>
      </c>
      <c r="T30" s="774" t="s">
        <v>17</v>
      </c>
      <c r="U30" s="775">
        <f t="shared" si="13"/>
        <v>100</v>
      </c>
      <c r="V30" s="774" t="s">
        <v>17</v>
      </c>
      <c r="W30" s="775">
        <f t="shared" si="14"/>
        <v>100</v>
      </c>
      <c r="X30" s="1812"/>
      <c r="Y30" s="3214"/>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4"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2563</v>
      </c>
      <c r="Q32" s="1809" t="str">
        <f t="shared" si="11"/>
        <v>车位类型</v>
      </c>
      <c r="R32" s="774" t="s">
        <v>17</v>
      </c>
      <c r="S32" s="775">
        <f t="shared" si="12"/>
        <v>100</v>
      </c>
      <c r="T32" s="774" t="s">
        <v>17</v>
      </c>
      <c r="U32" s="775">
        <f t="shared" si="13"/>
        <v>100</v>
      </c>
      <c r="V32" s="774" t="s">
        <v>17</v>
      </c>
      <c r="W32" s="775">
        <f t="shared" si="14"/>
        <v>100</v>
      </c>
      <c r="X32" s="1812"/>
      <c r="Y32" s="3214"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09" t="str">
        <f t="shared" si="11"/>
        <v>是否直接入户</v>
      </c>
      <c r="R33" s="774" t="s">
        <v>17</v>
      </c>
      <c r="S33" s="775">
        <f t="shared" si="12"/>
        <v>100</v>
      </c>
      <c r="T33" s="774" t="s">
        <v>17</v>
      </c>
      <c r="U33" s="775">
        <f t="shared" si="13"/>
        <v>100</v>
      </c>
      <c r="V33" s="774" t="s">
        <v>17</v>
      </c>
      <c r="W33" s="775">
        <f t="shared" si="14"/>
        <v>100</v>
      </c>
      <c r="X33" s="1812"/>
      <c r="Y33" s="321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09">
        <f t="shared" si="11"/>
        <v>111</v>
      </c>
      <c r="R34" s="774" t="s">
        <v>17</v>
      </c>
      <c r="S34" s="775">
        <f t="shared" si="12"/>
        <v>100</v>
      </c>
      <c r="T34" s="774" t="s">
        <v>17</v>
      </c>
      <c r="U34" s="775">
        <f t="shared" si="13"/>
        <v>100</v>
      </c>
      <c r="V34" s="774" t="s">
        <v>17</v>
      </c>
      <c r="W34" s="775">
        <f t="shared" si="14"/>
        <v>100</v>
      </c>
      <c r="X34" s="1812"/>
      <c r="Y34" s="321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09">
        <f t="shared" si="11"/>
        <v>111</v>
      </c>
      <c r="R36" s="774" t="s">
        <v>17</v>
      </c>
      <c r="S36" s="775">
        <f t="shared" si="12"/>
        <v>100</v>
      </c>
      <c r="T36" s="774" t="s">
        <v>17</v>
      </c>
      <c r="U36" s="775">
        <f t="shared" si="13"/>
        <v>100</v>
      </c>
      <c r="V36" s="774" t="s">
        <v>17</v>
      </c>
      <c r="W36" s="775">
        <f t="shared" si="14"/>
        <v>100</v>
      </c>
      <c r="X36" s="1812"/>
      <c r="Y36" s="3214"/>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30"/>
      <c r="M4" s="1131"/>
      <c r="N4" s="1131"/>
      <c r="O4" s="1131"/>
      <c r="P4" s="3194" t="s">
        <v>2649</v>
      </c>
      <c r="Q4" s="3195"/>
      <c r="R4" s="3177" t="s">
        <v>2645</v>
      </c>
      <c r="S4" s="3178"/>
      <c r="T4" s="3177" t="s">
        <v>2646</v>
      </c>
      <c r="U4" s="3178"/>
      <c r="V4" s="3202" t="s">
        <v>2647</v>
      </c>
      <c r="W4" s="3202"/>
      <c r="X4" s="1812"/>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185" t="s">
        <v>2544</v>
      </c>
      <c r="D6" s="3186"/>
      <c r="E6" s="3187" t="s">
        <v>2544</v>
      </c>
      <c r="F6" s="3188"/>
      <c r="G6" s="3185" t="s">
        <v>2544</v>
      </c>
      <c r="H6" s="3186"/>
      <c r="I6" s="3185" t="s">
        <v>2544</v>
      </c>
      <c r="J6" s="3186"/>
      <c r="K6" s="610" t="s">
        <v>2545</v>
      </c>
      <c r="L6" s="1130"/>
      <c r="M6" s="1131"/>
      <c r="N6" s="1131"/>
      <c r="O6" s="1131"/>
      <c r="P6" s="3198"/>
      <c r="Q6" s="3199"/>
      <c r="R6" s="3179"/>
      <c r="S6" s="3180"/>
      <c r="T6" s="3200"/>
      <c r="U6" s="3201"/>
      <c r="V6" s="3202"/>
      <c r="W6" s="3202"/>
      <c r="X6" s="1812"/>
      <c r="Y6" s="3200"/>
      <c r="Z6" s="3201"/>
      <c r="AA6" s="3174"/>
      <c r="AB6" s="3174"/>
      <c r="AC6" s="3174"/>
    </row>
    <row r="7" spans="1:29" s="117" customFormat="1" ht="15.75" thickBot="1">
      <c r="A7" s="408" t="s">
        <v>2546</v>
      </c>
      <c r="B7" s="409"/>
      <c r="C7" s="410">
        <f>'数据-取费表'!B2</f>
        <v>43759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5" t="s">
        <v>2547</v>
      </c>
      <c r="Q7" s="3203"/>
      <c r="R7" s="770" t="s">
        <v>17</v>
      </c>
      <c r="S7" s="771">
        <f t="shared" ref="S7:S14" si="0">F7</f>
        <v>0</v>
      </c>
      <c r="T7" s="770" t="s">
        <v>17</v>
      </c>
      <c r="U7" s="771">
        <f t="shared" ref="U7:U14" si="1">H7</f>
        <v>0</v>
      </c>
      <c r="V7" s="770" t="s">
        <v>17</v>
      </c>
      <c r="W7" s="771">
        <f t="shared" ref="W7:W14" si="2">J7</f>
        <v>0</v>
      </c>
      <c r="X7" s="772"/>
      <c r="Y7" s="3175" t="s">
        <v>2547</v>
      </c>
      <c r="Z7" s="317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2550</v>
      </c>
      <c r="Q8" s="3176"/>
      <c r="R8" s="770" t="s">
        <v>17</v>
      </c>
      <c r="S8" s="771">
        <f t="shared" si="0"/>
        <v>0</v>
      </c>
      <c r="T8" s="770" t="s">
        <v>17</v>
      </c>
      <c r="U8" s="771">
        <f t="shared" si="1"/>
        <v>0</v>
      </c>
      <c r="V8" s="770" t="s">
        <v>17</v>
      </c>
      <c r="W8" s="771">
        <f t="shared" si="2"/>
        <v>0</v>
      </c>
      <c r="X8" s="772"/>
      <c r="Y8" s="3175" t="s">
        <v>2550</v>
      </c>
      <c r="Z8" s="317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2553</v>
      </c>
      <c r="Q9" s="1794" t="str">
        <f t="shared" ref="Q9:Q14" si="6">B9</f>
        <v>用途</v>
      </c>
      <c r="R9" s="770" t="s">
        <v>17</v>
      </c>
      <c r="S9" s="771">
        <f t="shared" si="0"/>
        <v>100</v>
      </c>
      <c r="T9" s="770" t="s">
        <v>17</v>
      </c>
      <c r="U9" s="771">
        <f t="shared" si="1"/>
        <v>100</v>
      </c>
      <c r="V9" s="770" t="s">
        <v>17</v>
      </c>
      <c r="W9" s="771">
        <f t="shared" si="2"/>
        <v>100</v>
      </c>
      <c r="X9" s="772"/>
      <c r="Y9" s="302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7"/>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2558</v>
      </c>
      <c r="Q14" s="1809" t="str">
        <f t="shared" si="6"/>
        <v>交通便捷度</v>
      </c>
      <c r="R14" s="774" t="s">
        <v>17</v>
      </c>
      <c r="S14" s="775">
        <f t="shared" si="0"/>
        <v>100</v>
      </c>
      <c r="T14" s="774" t="s">
        <v>17</v>
      </c>
      <c r="U14" s="775">
        <f t="shared" si="1"/>
        <v>100</v>
      </c>
      <c r="V14" s="774" t="s">
        <v>17</v>
      </c>
      <c r="W14" s="775">
        <f t="shared" si="2"/>
        <v>100</v>
      </c>
      <c r="X14" s="1812"/>
      <c r="Y14" s="3209"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0"/>
      <c r="Q15" s="1809"/>
      <c r="R15" s="774"/>
      <c r="S15" s="775"/>
      <c r="T15" s="774"/>
      <c r="U15" s="775"/>
      <c r="V15" s="774"/>
      <c r="W15" s="775"/>
      <c r="X15" s="1812"/>
      <c r="Y15" s="3210"/>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09" t="str">
        <f>B16</f>
        <v>公共配套设施</v>
      </c>
      <c r="R16" s="774" t="s">
        <v>17</v>
      </c>
      <c r="S16" s="775">
        <f>F16</f>
        <v>100</v>
      </c>
      <c r="T16" s="774" t="s">
        <v>17</v>
      </c>
      <c r="U16" s="775">
        <f>H16</f>
        <v>100</v>
      </c>
      <c r="V16" s="774" t="s">
        <v>17</v>
      </c>
      <c r="W16" s="775">
        <f>J16</f>
        <v>100</v>
      </c>
      <c r="X16" s="1812"/>
      <c r="Y16" s="3210"/>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10"/>
      <c r="Q17" s="1809"/>
      <c r="R17" s="774"/>
      <c r="S17" s="775"/>
      <c r="T17" s="774"/>
      <c r="U17" s="775"/>
      <c r="V17" s="774"/>
      <c r="W17" s="775"/>
      <c r="X17" s="1812"/>
      <c r="Y17" s="3210"/>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09" t="str">
        <f>B18</f>
        <v>基础设施水平</v>
      </c>
      <c r="R18" s="774" t="s">
        <v>17</v>
      </c>
      <c r="S18" s="775">
        <f>F18</f>
        <v>100</v>
      </c>
      <c r="T18" s="774" t="s">
        <v>17</v>
      </c>
      <c r="U18" s="775">
        <f>H18</f>
        <v>100</v>
      </c>
      <c r="V18" s="774" t="s">
        <v>17</v>
      </c>
      <c r="W18" s="775">
        <f>J18</f>
        <v>100</v>
      </c>
      <c r="X18" s="1812"/>
      <c r="Y18" s="3210"/>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10"/>
      <c r="Q19" s="1809"/>
      <c r="R19" s="774"/>
      <c r="S19" s="775"/>
      <c r="T19" s="774"/>
      <c r="U19" s="775"/>
      <c r="V19" s="774"/>
      <c r="W19" s="775"/>
      <c r="X19" s="1812"/>
      <c r="Y19" s="3210"/>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09" t="str">
        <f>B20</f>
        <v>自然及人文环境</v>
      </c>
      <c r="R20" s="774" t="s">
        <v>17</v>
      </c>
      <c r="S20" s="775">
        <f>F20</f>
        <v>100</v>
      </c>
      <c r="T20" s="774" t="s">
        <v>17</v>
      </c>
      <c r="U20" s="775">
        <f>H20</f>
        <v>100</v>
      </c>
      <c r="V20" s="774" t="s">
        <v>17</v>
      </c>
      <c r="W20" s="775">
        <f>J20</f>
        <v>100</v>
      </c>
      <c r="X20" s="1812"/>
      <c r="Y20" s="321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0"/>
      <c r="Q21" s="1809"/>
      <c r="R21" s="774"/>
      <c r="S21" s="775"/>
      <c r="T21" s="774"/>
      <c r="U21" s="775"/>
      <c r="V21" s="774"/>
      <c r="W21" s="775"/>
      <c r="X21" s="1812"/>
      <c r="Y21" s="3210"/>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09" t="str">
        <f>B22</f>
        <v>楼层</v>
      </c>
      <c r="R22" s="774" t="s">
        <v>17</v>
      </c>
      <c r="S22" s="775">
        <f>F22</f>
        <v>100</v>
      </c>
      <c r="T22" s="774" t="s">
        <v>17</v>
      </c>
      <c r="U22" s="775">
        <f>H22</f>
        <v>100</v>
      </c>
      <c r="V22" s="774" t="s">
        <v>17</v>
      </c>
      <c r="W22" s="775">
        <f>J22</f>
        <v>100</v>
      </c>
      <c r="X22" s="1812"/>
      <c r="Y22" s="3210"/>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09">
        <f>B23</f>
        <v>111</v>
      </c>
      <c r="R23" s="774" t="s">
        <v>17</v>
      </c>
      <c r="S23" s="775">
        <f>F23</f>
        <v>100</v>
      </c>
      <c r="T23" s="774" t="s">
        <v>17</v>
      </c>
      <c r="U23" s="775">
        <f>H23</f>
        <v>100</v>
      </c>
      <c r="V23" s="774" t="s">
        <v>17</v>
      </c>
      <c r="W23" s="775">
        <f>J23</f>
        <v>100</v>
      </c>
      <c r="X23" s="1812"/>
      <c r="Y23" s="3210"/>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09">
        <f t="shared" ref="Q24:Q34" si="11">B24</f>
        <v>111</v>
      </c>
      <c r="R24" s="774" t="s">
        <v>17</v>
      </c>
      <c r="S24" s="775">
        <f>F24</f>
        <v>100</v>
      </c>
      <c r="T24" s="774" t="s">
        <v>17</v>
      </c>
      <c r="U24" s="775">
        <f>H24</f>
        <v>100</v>
      </c>
      <c r="V24" s="774" t="s">
        <v>17</v>
      </c>
      <c r="W24" s="775">
        <f>J24</f>
        <v>100</v>
      </c>
      <c r="X24" s="1812"/>
      <c r="Y24" s="3210"/>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0"/>
      <c r="Q25" s="1794">
        <f t="shared" si="11"/>
        <v>111</v>
      </c>
      <c r="R25" s="770" t="s">
        <v>17</v>
      </c>
      <c r="S25" s="771">
        <f>F25</f>
        <v>100</v>
      </c>
      <c r="T25" s="770" t="s">
        <v>17</v>
      </c>
      <c r="U25" s="771">
        <f>H25</f>
        <v>100</v>
      </c>
      <c r="V25" s="770" t="s">
        <v>17</v>
      </c>
      <c r="W25" s="771">
        <f>J25</f>
        <v>100</v>
      </c>
      <c r="X25" s="772"/>
      <c r="Y25" s="3210"/>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3"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4"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09" t="str">
        <f t="shared" si="11"/>
        <v>物业等级</v>
      </c>
      <c r="R28" s="774" t="s">
        <v>17</v>
      </c>
      <c r="S28" s="775">
        <f t="shared" si="12"/>
        <v>100</v>
      </c>
      <c r="T28" s="774" t="s">
        <v>17</v>
      </c>
      <c r="U28" s="775">
        <f t="shared" si="13"/>
        <v>100</v>
      </c>
      <c r="V28" s="774" t="s">
        <v>17</v>
      </c>
      <c r="W28" s="775">
        <f t="shared" si="14"/>
        <v>100</v>
      </c>
      <c r="X28" s="1812"/>
      <c r="Y28" s="3214"/>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09" t="str">
        <f t="shared" si="11"/>
        <v>有无电梯</v>
      </c>
      <c r="R29" s="774" t="s">
        <v>17</v>
      </c>
      <c r="S29" s="775">
        <f t="shared" si="12"/>
        <v>100</v>
      </c>
      <c r="T29" s="774" t="s">
        <v>17</v>
      </c>
      <c r="U29" s="775">
        <f t="shared" si="13"/>
        <v>100</v>
      </c>
      <c r="V29" s="774" t="s">
        <v>17</v>
      </c>
      <c r="W29" s="775">
        <f t="shared" si="14"/>
        <v>100</v>
      </c>
      <c r="X29" s="1812"/>
      <c r="Y29" s="3214"/>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09" t="str">
        <f t="shared" si="11"/>
        <v>建筑面积</v>
      </c>
      <c r="R30" s="774" t="s">
        <v>17</v>
      </c>
      <c r="S30" s="775" t="e">
        <f t="shared" si="12"/>
        <v>#N/A</v>
      </c>
      <c r="T30" s="774" t="s">
        <v>17</v>
      </c>
      <c r="U30" s="775" t="e">
        <f t="shared" si="13"/>
        <v>#N/A</v>
      </c>
      <c r="V30" s="774" t="s">
        <v>17</v>
      </c>
      <c r="W30" s="775" t="e">
        <f t="shared" si="14"/>
        <v>#N/A</v>
      </c>
      <c r="X30" s="1812"/>
      <c r="Y30" s="3214"/>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4"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2563</v>
      </c>
      <c r="Q32" s="1809">
        <f t="shared" si="11"/>
        <v>111</v>
      </c>
      <c r="R32" s="774" t="s">
        <v>17</v>
      </c>
      <c r="S32" s="775">
        <f t="shared" si="12"/>
        <v>100</v>
      </c>
      <c r="T32" s="774" t="s">
        <v>17</v>
      </c>
      <c r="U32" s="775">
        <f t="shared" si="13"/>
        <v>100</v>
      </c>
      <c r="V32" s="774" t="s">
        <v>17</v>
      </c>
      <c r="W32" s="775">
        <f t="shared" si="14"/>
        <v>100</v>
      </c>
      <c r="X32" s="1812"/>
      <c r="Y32" s="3214"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09">
        <f t="shared" si="11"/>
        <v>111</v>
      </c>
      <c r="R33" s="774" t="s">
        <v>17</v>
      </c>
      <c r="S33" s="775">
        <f t="shared" si="12"/>
        <v>100</v>
      </c>
      <c r="T33" s="774" t="s">
        <v>17</v>
      </c>
      <c r="U33" s="775">
        <f t="shared" si="13"/>
        <v>100</v>
      </c>
      <c r="V33" s="774" t="s">
        <v>17</v>
      </c>
      <c r="W33" s="775">
        <f t="shared" si="14"/>
        <v>100</v>
      </c>
      <c r="X33" s="1812"/>
      <c r="Y33" s="3214"/>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4"/>
      <c r="Q34" s="1809">
        <f t="shared" si="11"/>
        <v>111</v>
      </c>
      <c r="R34" s="774" t="s">
        <v>17</v>
      </c>
      <c r="S34" s="775">
        <f t="shared" si="12"/>
        <v>100</v>
      </c>
      <c r="T34" s="774" t="s">
        <v>17</v>
      </c>
      <c r="U34" s="775">
        <f t="shared" si="13"/>
        <v>100</v>
      </c>
      <c r="V34" s="774" t="s">
        <v>17</v>
      </c>
      <c r="W34" s="775">
        <f t="shared" si="14"/>
        <v>100</v>
      </c>
      <c r="X34" s="1812"/>
      <c r="Y34" s="3214"/>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E19" sqref="E19"/>
    </sheetView>
  </sheetViews>
  <sheetFormatPr defaultColWidth="9" defaultRowHeight="14.25"/>
  <cols>
    <col min="1" max="1" width="14.375" style="403" customWidth="1"/>
    <col min="2" max="2" width="15.75" style="403" customWidth="1"/>
    <col min="3" max="3" width="18.6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216129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7503</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0" t="s">
        <v>2644</v>
      </c>
      <c r="D4" s="3191"/>
      <c r="E4" s="3192" t="s">
        <v>2645</v>
      </c>
      <c r="F4" s="3193"/>
      <c r="G4" s="3190" t="s">
        <v>2646</v>
      </c>
      <c r="H4" s="3191"/>
      <c r="I4" s="3190" t="s">
        <v>2647</v>
      </c>
      <c r="J4" s="3191"/>
      <c r="K4" s="610" t="s">
        <v>2648</v>
      </c>
      <c r="L4" s="1130"/>
      <c r="M4" s="1131"/>
      <c r="N4" s="1131"/>
      <c r="O4" s="1131"/>
      <c r="P4" s="3194" t="s">
        <v>2649</v>
      </c>
      <c r="Q4" s="3195"/>
      <c r="R4" s="3177" t="s">
        <v>2645</v>
      </c>
      <c r="S4" s="3178"/>
      <c r="T4" s="3177" t="s">
        <v>2646</v>
      </c>
      <c r="U4" s="3178"/>
      <c r="V4" s="3202" t="s">
        <v>2647</v>
      </c>
      <c r="W4" s="3202"/>
      <c r="X4" s="1812"/>
      <c r="Y4" s="3177" t="s">
        <v>2649</v>
      </c>
      <c r="Z4" s="3178"/>
      <c r="AA4" s="3172" t="s">
        <v>2645</v>
      </c>
      <c r="AB4" s="3173" t="s">
        <v>2646</v>
      </c>
      <c r="AC4" s="3172" t="s">
        <v>2647</v>
      </c>
    </row>
    <row r="5" spans="1:30" ht="15">
      <c r="A5" s="404"/>
      <c r="B5" s="405"/>
      <c r="C5" s="3183" t="s">
        <v>2540</v>
      </c>
      <c r="D5" s="3184"/>
      <c r="E5" s="3181" t="str">
        <f>Sheet2!A5</f>
        <v>北京市密云区檀营乡MY00-0103-6002地块R2二类居住用地</v>
      </c>
      <c r="F5" s="3182"/>
      <c r="G5" s="3183" t="str">
        <f>Sheet2!A7</f>
        <v>密云区檀营乡MY00-0103-0402、MY00-0103-0502等地块</v>
      </c>
      <c r="H5" s="3184"/>
      <c r="I5" s="3183" t="str">
        <f>Sheet2!A22</f>
        <v>怀柔区怀柔镇张各长村HR00-0004-6002、6003、6004地块F2公建混合住宅用地</v>
      </c>
      <c r="J5" s="3184"/>
      <c r="K5" s="610"/>
      <c r="L5" s="1130"/>
      <c r="M5" s="1131"/>
      <c r="N5" s="1131"/>
      <c r="O5" s="1131"/>
      <c r="P5" s="3196"/>
      <c r="Q5" s="3197"/>
      <c r="R5" s="3179"/>
      <c r="S5" s="3180"/>
      <c r="T5" s="3179"/>
      <c r="U5" s="3180"/>
      <c r="V5" s="3202"/>
      <c r="W5" s="3202"/>
      <c r="X5" s="1812"/>
      <c r="Y5" s="3179"/>
      <c r="Z5" s="3180"/>
      <c r="AA5" s="3173"/>
      <c r="AB5" s="3173"/>
      <c r="AC5" s="3173"/>
    </row>
    <row r="6" spans="1:30" ht="15.75" thickBot="1">
      <c r="A6" s="406"/>
      <c r="B6" s="407"/>
      <c r="C6" s="3185" t="s">
        <v>2544</v>
      </c>
      <c r="D6" s="3186"/>
      <c r="E6" s="3187" t="s">
        <v>2544</v>
      </c>
      <c r="F6" s="3188"/>
      <c r="G6" s="3185" t="s">
        <v>2544</v>
      </c>
      <c r="H6" s="3186"/>
      <c r="I6" s="3185" t="s">
        <v>2544</v>
      </c>
      <c r="J6" s="3186"/>
      <c r="K6" s="610" t="s">
        <v>2545</v>
      </c>
      <c r="L6" s="1130"/>
      <c r="M6" s="1131"/>
      <c r="N6" s="1131"/>
      <c r="O6" s="1131"/>
      <c r="P6" s="3198"/>
      <c r="Q6" s="3199"/>
      <c r="R6" s="3179"/>
      <c r="S6" s="3180"/>
      <c r="T6" s="3200"/>
      <c r="U6" s="3201"/>
      <c r="V6" s="3202"/>
      <c r="W6" s="3202"/>
      <c r="X6" s="1812"/>
      <c r="Y6" s="3200"/>
      <c r="Z6" s="3201"/>
      <c r="AA6" s="3174"/>
      <c r="AB6" s="3174"/>
      <c r="AC6" s="3174"/>
    </row>
    <row r="7" spans="1:30" s="117" customFormat="1" ht="15.75" thickBot="1">
      <c r="A7" s="408" t="s">
        <v>2546</v>
      </c>
      <c r="B7" s="409"/>
      <c r="C7" s="410">
        <f>'数据-取费表'!B2</f>
        <v>43759</v>
      </c>
      <c r="D7" s="411">
        <v>100</v>
      </c>
      <c r="E7" s="412" t="str">
        <f>Sheet2!H5</f>
        <v>2018-01-04</v>
      </c>
      <c r="F7" s="413">
        <f>SUMIF(70:70,YEAR(E7)&amp;"-"&amp;INT((MONTH(E7)+2)/3),71:71)</f>
        <v>96.5</v>
      </c>
      <c r="G7" s="2696" t="str">
        <f>Sheet2!H7</f>
        <v>2017-03-28</v>
      </c>
      <c r="H7" s="411">
        <f>SUMIF(70:70,YEAR(G7)&amp;"-"&amp;INT((MONTH(G7)+2)/3),71:71)</f>
        <v>94.5</v>
      </c>
      <c r="I7" s="2696" t="str">
        <f>Sheet2!H22</f>
        <v>2017-08-11</v>
      </c>
      <c r="J7" s="411">
        <f>SUMIF(70:70,YEAR(I7)&amp;"-"&amp;INT((MONTH(I7)+2)/3),71:71)</f>
        <v>95.5</v>
      </c>
      <c r="K7" s="611"/>
      <c r="L7" s="1132"/>
      <c r="M7" s="1133"/>
      <c r="N7" s="1133"/>
      <c r="O7" s="1133"/>
      <c r="P7" s="3175" t="s">
        <v>2547</v>
      </c>
      <c r="Q7" s="3203"/>
      <c r="R7" s="770" t="s">
        <v>17</v>
      </c>
      <c r="S7" s="771">
        <f t="shared" ref="S7:S15" si="0">F7</f>
        <v>96.5</v>
      </c>
      <c r="T7" s="770" t="s">
        <v>17</v>
      </c>
      <c r="U7" s="771">
        <f t="shared" ref="U7:U15" si="1">H7</f>
        <v>94.5</v>
      </c>
      <c r="V7" s="770" t="s">
        <v>17</v>
      </c>
      <c r="W7" s="771">
        <f t="shared" ref="W7:W15" si="2">J7</f>
        <v>95.5</v>
      </c>
      <c r="X7" s="772"/>
      <c r="Y7" s="3175" t="s">
        <v>2547</v>
      </c>
      <c r="Z7" s="3176"/>
      <c r="AA7" s="773">
        <f>D7/F7</f>
        <v>1.0362694300518134</v>
      </c>
      <c r="AB7" s="773">
        <f>D7/H7</f>
        <v>1.0582010582010581</v>
      </c>
      <c r="AC7" s="773">
        <f>D7/J7</f>
        <v>1.0471204188481675</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2"/>
      <c r="M8" s="1133"/>
      <c r="N8" s="1133"/>
      <c r="O8" s="1133"/>
      <c r="P8" s="3175" t="s">
        <v>2550</v>
      </c>
      <c r="Q8" s="3176"/>
      <c r="R8" s="770" t="s">
        <v>17</v>
      </c>
      <c r="S8" s="771">
        <f t="shared" si="0"/>
        <v>100</v>
      </c>
      <c r="T8" s="770" t="s">
        <v>17</v>
      </c>
      <c r="U8" s="771">
        <f t="shared" si="1"/>
        <v>100</v>
      </c>
      <c r="V8" s="770" t="s">
        <v>17</v>
      </c>
      <c r="W8" s="771">
        <f t="shared" si="2"/>
        <v>100</v>
      </c>
      <c r="X8" s="772"/>
      <c r="Y8" s="3175" t="s">
        <v>2550</v>
      </c>
      <c r="Z8" s="3176"/>
      <c r="AA8" s="773">
        <f t="shared" ref="AA8:AA45" si="3">D8/F8</f>
        <v>1</v>
      </c>
      <c r="AB8" s="773">
        <f t="shared" ref="AB8:AB45" si="4">D8/H8</f>
        <v>1</v>
      </c>
      <c r="AC8" s="773">
        <f t="shared" ref="AC8:AC45" si="5">D8/J8</f>
        <v>1</v>
      </c>
    </row>
    <row r="9" spans="1:30" s="117" customFormat="1">
      <c r="A9" s="415" t="s">
        <v>2551</v>
      </c>
      <c r="B9" s="71" t="s">
        <v>2552</v>
      </c>
      <c r="C9" s="2699" t="s">
        <v>3190</v>
      </c>
      <c r="D9" s="135">
        <v>100</v>
      </c>
      <c r="E9" s="2699" t="s">
        <v>3190</v>
      </c>
      <c r="F9" s="135">
        <f>SUMIF(75:75,E9,76:76)-SUMIF(75:75,C9,76:76)+100</f>
        <v>100</v>
      </c>
      <c r="G9" s="2699" t="s">
        <v>3190</v>
      </c>
      <c r="H9" s="135">
        <f>SUMIF(75:75,G9,76:76)-SUMIF(75:75,C9,76:76)+100</f>
        <v>100</v>
      </c>
      <c r="I9" s="2699" t="s">
        <v>3192</v>
      </c>
      <c r="J9" s="135">
        <f>SUMIF(75:75,I9,76:76)-SUMIF(75:75,C9,76:76)+100</f>
        <v>98</v>
      </c>
      <c r="K9" s="611"/>
      <c r="L9" s="1132"/>
      <c r="M9" s="1133"/>
      <c r="N9" s="1133"/>
      <c r="O9" s="1134"/>
      <c r="P9" s="3207" t="s">
        <v>2553</v>
      </c>
      <c r="Q9" s="1794" t="str">
        <f t="shared" ref="Q9:Q15" si="6">B9</f>
        <v>用途</v>
      </c>
      <c r="R9" s="770" t="s">
        <v>17</v>
      </c>
      <c r="S9" s="771">
        <f t="shared" si="0"/>
        <v>100</v>
      </c>
      <c r="T9" s="770" t="s">
        <v>17</v>
      </c>
      <c r="U9" s="771">
        <f t="shared" si="1"/>
        <v>100</v>
      </c>
      <c r="V9" s="770" t="s">
        <v>17</v>
      </c>
      <c r="W9" s="771">
        <f t="shared" si="2"/>
        <v>98</v>
      </c>
      <c r="X9" s="772"/>
      <c r="Y9" s="3022" t="s">
        <v>2554</v>
      </c>
      <c r="Z9" s="55" t="str">
        <f t="shared" ref="Z9:Z15" si="7">Q9</f>
        <v>用途</v>
      </c>
      <c r="AA9" s="773">
        <f t="shared" si="3"/>
        <v>1</v>
      </c>
      <c r="AB9" s="773">
        <f t="shared" si="4"/>
        <v>1</v>
      </c>
      <c r="AC9" s="773">
        <f t="shared" si="5"/>
        <v>1.0204081632653061</v>
      </c>
    </row>
    <row r="10" spans="1:30" s="427" customFormat="1" ht="27">
      <c r="A10" s="421"/>
      <c r="B10" s="422" t="s">
        <v>2555</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207"/>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30" ht="15">
      <c r="A11" s="428"/>
      <c r="B11" s="422" t="s">
        <v>2556</v>
      </c>
      <c r="C11" s="429">
        <f>'数据-汇总表'!I4</f>
        <v>1.17</v>
      </c>
      <c r="D11" s="136">
        <v>100</v>
      </c>
      <c r="E11" s="429">
        <f>Sheet2!G5</f>
        <v>2</v>
      </c>
      <c r="F11" s="136">
        <f>LOOKUP(E11,80:80,81:81)-LOOKUP(C11,80:80,81:81)+100</f>
        <v>99</v>
      </c>
      <c r="G11" s="430">
        <f>Sheet2!G7</f>
        <v>2.38</v>
      </c>
      <c r="H11" s="136">
        <f>LOOKUP(G11,80:80,81:81)-LOOKUP(C11,80:80,81:81)+100</f>
        <v>99</v>
      </c>
      <c r="I11" s="429">
        <f>Sheet2!G22</f>
        <v>3</v>
      </c>
      <c r="J11" s="136">
        <f>LOOKUP(I11,80:80,81:81)-LOOKUP(C11,80:80,81:81)+100</f>
        <v>98</v>
      </c>
      <c r="K11" s="673">
        <v>1</v>
      </c>
      <c r="L11" s="1138"/>
      <c r="M11" s="1131"/>
      <c r="N11" s="1131"/>
      <c r="O11" s="1139"/>
      <c r="P11" s="3207"/>
      <c r="Q11" s="1794" t="str">
        <f t="shared" si="6"/>
        <v>容积率</v>
      </c>
      <c r="R11" s="770" t="s">
        <v>17</v>
      </c>
      <c r="S11" s="771">
        <f t="shared" si="0"/>
        <v>99</v>
      </c>
      <c r="T11" s="770" t="s">
        <v>17</v>
      </c>
      <c r="U11" s="771">
        <f t="shared" si="1"/>
        <v>99</v>
      </c>
      <c r="V11" s="770" t="s">
        <v>17</v>
      </c>
      <c r="W11" s="771">
        <f t="shared" si="2"/>
        <v>98</v>
      </c>
      <c r="X11" s="772"/>
      <c r="Y11" s="3022"/>
      <c r="Z11" s="55" t="str">
        <f t="shared" si="7"/>
        <v>容积率</v>
      </c>
      <c r="AA11" s="773">
        <f t="shared" si="3"/>
        <v>1.0101010101010102</v>
      </c>
      <c r="AB11" s="773">
        <f t="shared" si="4"/>
        <v>1.0101010101010102</v>
      </c>
      <c r="AC11" s="773">
        <f t="shared" si="5"/>
        <v>1.0204081632653061</v>
      </c>
    </row>
    <row r="12" spans="1:30" s="117" customFormat="1" ht="15">
      <c r="A12" s="431"/>
      <c r="B12" s="2600" t="s">
        <v>2745</v>
      </c>
      <c r="C12" s="3293" t="s">
        <v>3202</v>
      </c>
      <c r="D12" s="433">
        <v>100</v>
      </c>
      <c r="E12" s="3293" t="s">
        <v>3202</v>
      </c>
      <c r="F12" s="136">
        <f>SUMIF(82:82,E12,83:83)-SUMIF(82:82,C12,83:83)+100</f>
        <v>100</v>
      </c>
      <c r="G12" s="3292" t="s">
        <v>3201</v>
      </c>
      <c r="H12" s="136">
        <f>SUMIF(82:82,G12,83:83)-SUMIF(82:82,C12,83:83)+100</f>
        <v>90</v>
      </c>
      <c r="I12" s="3293" t="s">
        <v>3202</v>
      </c>
      <c r="J12" s="136">
        <f>SUMIF(82:82,I12,83:83)-SUMIF(82:82,C12,83:83)+100</f>
        <v>100</v>
      </c>
      <c r="K12" s="672"/>
      <c r="L12" s="1132"/>
      <c r="M12" s="1133"/>
      <c r="N12" s="1133"/>
      <c r="O12" s="1134"/>
      <c r="P12" s="3207"/>
      <c r="Q12" s="1794" t="str">
        <f t="shared" si="6"/>
        <v>配建</v>
      </c>
      <c r="R12" s="770" t="s">
        <v>17</v>
      </c>
      <c r="S12" s="771">
        <f t="shared" si="0"/>
        <v>100</v>
      </c>
      <c r="T12" s="770" t="s">
        <v>17</v>
      </c>
      <c r="U12" s="771">
        <f t="shared" si="1"/>
        <v>90</v>
      </c>
      <c r="V12" s="770" t="s">
        <v>17</v>
      </c>
      <c r="W12" s="771">
        <f t="shared" si="2"/>
        <v>100</v>
      </c>
      <c r="X12" s="772"/>
      <c r="Y12" s="3022"/>
      <c r="Z12" s="55" t="str">
        <f t="shared" si="7"/>
        <v>配建</v>
      </c>
      <c r="AA12" s="773">
        <f>D12/F12</f>
        <v>1</v>
      </c>
      <c r="AB12" s="773">
        <f>D12/H12</f>
        <v>1.1111111111111112</v>
      </c>
      <c r="AC12" s="773">
        <f>D12/J12</f>
        <v>1</v>
      </c>
    </row>
    <row r="13" spans="1:30" ht="15">
      <c r="A13" s="428"/>
      <c r="B13" s="3290" t="s">
        <v>3199</v>
      </c>
      <c r="C13" s="3291" t="s">
        <v>3200</v>
      </c>
      <c r="D13" s="435">
        <v>100</v>
      </c>
      <c r="E13" s="549">
        <v>25607</v>
      </c>
      <c r="F13" s="136">
        <f>SUMIF(84:84,E13,85:85)-SUMIF(84:84,C13,85:85)+100</f>
        <v>100</v>
      </c>
      <c r="G13" s="674">
        <v>21215</v>
      </c>
      <c r="H13" s="435">
        <f>SUMIF(84:84,G13,85:85)-SUMIF(84:84,C13,85:85)+100</f>
        <v>100</v>
      </c>
      <c r="I13" s="674">
        <v>29438</v>
      </c>
      <c r="J13" s="435">
        <f>SUMIF(84:84,I13,85:85)-SUMIF(84:84,C13,85:85)+100</f>
        <v>100</v>
      </c>
      <c r="K13" s="672"/>
      <c r="L13" s="1140"/>
      <c r="M13" s="1131"/>
      <c r="N13" s="1131"/>
      <c r="O13" s="1139"/>
      <c r="P13" s="3207"/>
      <c r="Q13" s="1794" t="str">
        <f t="shared" si="6"/>
        <v>限价</v>
      </c>
      <c r="R13" s="770" t="s">
        <v>17</v>
      </c>
      <c r="S13" s="771">
        <f t="shared" si="0"/>
        <v>100</v>
      </c>
      <c r="T13" s="770" t="s">
        <v>17</v>
      </c>
      <c r="U13" s="771">
        <f t="shared" si="1"/>
        <v>100</v>
      </c>
      <c r="V13" s="770" t="s">
        <v>17</v>
      </c>
      <c r="W13" s="771">
        <f t="shared" si="2"/>
        <v>100</v>
      </c>
      <c r="X13" s="772"/>
      <c r="Y13" s="3022"/>
      <c r="Z13" s="55" t="str">
        <f t="shared" si="7"/>
        <v>限价</v>
      </c>
      <c r="AA13" s="773">
        <f>D13/F13</f>
        <v>1</v>
      </c>
      <c r="AB13" s="773">
        <f>D13/H13</f>
        <v>1</v>
      </c>
      <c r="AC13" s="773">
        <f>D13/J13</f>
        <v>1</v>
      </c>
    </row>
    <row r="14" spans="1:30" ht="15.75" thickBot="1">
      <c r="A14" s="436"/>
      <c r="B14" s="2602"/>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4">
        <f t="shared" si="6"/>
        <v>0</v>
      </c>
      <c r="R14" s="770" t="s">
        <v>17</v>
      </c>
      <c r="S14" s="771">
        <f t="shared" si="0"/>
        <v>100</v>
      </c>
      <c r="T14" s="770" t="s">
        <v>17</v>
      </c>
      <c r="U14" s="771">
        <f t="shared" si="1"/>
        <v>100</v>
      </c>
      <c r="V14" s="770" t="s">
        <v>17</v>
      </c>
      <c r="W14" s="771">
        <f t="shared" si="2"/>
        <v>100</v>
      </c>
      <c r="X14" s="772"/>
      <c r="Y14" s="3022"/>
      <c r="Z14" s="55">
        <f t="shared" si="7"/>
        <v>0</v>
      </c>
      <c r="AA14" s="773">
        <f>D14/F14</f>
        <v>1</v>
      </c>
      <c r="AB14" s="773">
        <f>D14/H14</f>
        <v>1</v>
      </c>
      <c r="AC14" s="773">
        <f>D14/J14</f>
        <v>1</v>
      </c>
    </row>
    <row r="15" spans="1:30" ht="71.2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103</v>
      </c>
      <c r="G15" s="442"/>
      <c r="H15" s="441">
        <f>SUMIF(88:88,G16,89:89)-SUMIF(88:88,C16,89:89)+100</f>
        <v>103</v>
      </c>
      <c r="I15" s="444"/>
      <c r="J15" s="441">
        <f>SUMIF(88:88,I16,89:89)-SUMIF(88:88,C16,89:89)+100</f>
        <v>100</v>
      </c>
      <c r="K15" s="673">
        <v>3</v>
      </c>
      <c r="L15" s="1140"/>
      <c r="M15" s="1131"/>
      <c r="N15" s="1131"/>
      <c r="O15" s="1139"/>
      <c r="P15" s="3209" t="s">
        <v>2558</v>
      </c>
      <c r="Q15" s="1809" t="str">
        <f t="shared" si="6"/>
        <v>居住社区成熟度</v>
      </c>
      <c r="R15" s="774" t="s">
        <v>17</v>
      </c>
      <c r="S15" s="775">
        <f t="shared" si="0"/>
        <v>103</v>
      </c>
      <c r="T15" s="774" t="s">
        <v>17</v>
      </c>
      <c r="U15" s="775">
        <f t="shared" si="1"/>
        <v>103</v>
      </c>
      <c r="V15" s="774" t="s">
        <v>17</v>
      </c>
      <c r="W15" s="775">
        <f t="shared" si="2"/>
        <v>100</v>
      </c>
      <c r="X15" s="1812"/>
      <c r="Y15" s="3209" t="s">
        <v>2558</v>
      </c>
      <c r="Z15" s="1813" t="str">
        <f t="shared" si="7"/>
        <v>居住社区成熟度</v>
      </c>
      <c r="AA15" s="1810">
        <f t="shared" si="3"/>
        <v>0.970873786407767</v>
      </c>
      <c r="AB15" s="1810">
        <f t="shared" si="4"/>
        <v>0.970873786407767</v>
      </c>
      <c r="AC15" s="1810">
        <f t="shared" si="5"/>
        <v>1</v>
      </c>
    </row>
    <row r="16" spans="1:30" ht="15">
      <c r="A16" s="428"/>
      <c r="B16" s="446"/>
      <c r="C16" s="447" t="s">
        <v>3197</v>
      </c>
      <c r="D16" s="448"/>
      <c r="E16" s="2605" t="s">
        <v>3196</v>
      </c>
      <c r="F16" s="448"/>
      <c r="G16" s="2605" t="s">
        <v>3196</v>
      </c>
      <c r="H16" s="450"/>
      <c r="I16" s="2604" t="s">
        <v>3197</v>
      </c>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09" t="str">
        <f>B17</f>
        <v>商业繁华度</v>
      </c>
      <c r="R17" s="774" t="s">
        <v>17</v>
      </c>
      <c r="S17" s="775">
        <f>F17</f>
        <v>100</v>
      </c>
      <c r="T17" s="774" t="s">
        <v>17</v>
      </c>
      <c r="U17" s="775">
        <f>H17</f>
        <v>100</v>
      </c>
      <c r="V17" s="774" t="s">
        <v>17</v>
      </c>
      <c r="W17" s="775">
        <f>J17</f>
        <v>100</v>
      </c>
      <c r="X17" s="1812"/>
      <c r="Y17" s="3210"/>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09" t="str">
        <f>B19</f>
        <v>办公集聚程度</v>
      </c>
      <c r="R19" s="774" t="s">
        <v>17</v>
      </c>
      <c r="S19" s="775">
        <f>F19</f>
        <v>100</v>
      </c>
      <c r="T19" s="774" t="s">
        <v>17</v>
      </c>
      <c r="U19" s="775">
        <f>H19</f>
        <v>100</v>
      </c>
      <c r="V19" s="774" t="s">
        <v>17</v>
      </c>
      <c r="W19" s="775">
        <f>J19</f>
        <v>100</v>
      </c>
      <c r="X19" s="1812"/>
      <c r="Y19" s="3210"/>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210"/>
      <c r="Q20" s="1809"/>
      <c r="R20" s="774"/>
      <c r="S20" s="775"/>
      <c r="T20" s="774"/>
      <c r="U20" s="775"/>
      <c r="V20" s="774"/>
      <c r="W20" s="775"/>
      <c r="X20" s="1812"/>
      <c r="Y20" s="3210"/>
      <c r="Z20" s="1813"/>
      <c r="AA20" s="1810">
        <v>1</v>
      </c>
      <c r="AB20" s="1810">
        <v>1</v>
      </c>
      <c r="AC20" s="1810">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100</v>
      </c>
      <c r="K21" s="673">
        <v>2</v>
      </c>
      <c r="L21" s="1140"/>
      <c r="M21" s="1131"/>
      <c r="N21" s="1131"/>
      <c r="O21" s="1139"/>
      <c r="P21" s="3210"/>
      <c r="Q21" s="1809" t="str">
        <f>B21</f>
        <v>交通便捷度</v>
      </c>
      <c r="R21" s="774" t="s">
        <v>17</v>
      </c>
      <c r="S21" s="775">
        <f>F21</f>
        <v>102</v>
      </c>
      <c r="T21" s="774" t="s">
        <v>17</v>
      </c>
      <c r="U21" s="775">
        <f>H21</f>
        <v>102</v>
      </c>
      <c r="V21" s="774" t="s">
        <v>17</v>
      </c>
      <c r="W21" s="775">
        <f>J21</f>
        <v>100</v>
      </c>
      <c r="X21" s="1812"/>
      <c r="Y21" s="3210"/>
      <c r="Z21" s="1813" t="str">
        <f>Q21</f>
        <v>交通便捷度</v>
      </c>
      <c r="AA21" s="1810">
        <f t="shared" si="3"/>
        <v>0.98039215686274506</v>
      </c>
      <c r="AB21" s="1810">
        <f t="shared" si="4"/>
        <v>0.98039215686274506</v>
      </c>
      <c r="AC21" s="1810">
        <f t="shared" si="5"/>
        <v>1</v>
      </c>
    </row>
    <row r="22" spans="1:29" ht="15">
      <c r="A22" s="428"/>
      <c r="B22" s="1384"/>
      <c r="C22" s="447" t="s">
        <v>3197</v>
      </c>
      <c r="D22" s="450"/>
      <c r="E22" s="2605" t="s">
        <v>3196</v>
      </c>
      <c r="F22" s="448"/>
      <c r="G22" s="2605" t="s">
        <v>3196</v>
      </c>
      <c r="H22" s="448"/>
      <c r="I22" s="2604" t="s">
        <v>3197</v>
      </c>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09" t="str">
        <f t="shared" ref="Q23:Q37" si="8">B23</f>
        <v>区域土地利用方向</v>
      </c>
      <c r="R23" s="774" t="s">
        <v>17</v>
      </c>
      <c r="S23" s="775">
        <f>F23</f>
        <v>100</v>
      </c>
      <c r="T23" s="774" t="s">
        <v>17</v>
      </c>
      <c r="U23" s="775">
        <f>H23</f>
        <v>100</v>
      </c>
      <c r="V23" s="774" t="s">
        <v>17</v>
      </c>
      <c r="W23" s="775">
        <f>J23</f>
        <v>100</v>
      </c>
      <c r="X23" s="1812"/>
      <c r="Y23" s="3210"/>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210"/>
      <c r="Q24" s="1809"/>
      <c r="R24" s="774"/>
      <c r="S24" s="775"/>
      <c r="T24" s="774"/>
      <c r="U24" s="775"/>
      <c r="V24" s="774"/>
      <c r="W24" s="775"/>
      <c r="X24" s="1812"/>
      <c r="Y24" s="3210"/>
      <c r="Z24" s="1813"/>
      <c r="AA24" s="1810"/>
      <c r="AB24" s="1810"/>
      <c r="AC24" s="1810"/>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1</v>
      </c>
      <c r="L25" s="1140"/>
      <c r="M25" s="1131"/>
      <c r="N25" s="1131"/>
      <c r="O25" s="1139"/>
      <c r="P25" s="3210"/>
      <c r="Q25" s="1809" t="str">
        <f t="shared" si="8"/>
        <v>自然及人文环境状况</v>
      </c>
      <c r="R25" s="774" t="s">
        <v>17</v>
      </c>
      <c r="S25" s="775">
        <f>F25</f>
        <v>100</v>
      </c>
      <c r="T25" s="774" t="s">
        <v>17</v>
      </c>
      <c r="U25" s="775">
        <f>H25</f>
        <v>100</v>
      </c>
      <c r="V25" s="774" t="s">
        <v>17</v>
      </c>
      <c r="W25" s="775">
        <f>J25</f>
        <v>100</v>
      </c>
      <c r="X25" s="1812"/>
      <c r="Y25" s="3210"/>
      <c r="Z25" s="1813" t="str">
        <f>Q25</f>
        <v>自然及人文环境状况</v>
      </c>
      <c r="AA25" s="1810">
        <f t="shared" si="3"/>
        <v>1</v>
      </c>
      <c r="AB25" s="1810">
        <f t="shared" si="4"/>
        <v>1</v>
      </c>
      <c r="AC25" s="1810">
        <f t="shared" si="5"/>
        <v>1</v>
      </c>
    </row>
    <row r="26" spans="1:29" ht="15">
      <c r="A26" s="404"/>
      <c r="B26" s="456"/>
      <c r="C26" s="447" t="s">
        <v>3196</v>
      </c>
      <c r="D26" s="448"/>
      <c r="E26" s="447" t="s">
        <v>3196</v>
      </c>
      <c r="F26" s="448"/>
      <c r="G26" s="447" t="s">
        <v>3196</v>
      </c>
      <c r="H26" s="448"/>
      <c r="I26" s="447" t="s">
        <v>3196</v>
      </c>
      <c r="J26" s="448"/>
      <c r="K26" s="672"/>
      <c r="L26" s="1140"/>
      <c r="M26" s="1131"/>
      <c r="N26" s="1131"/>
      <c r="O26" s="1139"/>
      <c r="P26" s="3210"/>
      <c r="Q26" s="1809"/>
      <c r="R26" s="774"/>
      <c r="S26" s="775"/>
      <c r="T26" s="774"/>
      <c r="U26" s="775"/>
      <c r="V26" s="774"/>
      <c r="W26" s="775"/>
      <c r="X26" s="1812"/>
      <c r="Y26" s="3210"/>
      <c r="Z26" s="1813"/>
      <c r="AA26" s="1810">
        <v>1</v>
      </c>
      <c r="AB26" s="1810">
        <v>1</v>
      </c>
      <c r="AC26" s="1810">
        <v>1</v>
      </c>
    </row>
    <row r="27" spans="1:29" s="117" customFormat="1" ht="28.5">
      <c r="A27" s="649"/>
      <c r="B27" s="1384" t="s">
        <v>2652</v>
      </c>
      <c r="C27" s="2607"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100</v>
      </c>
      <c r="K27" s="673">
        <v>2</v>
      </c>
      <c r="L27" s="1132"/>
      <c r="M27" s="1133"/>
      <c r="N27" s="1133"/>
      <c r="O27" s="1134"/>
      <c r="P27" s="3210"/>
      <c r="Q27" s="1794" t="str">
        <f t="shared" si="8"/>
        <v>公共配套设施</v>
      </c>
      <c r="R27" s="770" t="s">
        <v>17</v>
      </c>
      <c r="S27" s="771">
        <f>F27</f>
        <v>102</v>
      </c>
      <c r="T27" s="770" t="s">
        <v>17</v>
      </c>
      <c r="U27" s="771">
        <f>H27</f>
        <v>102</v>
      </c>
      <c r="V27" s="770" t="s">
        <v>17</v>
      </c>
      <c r="W27" s="771">
        <f>J27</f>
        <v>100</v>
      </c>
      <c r="X27" s="772"/>
      <c r="Y27" s="3210"/>
      <c r="Z27" s="55" t="str">
        <f>Q27</f>
        <v>公共配套设施</v>
      </c>
      <c r="AA27" s="1810">
        <f>D27/F27</f>
        <v>0.98039215686274506</v>
      </c>
      <c r="AB27" s="1810">
        <f>D27/H27</f>
        <v>0.98039215686274506</v>
      </c>
      <c r="AC27" s="1810">
        <f>D27/J27</f>
        <v>1</v>
      </c>
    </row>
    <row r="28" spans="1:29" s="117" customFormat="1" ht="15">
      <c r="A28" s="649"/>
      <c r="B28" s="456"/>
      <c r="C28" s="2700" t="s">
        <v>3197</v>
      </c>
      <c r="D28" s="448"/>
      <c r="E28" s="2611" t="s">
        <v>3196</v>
      </c>
      <c r="F28" s="448"/>
      <c r="G28" s="2611" t="s">
        <v>3196</v>
      </c>
      <c r="H28" s="448"/>
      <c r="I28" s="447" t="s">
        <v>3197</v>
      </c>
      <c r="J28" s="448"/>
      <c r="K28" s="672"/>
      <c r="L28" s="1132"/>
      <c r="M28" s="1133"/>
      <c r="N28" s="1133"/>
      <c r="O28" s="1134"/>
      <c r="P28" s="3210"/>
      <c r="Q28" s="1794"/>
      <c r="R28" s="770"/>
      <c r="S28" s="771"/>
      <c r="T28" s="770"/>
      <c r="U28" s="771"/>
      <c r="V28" s="770"/>
      <c r="W28" s="771"/>
      <c r="X28" s="772"/>
      <c r="Y28" s="3210"/>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10"/>
      <c r="Q29" s="1794"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0">
        <f>D29/F29</f>
        <v>1</v>
      </c>
      <c r="AB29" s="1810">
        <f>D29/H29</f>
        <v>1</v>
      </c>
      <c r="AC29" s="1810">
        <f>D29/J29</f>
        <v>1</v>
      </c>
    </row>
    <row r="30" spans="1:29" s="117" customFormat="1" ht="15">
      <c r="A30" s="649"/>
      <c r="B30" s="456"/>
      <c r="C30" s="2700" t="s">
        <v>3198</v>
      </c>
      <c r="D30" s="448"/>
      <c r="E30" s="2700" t="s">
        <v>3198</v>
      </c>
      <c r="F30" s="448"/>
      <c r="G30" s="2700" t="s">
        <v>3198</v>
      </c>
      <c r="H30" s="448"/>
      <c r="I30" s="2700" t="s">
        <v>3198</v>
      </c>
      <c r="J30" s="448"/>
      <c r="K30" s="672"/>
      <c r="L30" s="1132"/>
      <c r="M30" s="1133"/>
      <c r="N30" s="1133"/>
      <c r="O30" s="1134"/>
      <c r="P30" s="3210"/>
      <c r="Q30" s="1794"/>
      <c r="R30" s="770"/>
      <c r="S30" s="771"/>
      <c r="T30" s="770"/>
      <c r="U30" s="771"/>
      <c r="V30" s="770"/>
      <c r="W30" s="771"/>
      <c r="X30" s="772"/>
      <c r="Y30" s="3210"/>
      <c r="Z30" s="55"/>
      <c r="AA30" s="1810">
        <v>1</v>
      </c>
      <c r="AB30" s="1810">
        <v>1</v>
      </c>
      <c r="AC30" s="1810">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0"/>
      <c r="Z31" s="1813" t="str">
        <f t="shared" ref="Z31:Z45" si="13">Q31</f>
        <v>临街状况</v>
      </c>
      <c r="AA31" s="1810">
        <f t="shared" si="3"/>
        <v>1</v>
      </c>
      <c r="AB31" s="1810">
        <f t="shared" si="4"/>
        <v>1</v>
      </c>
      <c r="AC31" s="1810">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09" t="str">
        <f t="shared" si="8"/>
        <v>毗邻道路的类型与等级</v>
      </c>
      <c r="R32" s="774" t="s">
        <v>17</v>
      </c>
      <c r="S32" s="775">
        <f t="shared" si="10"/>
        <v>100</v>
      </c>
      <c r="T32" s="774" t="s">
        <v>17</v>
      </c>
      <c r="U32" s="775">
        <f t="shared" si="11"/>
        <v>100</v>
      </c>
      <c r="V32" s="774" t="s">
        <v>17</v>
      </c>
      <c r="W32" s="775">
        <f t="shared" si="12"/>
        <v>100</v>
      </c>
      <c r="X32" s="1812"/>
      <c r="Y32" s="3210"/>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210"/>
      <c r="Q33" s="1809"/>
      <c r="R33" s="774"/>
      <c r="S33" s="775"/>
      <c r="T33" s="774"/>
      <c r="U33" s="775"/>
      <c r="V33" s="774"/>
      <c r="W33" s="775"/>
      <c r="X33" s="1812"/>
      <c r="Y33" s="3210"/>
      <c r="Z33" s="1813"/>
      <c r="AA33" s="1810">
        <v>1</v>
      </c>
      <c r="AB33" s="1810">
        <v>1</v>
      </c>
      <c r="AC33" s="1810">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09" t="str">
        <f t="shared" si="8"/>
        <v>土地级别</v>
      </c>
      <c r="R34" s="774" t="s">
        <v>17</v>
      </c>
      <c r="S34" s="775">
        <f t="shared" si="10"/>
        <v>100</v>
      </c>
      <c r="T34" s="774" t="s">
        <v>17</v>
      </c>
      <c r="U34" s="775">
        <f t="shared" si="11"/>
        <v>100</v>
      </c>
      <c r="V34" s="774" t="s">
        <v>17</v>
      </c>
      <c r="W34" s="775">
        <f t="shared" si="12"/>
        <v>100</v>
      </c>
      <c r="X34" s="1812"/>
      <c r="Y34" s="321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09">
        <f t="shared" si="8"/>
        <v>111</v>
      </c>
      <c r="R35" s="774" t="s">
        <v>17</v>
      </c>
      <c r="S35" s="775">
        <f t="shared" si="10"/>
        <v>100</v>
      </c>
      <c r="T35" s="774" t="s">
        <v>17</v>
      </c>
      <c r="U35" s="775">
        <f t="shared" si="11"/>
        <v>100</v>
      </c>
      <c r="V35" s="774" t="s">
        <v>17</v>
      </c>
      <c r="W35" s="775">
        <f t="shared" si="12"/>
        <v>100</v>
      </c>
      <c r="X35" s="1812"/>
      <c r="Y35" s="321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2563</v>
      </c>
      <c r="Q36" s="1809">
        <f t="shared" si="8"/>
        <v>111</v>
      </c>
      <c r="R36" s="774" t="s">
        <v>17</v>
      </c>
      <c r="S36" s="775">
        <f t="shared" si="10"/>
        <v>100</v>
      </c>
      <c r="T36" s="774" t="s">
        <v>17</v>
      </c>
      <c r="U36" s="775">
        <f t="shared" si="11"/>
        <v>100</v>
      </c>
      <c r="V36" s="774" t="s">
        <v>17</v>
      </c>
      <c r="W36" s="775">
        <f t="shared" si="12"/>
        <v>100</v>
      </c>
      <c r="X36" s="1812"/>
      <c r="Y36" s="3214" t="s">
        <v>2563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09">
        <f t="shared" si="8"/>
        <v>111</v>
      </c>
      <c r="R37" s="777" t="s">
        <v>17</v>
      </c>
      <c r="S37" s="778">
        <f t="shared" si="10"/>
        <v>100</v>
      </c>
      <c r="T37" s="777" t="s">
        <v>17</v>
      </c>
      <c r="U37" s="778">
        <f t="shared" si="11"/>
        <v>100</v>
      </c>
      <c r="V37" s="777" t="s">
        <v>17</v>
      </c>
      <c r="W37" s="778">
        <f t="shared" si="12"/>
        <v>100</v>
      </c>
      <c r="X37" s="779"/>
      <c r="Y37" s="3214"/>
      <c r="Z37" s="780">
        <f t="shared" si="13"/>
        <v>111</v>
      </c>
      <c r="AA37" s="1810">
        <f t="shared" si="3"/>
        <v>1</v>
      </c>
      <c r="AB37" s="1810">
        <f t="shared" si="4"/>
        <v>1</v>
      </c>
      <c r="AC37" s="1810">
        <f t="shared" si="5"/>
        <v>1</v>
      </c>
    </row>
    <row r="38" spans="1:29" ht="15">
      <c r="A38" s="472" t="s">
        <v>2561</v>
      </c>
      <c r="B38" s="456" t="s">
        <v>2749</v>
      </c>
      <c r="C38" s="679">
        <f>'数据-汇总表'!D3</f>
        <v>130728.99</v>
      </c>
      <c r="D38" s="467">
        <v>100</v>
      </c>
      <c r="E38" s="679">
        <f>Sheet2!E5</f>
        <v>63574.45</v>
      </c>
      <c r="F38" s="467">
        <f>LOOKUP(E38,117:117,118:118)-LOOKUP(C38,117:117,118:118)+100</f>
        <v>99</v>
      </c>
      <c r="G38" s="679">
        <f>Sheet2!E7</f>
        <v>60999.15</v>
      </c>
      <c r="H38" s="467">
        <f>LOOKUP(G38,117:117,118:118)-LOOKUP(C38,117:117,118:118)+100</f>
        <v>99</v>
      </c>
      <c r="I38" s="530">
        <f>Sheet2!E22</f>
        <v>70400.429999999993</v>
      </c>
      <c r="J38" s="467">
        <f>LOOKUP(I38,117:117,118:118)-LOOKUP(C38,117:117,118:118)+100</f>
        <v>99</v>
      </c>
      <c r="K38" s="613"/>
      <c r="L38" s="1140"/>
      <c r="M38" s="1131"/>
      <c r="N38" s="1131"/>
      <c r="O38" s="1139"/>
      <c r="P38" s="3214"/>
      <c r="Q38" s="1809" t="str">
        <f>B38</f>
        <v>宗地面积</v>
      </c>
      <c r="R38" s="774" t="s">
        <v>17</v>
      </c>
      <c r="S38" s="775">
        <f t="shared" si="10"/>
        <v>99</v>
      </c>
      <c r="T38" s="774" t="s">
        <v>17</v>
      </c>
      <c r="U38" s="775">
        <f t="shared" si="11"/>
        <v>99</v>
      </c>
      <c r="V38" s="774" t="s">
        <v>17</v>
      </c>
      <c r="W38" s="775">
        <f t="shared" si="12"/>
        <v>99</v>
      </c>
      <c r="X38" s="1812"/>
      <c r="Y38" s="3214"/>
      <c r="Z38" s="1813" t="str">
        <f t="shared" si="13"/>
        <v>宗地面积</v>
      </c>
      <c r="AA38" s="1810">
        <f t="shared" si="3"/>
        <v>1.0101010101010102</v>
      </c>
      <c r="AB38" s="1810">
        <f t="shared" si="4"/>
        <v>1.0101010101010102</v>
      </c>
      <c r="AC38" s="1810">
        <f t="shared" si="5"/>
        <v>1.0101010101010102</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4"/>
      <c r="Q39" s="1809" t="str">
        <f t="shared" ref="Q39:Q45" si="14">B39</f>
        <v>宗地形状</v>
      </c>
      <c r="R39" s="774" t="s">
        <v>17</v>
      </c>
      <c r="S39" s="775">
        <f t="shared" si="10"/>
        <v>100</v>
      </c>
      <c r="T39" s="774" t="s">
        <v>17</v>
      </c>
      <c r="U39" s="775">
        <f t="shared" si="11"/>
        <v>100</v>
      </c>
      <c r="V39" s="774" t="s">
        <v>17</v>
      </c>
      <c r="W39" s="775">
        <f t="shared" si="12"/>
        <v>100</v>
      </c>
      <c r="X39" s="1812"/>
      <c r="Y39" s="3214"/>
      <c r="Z39" s="1813" t="str">
        <f t="shared" si="13"/>
        <v>宗地形状</v>
      </c>
      <c r="AA39" s="1810">
        <f t="shared" si="3"/>
        <v>1</v>
      </c>
      <c r="AB39" s="1810">
        <f t="shared" si="4"/>
        <v>1</v>
      </c>
      <c r="AC39" s="1810">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4"/>
      <c r="Q40" s="1809" t="str">
        <f t="shared" si="14"/>
        <v>临街宽度及深度</v>
      </c>
      <c r="R40" s="774" t="s">
        <v>17</v>
      </c>
      <c r="S40" s="775">
        <f t="shared" si="10"/>
        <v>100</v>
      </c>
      <c r="T40" s="774" t="s">
        <v>17</v>
      </c>
      <c r="U40" s="775">
        <f t="shared" si="11"/>
        <v>100</v>
      </c>
      <c r="V40" s="774" t="s">
        <v>17</v>
      </c>
      <c r="W40" s="775">
        <f t="shared" si="12"/>
        <v>100</v>
      </c>
      <c r="X40" s="1812"/>
      <c r="Y40" s="3214"/>
      <c r="Z40" s="1813" t="str">
        <f t="shared" si="13"/>
        <v>临街宽度及深度</v>
      </c>
      <c r="AA40" s="1810">
        <f t="shared" si="3"/>
        <v>1</v>
      </c>
      <c r="AB40" s="1810">
        <f t="shared" si="4"/>
        <v>1</v>
      </c>
      <c r="AC40" s="1810">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4"/>
      <c r="Q41" s="1809"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4" t="s">
        <v>2563</v>
      </c>
      <c r="Q42" s="1809" t="str">
        <f t="shared" si="14"/>
        <v>工程地质条件</v>
      </c>
      <c r="R42" s="774" t="s">
        <v>17</v>
      </c>
      <c r="S42" s="775">
        <f t="shared" si="10"/>
        <v>100</v>
      </c>
      <c r="T42" s="774" t="s">
        <v>17</v>
      </c>
      <c r="U42" s="775">
        <f t="shared" si="11"/>
        <v>100</v>
      </c>
      <c r="V42" s="774" t="s">
        <v>17</v>
      </c>
      <c r="W42" s="775">
        <f t="shared" si="12"/>
        <v>100</v>
      </c>
      <c r="X42" s="1812"/>
      <c r="Y42" s="3214"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09">
        <f t="shared" si="14"/>
        <v>111</v>
      </c>
      <c r="R43" s="774" t="s">
        <v>17</v>
      </c>
      <c r="S43" s="775">
        <f t="shared" si="10"/>
        <v>100</v>
      </c>
      <c r="T43" s="774" t="s">
        <v>17</v>
      </c>
      <c r="U43" s="775">
        <f t="shared" si="11"/>
        <v>100</v>
      </c>
      <c r="V43" s="774" t="s">
        <v>17</v>
      </c>
      <c r="W43" s="775">
        <f t="shared" si="12"/>
        <v>100</v>
      </c>
      <c r="X43" s="1812"/>
      <c r="Y43" s="3214"/>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09">
        <f t="shared" si="14"/>
        <v>111</v>
      </c>
      <c r="R44" s="774" t="s">
        <v>17</v>
      </c>
      <c r="S44" s="775">
        <f t="shared" si="10"/>
        <v>100</v>
      </c>
      <c r="T44" s="774" t="s">
        <v>17</v>
      </c>
      <c r="U44" s="775">
        <f t="shared" si="11"/>
        <v>100</v>
      </c>
      <c r="V44" s="774" t="s">
        <v>17</v>
      </c>
      <c r="W44" s="775">
        <f t="shared" si="12"/>
        <v>100</v>
      </c>
      <c r="X44" s="1812"/>
      <c r="Y44" s="3214"/>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09">
        <f t="shared" si="14"/>
        <v>111</v>
      </c>
      <c r="R45" s="777" t="s">
        <v>17</v>
      </c>
      <c r="S45" s="778">
        <f t="shared" si="10"/>
        <v>100</v>
      </c>
      <c r="T45" s="777" t="s">
        <v>17</v>
      </c>
      <c r="U45" s="778">
        <f t="shared" si="11"/>
        <v>100</v>
      </c>
      <c r="V45" s="777" t="s">
        <v>17</v>
      </c>
      <c r="W45" s="778">
        <f t="shared" si="12"/>
        <v>100</v>
      </c>
      <c r="X45" s="779"/>
      <c r="Y45" s="3214"/>
      <c r="Z45" s="780">
        <f t="shared" si="13"/>
        <v>111</v>
      </c>
      <c r="AA45" s="1810">
        <f t="shared" si="3"/>
        <v>1</v>
      </c>
      <c r="AB45" s="1810">
        <f t="shared" si="4"/>
        <v>1</v>
      </c>
      <c r="AC45" s="1810">
        <f t="shared" si="5"/>
        <v>1</v>
      </c>
    </row>
    <row r="46" spans="1:29" ht="15">
      <c r="A46" s="479" t="s">
        <v>2718</v>
      </c>
      <c r="B46" s="2704" t="s">
        <v>2754</v>
      </c>
      <c r="C46" s="682" t="s">
        <v>1</v>
      </c>
      <c r="D46" s="481"/>
      <c r="E46" s="482">
        <f>ROUND(Sheet2!L5,0)</f>
        <v>15277</v>
      </c>
      <c r="F46" s="483"/>
      <c r="G46" s="484">
        <f>ROUND(Sheet2!L7,0)</f>
        <v>12125</v>
      </c>
      <c r="H46" s="485"/>
      <c r="I46" s="482">
        <f>ROUND(Sheet2!L22,0)</f>
        <v>12434</v>
      </c>
      <c r="J46" s="485"/>
      <c r="K46" s="783"/>
      <c r="L46" s="1143"/>
      <c r="M46" s="1144"/>
      <c r="N46" s="1131"/>
      <c r="O46" s="1144"/>
      <c r="P46" s="3207" t="str">
        <f>A46</f>
        <v>成交单价</v>
      </c>
      <c r="Q46" s="3207"/>
      <c r="R46" s="3202">
        <f>E46</f>
        <v>15277</v>
      </c>
      <c r="S46" s="3202"/>
      <c r="T46" s="3202">
        <f>G46</f>
        <v>12125</v>
      </c>
      <c r="U46" s="3202"/>
      <c r="V46" s="3202">
        <f>I46</f>
        <v>12434</v>
      </c>
      <c r="W46" s="3202"/>
      <c r="X46" s="759"/>
      <c r="Y46" s="781"/>
      <c r="Z46" s="759"/>
      <c r="AA46" s="759"/>
      <c r="AB46" s="759"/>
      <c r="AC46" s="759"/>
    </row>
    <row r="47" spans="1:29" ht="15.75" thickBot="1">
      <c r="A47" s="486" t="s">
        <v>2667</v>
      </c>
      <c r="B47" s="683"/>
      <c r="C47" s="490">
        <f>R48</f>
        <v>14114</v>
      </c>
      <c r="D47" s="489"/>
      <c r="E47" s="490">
        <f>R47</f>
        <v>15073</v>
      </c>
      <c r="F47" s="491"/>
      <c r="G47" s="488">
        <f>T47</f>
        <v>13574</v>
      </c>
      <c r="H47" s="489"/>
      <c r="I47" s="490">
        <f>V47</f>
        <v>13694</v>
      </c>
      <c r="J47" s="489"/>
      <c r="K47" s="784"/>
      <c r="L47" s="1143"/>
      <c r="M47" s="1144"/>
      <c r="N47" s="1144"/>
      <c r="O47" s="1144"/>
      <c r="P47" s="3207" t="str">
        <f>A47</f>
        <v>比较价值（元/平方米）</v>
      </c>
      <c r="Q47" s="3207"/>
      <c r="R47" s="3234">
        <f>ROUND(PRODUCT(R46,AA7:AA45),0)</f>
        <v>15073</v>
      </c>
      <c r="S47" s="3234"/>
      <c r="T47" s="3234">
        <f>ROUND(PRODUCT(T46,AB7:AB45),0)</f>
        <v>13574</v>
      </c>
      <c r="U47" s="3234"/>
      <c r="V47" s="3234">
        <f>ROUND(PRODUCT(V46,AC7:AC45),0)</f>
        <v>13694</v>
      </c>
      <c r="W47" s="3234"/>
      <c r="X47" s="759"/>
      <c r="Y47" s="759"/>
      <c r="Z47" s="759"/>
      <c r="AA47" s="759"/>
      <c r="AB47" s="759"/>
      <c r="AC47" s="759"/>
    </row>
    <row r="48" spans="1:29" ht="15.75" thickBot="1">
      <c r="A48" s="492" t="s">
        <v>2755</v>
      </c>
      <c r="B48" s="493"/>
      <c r="C48" s="494">
        <f>R48</f>
        <v>14114</v>
      </c>
      <c r="D48" s="494"/>
      <c r="E48" s="494"/>
      <c r="F48" s="494"/>
      <c r="G48" s="494"/>
      <c r="H48" s="494"/>
      <c r="I48" s="494"/>
      <c r="J48" s="494"/>
      <c r="K48" s="785"/>
      <c r="L48" s="1143"/>
      <c r="M48" s="1144"/>
      <c r="N48" s="1144"/>
      <c r="O48" s="1144"/>
      <c r="P48" s="3204" t="str">
        <f>A48</f>
        <v>估价对象XX用房的比较价值（楼面单价，元/平方米）</v>
      </c>
      <c r="Q48" s="3205"/>
      <c r="R48" s="3235">
        <f>ROUND(AVERAGE(R47:V47),0)</f>
        <v>14114</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1.3534133881775379E-2</v>
      </c>
      <c r="F51" s="500" t="str">
        <f>IF(OR(E51&gt;=0.3,E51&lt;=-0.3),"超过30%","")</f>
        <v/>
      </c>
      <c r="G51" s="499">
        <f>IF(G46&lt;G47,G47/G46-1,G46/G47-1)</f>
        <v>0.11950515463917522</v>
      </c>
      <c r="H51" s="500" t="str">
        <f>IF(OR(G51&gt;=0.3,G51&lt;=-0.3),"超过30%","")</f>
        <v/>
      </c>
      <c r="I51" s="499">
        <f>IF(I46&lt;I47,I47/I46-1,I46/I47-1)</f>
        <v>0.10133504905903168</v>
      </c>
      <c r="J51" s="500" t="str">
        <f>IF(OR(I51&gt;=0.3,I51&lt;=-0.3),"超过30%","")</f>
        <v/>
      </c>
      <c r="K51" s="1105"/>
      <c r="L51" s="1106"/>
      <c r="M51" s="1144"/>
      <c r="N51" s="1144"/>
      <c r="O51" s="1144"/>
    </row>
    <row r="52" spans="1:15" ht="13.5" customHeight="1">
      <c r="A52" s="1144"/>
      <c r="B52" s="1144"/>
      <c r="C52" s="497" t="s">
        <v>2670</v>
      </c>
      <c r="D52" s="501"/>
      <c r="E52" s="499">
        <f>IF(E47&lt;G47,G47/E47-1,E47/G47-1)</f>
        <v>0.11043170767644028</v>
      </c>
      <c r="F52" s="500" t="str">
        <f>IF(OR(E52&gt;=0.2,E52&lt;=-0.2),"超过20%","")</f>
        <v/>
      </c>
      <c r="G52" s="499">
        <f>IF(G47&lt;I47,I47/G47-1,G47/I47-1)</f>
        <v>8.8404302342715013E-3</v>
      </c>
      <c r="H52" s="500" t="str">
        <f>IF(OR(G52&gt;=0.2,G52&lt;=-0.2),"超过20%","")</f>
        <v/>
      </c>
      <c r="I52" s="499">
        <f>IF(I47&lt;E47,E47/I47-1,I47/E47-1)</f>
        <v>0.10070103695048926</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0.25995876288659803</v>
      </c>
      <c r="F53" s="500" t="str">
        <f>IF(OR(E53&gt;=0.3,E53&lt;=-0.3),"超过30%","")</f>
        <v/>
      </c>
      <c r="G53" s="499">
        <f>IF(G46&lt;I46,I46/G46-1,G46/I46-1)</f>
        <v>2.5484536082474252E-2</v>
      </c>
      <c r="H53" s="500" t="str">
        <f>IF(OR(G53&gt;=0.3,G53&lt;=-0.3),"超过30%","")</f>
        <v/>
      </c>
      <c r="I53" s="499">
        <f>IF(I46&lt;E46,E46/I46-1,I46/E46-1)</f>
        <v>0.22864725751970405</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190" t="s">
        <v>2762</v>
      </c>
      <c r="H55" s="3236"/>
      <c r="I55" s="144" t="s">
        <v>2763</v>
      </c>
      <c r="J55" s="2707">
        <f>项目基本情况!F35</f>
        <v>0</v>
      </c>
      <c r="K55" s="2708" t="s">
        <v>2764</v>
      </c>
      <c r="L55" s="1106"/>
      <c r="M55" s="1144"/>
      <c r="N55" s="1144"/>
      <c r="O55" s="1144"/>
    </row>
    <row r="56" spans="1:15" s="692" customFormat="1">
      <c r="A56" s="688" t="s">
        <v>2765</v>
      </c>
      <c r="B56" s="689">
        <f>C48</f>
        <v>14114</v>
      </c>
      <c r="C56" s="690">
        <v>1</v>
      </c>
      <c r="D56" s="1163">
        <v>1</v>
      </c>
      <c r="E56" s="690">
        <f>'数据-汇总表'!E8+'数据-汇总表'!E9</f>
        <v>150322.14999999997</v>
      </c>
      <c r="F56" s="1103">
        <f t="shared" ref="F56:F65" si="15">ROUND(B56*E56/10000,0)</f>
        <v>212165</v>
      </c>
      <c r="G56" s="3189"/>
      <c r="H56" s="3207"/>
      <c r="I56" s="1108">
        <v>1</v>
      </c>
      <c r="J56" s="1111">
        <v>1</v>
      </c>
      <c r="K56" s="1145"/>
      <c r="L56" s="941"/>
      <c r="M56" s="941"/>
      <c r="N56" s="941"/>
      <c r="O56" s="941"/>
    </row>
    <row r="57" spans="1:15" s="692" customFormat="1">
      <c r="A57" s="693" t="s">
        <v>2766</v>
      </c>
      <c r="B57" s="262">
        <f>ROUND($C$48*C57*D57,0)</f>
        <v>2117</v>
      </c>
      <c r="C57" s="200">
        <f t="shared" ref="C57:C65" si="16">IF($C$55="北京市系数",I57,J57)</f>
        <v>0.6</v>
      </c>
      <c r="D57" s="1164">
        <v>0.25</v>
      </c>
      <c r="E57" s="694"/>
      <c r="F57" s="1103">
        <f t="shared" si="15"/>
        <v>0</v>
      </c>
      <c r="G57" s="3237" t="s">
        <v>2767</v>
      </c>
      <c r="H57" s="1104" t="str">
        <f>项目基本情况!B37</f>
        <v>十一级</v>
      </c>
      <c r="I57" s="1108">
        <f>SUMIF(修正!A45:A56,H57,修正!B45:B56)</f>
        <v>0.6</v>
      </c>
      <c r="J57" s="1112"/>
      <c r="K57" s="1144"/>
      <c r="L57" s="941"/>
      <c r="M57" s="941"/>
      <c r="N57" s="941"/>
      <c r="O57" s="941"/>
    </row>
    <row r="58" spans="1:15" s="692" customFormat="1">
      <c r="A58" s="693" t="s">
        <v>2768</v>
      </c>
      <c r="B58" s="262">
        <f t="shared" ref="B58:B65" si="17">ROUND($C$48*C58*D58,0)</f>
        <v>1059</v>
      </c>
      <c r="C58" s="200">
        <f t="shared" si="16"/>
        <v>0.3</v>
      </c>
      <c r="D58" s="1164">
        <v>0.25</v>
      </c>
      <c r="E58" s="694"/>
      <c r="F58" s="1103">
        <f t="shared" si="15"/>
        <v>0</v>
      </c>
      <c r="G58" s="3237"/>
      <c r="H58" s="1104" t="str">
        <f>项目基本情况!B37</f>
        <v>十一级</v>
      </c>
      <c r="I58" s="1108">
        <f>SUMIF(修正!A45:A56,H58,修正!C45:C56)</f>
        <v>0.3</v>
      </c>
      <c r="J58" s="1112"/>
      <c r="K58" s="1145"/>
      <c r="L58" s="941"/>
      <c r="M58" s="941"/>
      <c r="N58" s="941"/>
      <c r="O58" s="941"/>
    </row>
    <row r="59" spans="1:15" s="692" customFormat="1">
      <c r="A59" s="693" t="s">
        <v>2769</v>
      </c>
      <c r="B59" s="262">
        <f t="shared" si="17"/>
        <v>706</v>
      </c>
      <c r="C59" s="200">
        <f t="shared" si="16"/>
        <v>0.2</v>
      </c>
      <c r="D59" s="1164">
        <v>0.25</v>
      </c>
      <c r="E59" s="694"/>
      <c r="F59" s="1103">
        <f t="shared" si="15"/>
        <v>0</v>
      </c>
      <c r="G59" s="3237"/>
      <c r="H59" s="1104" t="str">
        <f>项目基本情况!B37</f>
        <v>十一级</v>
      </c>
      <c r="I59" s="1108">
        <f>SUMIF(修正!A45:A56,H59,修正!D45:D56)</f>
        <v>0.2</v>
      </c>
      <c r="J59" s="1112"/>
      <c r="K59" s="1144"/>
      <c r="L59" s="941"/>
      <c r="M59" s="941"/>
      <c r="N59" s="941"/>
      <c r="O59" s="941"/>
    </row>
    <row r="60" spans="1:15" s="692" customFormat="1">
      <c r="A60" s="693" t="s">
        <v>2770</v>
      </c>
      <c r="B60" s="262">
        <f t="shared" si="17"/>
        <v>706</v>
      </c>
      <c r="C60" s="200">
        <f t="shared" si="16"/>
        <v>0.2</v>
      </c>
      <c r="D60" s="1164">
        <v>0.25</v>
      </c>
      <c r="E60" s="694"/>
      <c r="F60" s="1103">
        <f t="shared" si="15"/>
        <v>0</v>
      </c>
      <c r="G60" s="3237"/>
      <c r="H60" s="1104" t="str">
        <f>项目基本情况!B37</f>
        <v>十一级</v>
      </c>
      <c r="I60" s="1108">
        <f>SUMIF(修正!A45:A56,H60,修正!E45:E56)</f>
        <v>0.2</v>
      </c>
      <c r="J60" s="1112"/>
      <c r="K60" s="1145"/>
      <c r="L60" s="941"/>
      <c r="M60" s="941"/>
      <c r="N60" s="941"/>
      <c r="O60" s="941"/>
    </row>
    <row r="61" spans="1:15" s="692" customFormat="1">
      <c r="A61" s="693" t="s">
        <v>2771</v>
      </c>
      <c r="B61" s="262">
        <f t="shared" si="17"/>
        <v>706</v>
      </c>
      <c r="C61" s="200">
        <f t="shared" si="16"/>
        <v>0.2</v>
      </c>
      <c r="D61" s="1164">
        <v>0.25</v>
      </c>
      <c r="E61" s="261">
        <f>'数据-汇总表'!E11</f>
        <v>0</v>
      </c>
      <c r="F61" s="1103">
        <f t="shared" si="15"/>
        <v>0</v>
      </c>
      <c r="G61" s="2709" t="s">
        <v>2772</v>
      </c>
      <c r="H61" s="1104" t="str">
        <f>项目基本情况!C37</f>
        <v>十一级</v>
      </c>
      <c r="I61" s="1108">
        <f>SUMIF(修正!A45:A56,H61,修正!F45:F56)</f>
        <v>0.2</v>
      </c>
      <c r="J61" s="1112"/>
      <c r="K61" s="1144"/>
      <c r="L61" s="941"/>
      <c r="M61" s="941"/>
      <c r="N61" s="941"/>
      <c r="O61" s="941"/>
    </row>
    <row r="62" spans="1:15" s="692" customFormat="1">
      <c r="A62" s="693" t="s">
        <v>2773</v>
      </c>
      <c r="B62" s="262">
        <f t="shared" si="17"/>
        <v>706</v>
      </c>
      <c r="C62" s="200">
        <f t="shared" si="16"/>
        <v>0.2</v>
      </c>
      <c r="D62" s="1164">
        <v>0.25</v>
      </c>
      <c r="E62" s="261">
        <f>'数据-汇总表'!E12</f>
        <v>0</v>
      </c>
      <c r="F62" s="1103">
        <f t="shared" si="15"/>
        <v>0</v>
      </c>
      <c r="G62" s="1109" t="s">
        <v>2774</v>
      </c>
      <c r="H62" s="1104" t="str">
        <f>IF(G62="商业",项目基本情况!B37,IF(G62="办公",项目基本情况!C37,IF(G62="住宅",项目基本情况!D37,项目基本情况!E37)))</f>
        <v>十一级</v>
      </c>
      <c r="I62" s="1108">
        <f>SUMIF(修正!A45:A56,H62,修正!G45:G56)</f>
        <v>0.2</v>
      </c>
      <c r="J62" s="1112"/>
      <c r="K62" s="1145"/>
      <c r="L62" s="941"/>
      <c r="M62" s="941"/>
      <c r="N62" s="941"/>
      <c r="O62" s="941"/>
    </row>
    <row r="63" spans="1:15" s="692" customFormat="1">
      <c r="A63" s="693" t="s">
        <v>2775</v>
      </c>
      <c r="B63" s="262">
        <f t="shared" si="17"/>
        <v>529</v>
      </c>
      <c r="C63" s="200">
        <f t="shared" si="16"/>
        <v>0.15</v>
      </c>
      <c r="D63" s="1164">
        <v>0.25</v>
      </c>
      <c r="E63" s="261">
        <f>'数据-汇总表'!E13</f>
        <v>74924.460000000006</v>
      </c>
      <c r="F63" s="1103">
        <f t="shared" si="15"/>
        <v>3964</v>
      </c>
      <c r="G63" s="1109" t="s">
        <v>2776</v>
      </c>
      <c r="H63" s="1104" t="str">
        <f>IF(G63="商业",项目基本情况!B37,IF(G63="办公",项目基本情况!C37,IF(G63="住宅",项目基本情况!D37,项目基本情况!E37)))</f>
        <v>十一级</v>
      </c>
      <c r="I63" s="1108">
        <f>SUMIF(修正!A45:A56,H63,修正!H45:H56)</f>
        <v>0.15</v>
      </c>
      <c r="J63" s="1112"/>
      <c r="K63" s="1144"/>
      <c r="L63" s="941"/>
      <c r="M63" s="941"/>
      <c r="N63" s="941"/>
      <c r="O63" s="941"/>
    </row>
    <row r="64" spans="1:15" s="692" customFormat="1">
      <c r="A64" s="693" t="s">
        <v>2777</v>
      </c>
      <c r="B64" s="262">
        <f t="shared" si="17"/>
        <v>529</v>
      </c>
      <c r="C64" s="200">
        <f t="shared" si="16"/>
        <v>0.15</v>
      </c>
      <c r="D64" s="1164">
        <v>0.25</v>
      </c>
      <c r="E64" s="261">
        <f>'数据-汇总表'!E14</f>
        <v>0</v>
      </c>
      <c r="F64" s="1103">
        <f t="shared" si="15"/>
        <v>0</v>
      </c>
      <c r="G64" s="2709" t="s">
        <v>2767</v>
      </c>
      <c r="H64" s="1104" t="str">
        <f>项目基本情况!B37</f>
        <v>十一级</v>
      </c>
      <c r="I64" s="1108">
        <f>SUMIF(修正!A45:A56,H64,修正!H45:H56)</f>
        <v>0.15</v>
      </c>
      <c r="J64" s="1112"/>
      <c r="K64" s="1145"/>
      <c r="L64" s="941"/>
      <c r="M64" s="941"/>
      <c r="N64" s="941"/>
      <c r="O64" s="941"/>
    </row>
    <row r="65" spans="1:17" s="692" customFormat="1" ht="15" thickBot="1">
      <c r="A65" s="693" t="s">
        <v>2778</v>
      </c>
      <c r="B65" s="262">
        <f t="shared" si="17"/>
        <v>529</v>
      </c>
      <c r="C65" s="200">
        <f t="shared" si="16"/>
        <v>0.15</v>
      </c>
      <c r="D65" s="1164">
        <v>0.25</v>
      </c>
      <c r="E65" s="261">
        <f>'数据-汇总表'!E15</f>
        <v>0</v>
      </c>
      <c r="F65" s="1103">
        <f t="shared" si="15"/>
        <v>0</v>
      </c>
      <c r="G65" s="2710" t="s">
        <v>2772</v>
      </c>
      <c r="H65" s="1114" t="str">
        <f>项目基本情况!C37</f>
        <v>十一级</v>
      </c>
      <c r="I65" s="1110">
        <f>SUMIF(修正!A45:A56,H65,修正!H45:H56)</f>
        <v>0.15</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225246.61</v>
      </c>
      <c r="F66" s="697">
        <f>IF(B46="楼面地价",SUM(F56:F65),ROUND(C48*E66/10000,0))</f>
        <v>216129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2" t="s">
        <v>2781</v>
      </c>
      <c r="B71" s="332" t="str">
        <f>"北京市平均增长率"&amp;TEXT(SUMIF(基准地价修正!N21:N25,A71,基准地价修正!P21:P25),"0.00%")</f>
        <v>北京市平均增长率2.14%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t="s">
        <v>3191</v>
      </c>
      <c r="D75" s="530" t="s">
        <v>3193</v>
      </c>
      <c r="E75" s="530"/>
      <c r="F75" s="530"/>
      <c r="G75" s="530"/>
      <c r="H75" s="530"/>
      <c r="I75" s="530"/>
      <c r="J75" s="530"/>
      <c r="K75" s="531"/>
      <c r="L75" s="532"/>
      <c r="M75" s="533"/>
      <c r="N75" s="1152"/>
      <c r="O75" s="1152"/>
      <c r="P75" s="45"/>
      <c r="Q75" s="504"/>
    </row>
    <row r="76" spans="1:17" ht="15.75" thickBot="1">
      <c r="A76" s="534"/>
      <c r="B76" s="535"/>
      <c r="C76" s="536">
        <v>100</v>
      </c>
      <c r="D76" s="536">
        <v>98</v>
      </c>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1（含）-2</v>
      </c>
      <c r="D79" s="547" t="str">
        <f t="shared" ref="D79:L79" si="21">D80&amp;"（含）"&amp;"-"&amp;E80</f>
        <v>2（含）-3</v>
      </c>
      <c r="E79" s="547" t="str">
        <f t="shared" si="21"/>
        <v>3（含）-4</v>
      </c>
      <c r="F79" s="547" t="str">
        <f t="shared" si="21"/>
        <v>4（含）-</v>
      </c>
      <c r="G79" s="547" t="str">
        <f t="shared" si="21"/>
        <v>（含）-</v>
      </c>
      <c r="H79" s="547" t="str">
        <f t="shared" si="21"/>
        <v>（含）-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1</v>
      </c>
      <c r="D80" s="549">
        <v>2</v>
      </c>
      <c r="E80" s="549">
        <v>3</v>
      </c>
      <c r="F80" s="549">
        <v>4</v>
      </c>
      <c r="G80" s="549"/>
      <c r="H80" s="549"/>
      <c r="I80" s="549"/>
      <c r="J80" s="549"/>
      <c r="K80" s="550"/>
      <c r="L80" s="551"/>
      <c r="M80" s="552"/>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配建</v>
      </c>
      <c r="C82" s="3294" t="s">
        <v>3202</v>
      </c>
      <c r="D82" s="3294" t="s">
        <v>3201</v>
      </c>
      <c r="E82" s="554"/>
      <c r="F82" s="554"/>
      <c r="G82" s="554"/>
      <c r="H82" s="555"/>
      <c r="I82" s="555"/>
      <c r="J82" s="555"/>
      <c r="K82" s="555"/>
      <c r="L82" s="556"/>
      <c r="M82" s="557"/>
      <c r="N82" s="1154"/>
      <c r="O82" s="1154"/>
      <c r="P82" s="558"/>
      <c r="Q82" s="559"/>
    </row>
    <row r="83" spans="1:17" s="471" customFormat="1" ht="15.75" thickBot="1">
      <c r="A83" s="553"/>
      <c r="B83" s="543"/>
      <c r="C83" s="560">
        <v>100</v>
      </c>
      <c r="D83" s="536">
        <v>90</v>
      </c>
      <c r="E83" s="536"/>
      <c r="F83" s="536"/>
      <c r="G83" s="536"/>
      <c r="H83" s="536"/>
      <c r="I83" s="536"/>
      <c r="J83" s="536"/>
      <c r="K83" s="536"/>
      <c r="L83" s="536"/>
      <c r="M83" s="537"/>
      <c r="N83" s="1153"/>
      <c r="O83" s="1153"/>
      <c r="P83" s="558"/>
      <c r="Q83" s="559"/>
    </row>
    <row r="84" spans="1:17" s="471" customFormat="1" ht="15.75" thickTop="1">
      <c r="A84" s="553"/>
      <c r="B84" s="538" t="str">
        <f>B13</f>
        <v>限价</v>
      </c>
      <c r="C84" s="3294" t="s">
        <v>3203</v>
      </c>
      <c r="D84" s="554">
        <v>25607</v>
      </c>
      <c r="E84" s="554">
        <v>21215</v>
      </c>
      <c r="F84" s="554">
        <v>29438</v>
      </c>
      <c r="G84" s="554"/>
      <c r="H84" s="555"/>
      <c r="I84" s="555"/>
      <c r="J84" s="555"/>
      <c r="K84" s="555"/>
      <c r="L84" s="556"/>
      <c r="M84" s="557"/>
      <c r="N84" s="1154"/>
      <c r="O84" s="1154"/>
      <c r="P84" s="470"/>
      <c r="Q84" s="561"/>
    </row>
    <row r="85" spans="1:17" s="471" customFormat="1" ht="15.75" thickBot="1">
      <c r="A85" s="553"/>
      <c r="B85" s="543"/>
      <c r="C85" s="560">
        <v>100</v>
      </c>
      <c r="D85" s="560">
        <v>100</v>
      </c>
      <c r="E85" s="560">
        <v>100</v>
      </c>
      <c r="F85" s="560">
        <v>100</v>
      </c>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0(含)-50000</v>
      </c>
      <c r="D116" s="529" t="str">
        <f t="shared" ref="D116:M116" si="26">D117&amp;"(含)"&amp;"-"&amp;E117</f>
        <v>50000(含)-100000</v>
      </c>
      <c r="E116" s="529" t="str">
        <f t="shared" si="26"/>
        <v>100000(含)-150000</v>
      </c>
      <c r="F116" s="529" t="str">
        <f t="shared" si="26"/>
        <v>150000(含)-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50000</v>
      </c>
      <c r="E117" s="595">
        <v>100000</v>
      </c>
      <c r="F117" s="595">
        <v>150000</v>
      </c>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100</v>
      </c>
      <c r="E120" s="544">
        <f t="shared" si="27"/>
        <v>100</v>
      </c>
      <c r="F120" s="544">
        <f t="shared" si="27"/>
        <v>100</v>
      </c>
      <c r="G120" s="544">
        <f t="shared" si="27"/>
        <v>100</v>
      </c>
      <c r="H120" s="544">
        <f t="shared" si="27"/>
        <v>100</v>
      </c>
      <c r="I120" s="544">
        <f t="shared" si="27"/>
        <v>100</v>
      </c>
      <c r="J120" s="544">
        <f t="shared" si="27"/>
        <v>100</v>
      </c>
      <c r="K120" s="544">
        <f t="shared" si="27"/>
        <v>100</v>
      </c>
      <c r="L120" s="544">
        <f t="shared" si="27"/>
        <v>100</v>
      </c>
      <c r="M120" s="545">
        <f t="shared" si="27"/>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9">D124-$K41</f>
        <v>100</v>
      </c>
      <c r="F124" s="544">
        <f t="shared" si="29"/>
        <v>100</v>
      </c>
      <c r="G124" s="544">
        <f t="shared" si="29"/>
        <v>100</v>
      </c>
      <c r="H124" s="544">
        <f t="shared" si="29"/>
        <v>100</v>
      </c>
      <c r="I124" s="544">
        <f t="shared" si="29"/>
        <v>100</v>
      </c>
      <c r="J124" s="544">
        <f t="shared" si="29"/>
        <v>100</v>
      </c>
      <c r="K124" s="544">
        <f t="shared" si="29"/>
        <v>100</v>
      </c>
      <c r="L124" s="544">
        <f t="shared" si="29"/>
        <v>100</v>
      </c>
      <c r="M124" s="545">
        <f t="shared" si="29"/>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0" t="s">
        <v>2644</v>
      </c>
      <c r="D4" s="3191"/>
      <c r="E4" s="3192" t="s">
        <v>2645</v>
      </c>
      <c r="F4" s="3193"/>
      <c r="G4" s="3190" t="s">
        <v>2646</v>
      </c>
      <c r="H4" s="3191"/>
      <c r="I4" s="3190" t="s">
        <v>2647</v>
      </c>
      <c r="J4" s="3191"/>
      <c r="K4" s="610" t="s">
        <v>2648</v>
      </c>
      <c r="L4" s="1130"/>
      <c r="M4" s="1131"/>
      <c r="N4" s="1131"/>
      <c r="O4" s="1131"/>
      <c r="P4" s="3194" t="s">
        <v>2649</v>
      </c>
      <c r="Q4" s="3195"/>
      <c r="R4" s="3177" t="s">
        <v>2645</v>
      </c>
      <c r="S4" s="3178"/>
      <c r="T4" s="3177" t="s">
        <v>2646</v>
      </c>
      <c r="U4" s="3178"/>
      <c r="V4" s="3202" t="s">
        <v>2647</v>
      </c>
      <c r="W4" s="3202"/>
      <c r="X4" s="1812"/>
      <c r="Y4" s="3177" t="s">
        <v>2649</v>
      </c>
      <c r="Z4" s="3178"/>
      <c r="AA4" s="3172" t="s">
        <v>2645</v>
      </c>
      <c r="AB4" s="3173" t="s">
        <v>2646</v>
      </c>
      <c r="AC4" s="3172" t="s">
        <v>2647</v>
      </c>
    </row>
    <row r="5" spans="1:29" ht="15">
      <c r="A5" s="404"/>
      <c r="B5" s="405"/>
      <c r="C5" s="3183" t="s">
        <v>2540</v>
      </c>
      <c r="D5" s="3184"/>
      <c r="E5" s="3181" t="s">
        <v>2541</v>
      </c>
      <c r="F5" s="3182"/>
      <c r="G5" s="3183" t="s">
        <v>2542</v>
      </c>
      <c r="H5" s="3184"/>
      <c r="I5" s="3183" t="s">
        <v>2543</v>
      </c>
      <c r="J5" s="3184"/>
      <c r="K5" s="610"/>
      <c r="L5" s="1130"/>
      <c r="M5" s="1131"/>
      <c r="N5" s="1131"/>
      <c r="O5" s="1131"/>
      <c r="P5" s="3196"/>
      <c r="Q5" s="3197"/>
      <c r="R5" s="3179"/>
      <c r="S5" s="3180"/>
      <c r="T5" s="3179"/>
      <c r="U5" s="3180"/>
      <c r="V5" s="3202"/>
      <c r="W5" s="3202"/>
      <c r="X5" s="1812"/>
      <c r="Y5" s="3179"/>
      <c r="Z5" s="3180"/>
      <c r="AA5" s="3173"/>
      <c r="AB5" s="3173"/>
      <c r="AC5" s="3173"/>
    </row>
    <row r="6" spans="1:29" ht="15.75" thickBot="1">
      <c r="A6" s="406"/>
      <c r="B6" s="407"/>
      <c r="C6" s="3238" t="s">
        <v>2795</v>
      </c>
      <c r="D6" s="3239"/>
      <c r="E6" s="3240" t="s">
        <v>2795</v>
      </c>
      <c r="F6" s="3241"/>
      <c r="G6" s="3238" t="s">
        <v>2795</v>
      </c>
      <c r="H6" s="3239"/>
      <c r="I6" s="3238" t="s">
        <v>2795</v>
      </c>
      <c r="J6" s="3239"/>
      <c r="K6" s="610" t="s">
        <v>2545</v>
      </c>
      <c r="L6" s="1130"/>
      <c r="M6" s="1131"/>
      <c r="N6" s="1131"/>
      <c r="O6" s="1131"/>
      <c r="P6" s="3198"/>
      <c r="Q6" s="3199"/>
      <c r="R6" s="3179"/>
      <c r="S6" s="3180"/>
      <c r="T6" s="3200"/>
      <c r="U6" s="3201"/>
      <c r="V6" s="3202"/>
      <c r="W6" s="3202"/>
      <c r="X6" s="1812"/>
      <c r="Y6" s="3200"/>
      <c r="Z6" s="3201"/>
      <c r="AA6" s="3174"/>
      <c r="AB6" s="3174"/>
      <c r="AC6" s="3174"/>
    </row>
    <row r="7" spans="1:29" s="117" customFormat="1" ht="15.75" thickBot="1">
      <c r="A7" s="408" t="s">
        <v>2546</v>
      </c>
      <c r="B7" s="409"/>
      <c r="C7" s="410">
        <f>'数据-取费表'!B2</f>
        <v>43759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5" t="s">
        <v>2547</v>
      </c>
      <c r="Q7" s="3203"/>
      <c r="R7" s="770" t="s">
        <v>17</v>
      </c>
      <c r="S7" s="771">
        <f t="shared" ref="S7:S15" si="0">F7</f>
        <v>0</v>
      </c>
      <c r="T7" s="770" t="s">
        <v>17</v>
      </c>
      <c r="U7" s="771">
        <f t="shared" ref="U7:U15" si="1">H7</f>
        <v>0</v>
      </c>
      <c r="V7" s="770" t="s">
        <v>17</v>
      </c>
      <c r="W7" s="771">
        <f t="shared" ref="W7:W15" si="2">J7</f>
        <v>0</v>
      </c>
      <c r="X7" s="772"/>
      <c r="Y7" s="3175" t="s">
        <v>2547</v>
      </c>
      <c r="Z7" s="317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2550</v>
      </c>
      <c r="Q8" s="3176"/>
      <c r="R8" s="770" t="s">
        <v>17</v>
      </c>
      <c r="S8" s="771">
        <f t="shared" si="0"/>
        <v>0</v>
      </c>
      <c r="T8" s="770" t="s">
        <v>17</v>
      </c>
      <c r="U8" s="771">
        <f t="shared" si="1"/>
        <v>0</v>
      </c>
      <c r="V8" s="770" t="s">
        <v>17</v>
      </c>
      <c r="W8" s="771">
        <f t="shared" si="2"/>
        <v>0</v>
      </c>
      <c r="X8" s="772"/>
      <c r="Y8" s="3175" t="s">
        <v>2550</v>
      </c>
      <c r="Z8" s="3176"/>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7" t="s">
        <v>2553</v>
      </c>
      <c r="Q9" s="1794" t="str">
        <f t="shared" ref="Q9:Q15" si="6">B9</f>
        <v>用途</v>
      </c>
      <c r="R9" s="770" t="s">
        <v>17</v>
      </c>
      <c r="S9" s="771">
        <f t="shared" si="0"/>
        <v>100</v>
      </c>
      <c r="T9" s="770" t="s">
        <v>17</v>
      </c>
      <c r="U9" s="771">
        <f t="shared" si="1"/>
        <v>100</v>
      </c>
      <c r="V9" s="770" t="s">
        <v>17</v>
      </c>
      <c r="W9" s="771">
        <f t="shared" si="2"/>
        <v>100</v>
      </c>
      <c r="X9" s="772"/>
      <c r="Y9" s="302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207"/>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2558</v>
      </c>
      <c r="Q15" s="1809" t="str">
        <f t="shared" si="6"/>
        <v>产业集聚程度</v>
      </c>
      <c r="R15" s="774" t="s">
        <v>17</v>
      </c>
      <c r="S15" s="775">
        <f t="shared" si="0"/>
        <v>100</v>
      </c>
      <c r="T15" s="774" t="s">
        <v>17</v>
      </c>
      <c r="U15" s="775">
        <f t="shared" si="1"/>
        <v>100</v>
      </c>
      <c r="V15" s="774" t="s">
        <v>17</v>
      </c>
      <c r="W15" s="775">
        <f t="shared" si="2"/>
        <v>100</v>
      </c>
      <c r="X15" s="1812"/>
      <c r="Y15" s="3209"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10"/>
      <c r="Q16" s="1809"/>
      <c r="R16" s="774"/>
      <c r="S16" s="775"/>
      <c r="T16" s="774"/>
      <c r="U16" s="775"/>
      <c r="V16" s="774"/>
      <c r="W16" s="775"/>
      <c r="X16" s="1812"/>
      <c r="Y16" s="3210"/>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09" t="str">
        <f>B17</f>
        <v>交通便捷度</v>
      </c>
      <c r="R17" s="774" t="s">
        <v>17</v>
      </c>
      <c r="S17" s="775">
        <f>F17</f>
        <v>100</v>
      </c>
      <c r="T17" s="774" t="s">
        <v>17</v>
      </c>
      <c r="U17" s="775">
        <f>H17</f>
        <v>100</v>
      </c>
      <c r="V17" s="774" t="s">
        <v>17</v>
      </c>
      <c r="W17" s="775">
        <f>J17</f>
        <v>100</v>
      </c>
      <c r="X17" s="1812"/>
      <c r="Y17" s="3210"/>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10"/>
      <c r="Q18" s="1809"/>
      <c r="R18" s="774"/>
      <c r="S18" s="775"/>
      <c r="T18" s="774"/>
      <c r="U18" s="775"/>
      <c r="V18" s="774"/>
      <c r="W18" s="775"/>
      <c r="X18" s="1812"/>
      <c r="Y18" s="3210"/>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09" t="str">
        <f t="shared" ref="Q19:Q33" si="8">B19</f>
        <v>区域土地利用方向</v>
      </c>
      <c r="R19" s="774" t="s">
        <v>17</v>
      </c>
      <c r="S19" s="775">
        <f>F19</f>
        <v>100</v>
      </c>
      <c r="T19" s="774" t="s">
        <v>17</v>
      </c>
      <c r="U19" s="775">
        <f>H19</f>
        <v>100</v>
      </c>
      <c r="V19" s="774" t="s">
        <v>17</v>
      </c>
      <c r="W19" s="775">
        <f>J19</f>
        <v>100</v>
      </c>
      <c r="X19" s="1812"/>
      <c r="Y19" s="3210"/>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10"/>
      <c r="Q20" s="1809"/>
      <c r="R20" s="774"/>
      <c r="S20" s="775"/>
      <c r="T20" s="774"/>
      <c r="U20" s="775"/>
      <c r="V20" s="774"/>
      <c r="W20" s="775"/>
      <c r="X20" s="1812"/>
      <c r="Y20" s="3210"/>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09" t="str">
        <f t="shared" si="8"/>
        <v>环境状况</v>
      </c>
      <c r="R21" s="774" t="s">
        <v>17</v>
      </c>
      <c r="S21" s="775">
        <f>F21</f>
        <v>100</v>
      </c>
      <c r="T21" s="774" t="s">
        <v>17</v>
      </c>
      <c r="U21" s="775">
        <f>H21</f>
        <v>100</v>
      </c>
      <c r="V21" s="774" t="s">
        <v>17</v>
      </c>
      <c r="W21" s="775">
        <f>J21</f>
        <v>100</v>
      </c>
      <c r="X21" s="1812"/>
      <c r="Y21" s="3210"/>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10"/>
      <c r="Q22" s="1809"/>
      <c r="R22" s="774"/>
      <c r="S22" s="775"/>
      <c r="T22" s="774"/>
      <c r="U22" s="775"/>
      <c r="V22" s="774"/>
      <c r="W22" s="775"/>
      <c r="X22" s="1812"/>
      <c r="Y22" s="3210"/>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4" t="str">
        <f t="shared" si="8"/>
        <v>公共配套设施</v>
      </c>
      <c r="R23" s="770" t="s">
        <v>17</v>
      </c>
      <c r="S23" s="771">
        <f>F23</f>
        <v>100</v>
      </c>
      <c r="T23" s="770" t="s">
        <v>17</v>
      </c>
      <c r="U23" s="771">
        <f>H23</f>
        <v>100</v>
      </c>
      <c r="V23" s="770" t="s">
        <v>17</v>
      </c>
      <c r="W23" s="771">
        <f>J23</f>
        <v>100</v>
      </c>
      <c r="X23" s="772"/>
      <c r="Y23" s="3210"/>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10"/>
      <c r="Q24" s="1794"/>
      <c r="R24" s="770"/>
      <c r="S24" s="771"/>
      <c r="T24" s="770"/>
      <c r="U24" s="771"/>
      <c r="V24" s="770"/>
      <c r="W24" s="771"/>
      <c r="X24" s="772"/>
      <c r="Y24" s="3210"/>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4"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10"/>
      <c r="Q26" s="1794"/>
      <c r="R26" s="770"/>
      <c r="S26" s="771"/>
      <c r="T26" s="770"/>
      <c r="U26" s="771"/>
      <c r="V26" s="770"/>
      <c r="W26" s="771"/>
      <c r="X26" s="772"/>
      <c r="Y26" s="321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0"/>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09" t="str">
        <f t="shared" si="8"/>
        <v>毗邻道路的类型与等级</v>
      </c>
      <c r="R28" s="774" t="s">
        <v>17</v>
      </c>
      <c r="S28" s="775">
        <f t="shared" si="10"/>
        <v>100</v>
      </c>
      <c r="T28" s="774" t="s">
        <v>17</v>
      </c>
      <c r="U28" s="775">
        <f t="shared" si="11"/>
        <v>100</v>
      </c>
      <c r="V28" s="774" t="s">
        <v>17</v>
      </c>
      <c r="W28" s="775">
        <f t="shared" si="12"/>
        <v>100</v>
      </c>
      <c r="X28" s="1812"/>
      <c r="Y28" s="3210"/>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10"/>
      <c r="Q29" s="1809"/>
      <c r="R29" s="774"/>
      <c r="S29" s="775"/>
      <c r="T29" s="774"/>
      <c r="U29" s="775"/>
      <c r="V29" s="774"/>
      <c r="W29" s="775"/>
      <c r="X29" s="1812"/>
      <c r="Y29" s="3210"/>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09" t="str">
        <f t="shared" si="8"/>
        <v>土地级别</v>
      </c>
      <c r="R30" s="774" t="s">
        <v>17</v>
      </c>
      <c r="S30" s="775">
        <f t="shared" si="10"/>
        <v>100</v>
      </c>
      <c r="T30" s="774" t="s">
        <v>17</v>
      </c>
      <c r="U30" s="775">
        <f t="shared" si="11"/>
        <v>100</v>
      </c>
      <c r="V30" s="774" t="s">
        <v>17</v>
      </c>
      <c r="W30" s="775">
        <f t="shared" si="12"/>
        <v>100</v>
      </c>
      <c r="X30" s="1812"/>
      <c r="Y30" s="3210"/>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09">
        <f t="shared" si="8"/>
        <v>111</v>
      </c>
      <c r="R31" s="774" t="s">
        <v>17</v>
      </c>
      <c r="S31" s="775">
        <f t="shared" si="10"/>
        <v>100</v>
      </c>
      <c r="T31" s="774" t="s">
        <v>17</v>
      </c>
      <c r="U31" s="775">
        <f t="shared" si="11"/>
        <v>100</v>
      </c>
      <c r="V31" s="774" t="s">
        <v>17</v>
      </c>
      <c r="W31" s="775">
        <f t="shared" si="12"/>
        <v>100</v>
      </c>
      <c r="X31" s="1812"/>
      <c r="Y31" s="3210"/>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2563</v>
      </c>
      <c r="Q32" s="1809">
        <f t="shared" si="8"/>
        <v>111</v>
      </c>
      <c r="R32" s="774" t="s">
        <v>17</v>
      </c>
      <c r="S32" s="775">
        <f t="shared" si="10"/>
        <v>100</v>
      </c>
      <c r="T32" s="774" t="s">
        <v>17</v>
      </c>
      <c r="U32" s="775">
        <f t="shared" si="11"/>
        <v>100</v>
      </c>
      <c r="V32" s="774" t="s">
        <v>17</v>
      </c>
      <c r="W32" s="775">
        <f t="shared" si="12"/>
        <v>100</v>
      </c>
      <c r="X32" s="1812"/>
      <c r="Y32" s="3214"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09">
        <f t="shared" si="8"/>
        <v>111</v>
      </c>
      <c r="R33" s="777" t="s">
        <v>17</v>
      </c>
      <c r="S33" s="778">
        <f t="shared" si="10"/>
        <v>100</v>
      </c>
      <c r="T33" s="777" t="s">
        <v>17</v>
      </c>
      <c r="U33" s="778">
        <f t="shared" si="11"/>
        <v>100</v>
      </c>
      <c r="V33" s="777" t="s">
        <v>17</v>
      </c>
      <c r="W33" s="778">
        <f t="shared" si="12"/>
        <v>100</v>
      </c>
      <c r="X33" s="779"/>
      <c r="Y33" s="3214"/>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09" t="str">
        <f>B34</f>
        <v>宗地面积</v>
      </c>
      <c r="R34" s="774" t="s">
        <v>17</v>
      </c>
      <c r="S34" s="775" t="e">
        <f t="shared" si="10"/>
        <v>#N/A</v>
      </c>
      <c r="T34" s="774" t="s">
        <v>17</v>
      </c>
      <c r="U34" s="775" t="e">
        <f t="shared" si="11"/>
        <v>#N/A</v>
      </c>
      <c r="V34" s="774" t="s">
        <v>17</v>
      </c>
      <c r="W34" s="775" t="e">
        <f t="shared" si="12"/>
        <v>#N/A</v>
      </c>
      <c r="X34" s="1812"/>
      <c r="Y34" s="3214"/>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4"/>
      <c r="Q35" s="1809" t="str">
        <f t="shared" ref="Q35:Q40" si="14">B35</f>
        <v>宗地形状</v>
      </c>
      <c r="R35" s="774" t="s">
        <v>17</v>
      </c>
      <c r="S35" s="775">
        <f t="shared" si="10"/>
        <v>100</v>
      </c>
      <c r="T35" s="774" t="s">
        <v>17</v>
      </c>
      <c r="U35" s="775">
        <f t="shared" si="11"/>
        <v>100</v>
      </c>
      <c r="V35" s="774" t="s">
        <v>17</v>
      </c>
      <c r="W35" s="775">
        <f t="shared" si="12"/>
        <v>100</v>
      </c>
      <c r="X35" s="1812"/>
      <c r="Y35" s="3214"/>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4"/>
      <c r="Q36" s="1809"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4" t="s">
        <v>2563</v>
      </c>
      <c r="Q37" s="1809" t="str">
        <f t="shared" si="14"/>
        <v>工程地质条件</v>
      </c>
      <c r="R37" s="774" t="s">
        <v>17</v>
      </c>
      <c r="S37" s="775">
        <f t="shared" si="10"/>
        <v>100</v>
      </c>
      <c r="T37" s="774" t="s">
        <v>17</v>
      </c>
      <c r="U37" s="775">
        <f t="shared" si="11"/>
        <v>100</v>
      </c>
      <c r="V37" s="774" t="s">
        <v>17</v>
      </c>
      <c r="W37" s="775">
        <f t="shared" si="12"/>
        <v>100</v>
      </c>
      <c r="X37" s="1812"/>
      <c r="Y37" s="3214"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09">
        <f t="shared" si="14"/>
        <v>111</v>
      </c>
      <c r="R38" s="774" t="s">
        <v>17</v>
      </c>
      <c r="S38" s="775">
        <f t="shared" si="10"/>
        <v>100</v>
      </c>
      <c r="T38" s="774" t="s">
        <v>17</v>
      </c>
      <c r="U38" s="775">
        <f t="shared" si="11"/>
        <v>100</v>
      </c>
      <c r="V38" s="774" t="s">
        <v>17</v>
      </c>
      <c r="W38" s="775">
        <f t="shared" si="12"/>
        <v>100</v>
      </c>
      <c r="X38" s="1812"/>
      <c r="Y38" s="321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09">
        <f t="shared" si="14"/>
        <v>111</v>
      </c>
      <c r="R39" s="774" t="s">
        <v>17</v>
      </c>
      <c r="S39" s="775">
        <f t="shared" si="10"/>
        <v>100</v>
      </c>
      <c r="T39" s="774" t="s">
        <v>17</v>
      </c>
      <c r="U39" s="775">
        <f t="shared" si="11"/>
        <v>100</v>
      </c>
      <c r="V39" s="774" t="s">
        <v>17</v>
      </c>
      <c r="W39" s="775">
        <f t="shared" si="12"/>
        <v>100</v>
      </c>
      <c r="X39" s="1812"/>
      <c r="Y39" s="3214"/>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09">
        <f t="shared" si="14"/>
        <v>111</v>
      </c>
      <c r="R40" s="777" t="s">
        <v>17</v>
      </c>
      <c r="S40" s="778">
        <f t="shared" si="10"/>
        <v>100</v>
      </c>
      <c r="T40" s="777" t="s">
        <v>17</v>
      </c>
      <c r="U40" s="778">
        <f t="shared" si="11"/>
        <v>100</v>
      </c>
      <c r="V40" s="777" t="s">
        <v>17</v>
      </c>
      <c r="W40" s="778">
        <f t="shared" si="12"/>
        <v>100</v>
      </c>
      <c r="X40" s="779"/>
      <c r="Y40" s="3214"/>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90" t="s">
        <v>2762</v>
      </c>
      <c r="H50" s="3236"/>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150322.14999999997</v>
      </c>
      <c r="F51" s="691" t="e">
        <f t="shared" ref="F51:F60" si="15">ROUND(B51*E51/10000,0)</f>
        <v>#DIV/0!</v>
      </c>
      <c r="G51" s="3189"/>
      <c r="H51" s="3207"/>
      <c r="I51" s="942">
        <v>1</v>
      </c>
      <c r="J51" s="942">
        <v>1</v>
      </c>
      <c r="K51" s="1145"/>
      <c r="L51" s="941"/>
      <c r="M51" s="941"/>
      <c r="N51" s="941"/>
      <c r="O51" s="941"/>
    </row>
    <row r="52" spans="1:17" s="692" customFormat="1">
      <c r="A52" s="693" t="s">
        <v>2766</v>
      </c>
      <c r="B52" s="262" t="e">
        <f>ROUND($C$43*C52*D52,0)</f>
        <v>#DIV/0!</v>
      </c>
      <c r="C52" s="200">
        <f t="shared" ref="C52:C60" si="16">IF($C$50="北京市系数",I52,J52)</f>
        <v>0.6</v>
      </c>
      <c r="D52" s="1164">
        <v>0.25</v>
      </c>
      <c r="E52" s="694"/>
      <c r="F52" s="691" t="e">
        <f t="shared" si="15"/>
        <v>#DIV/0!</v>
      </c>
      <c r="G52" s="3237" t="s">
        <v>2767</v>
      </c>
      <c r="H52" s="1104" t="str">
        <f>项目基本情况!B37</f>
        <v>十一级</v>
      </c>
      <c r="I52" s="942">
        <f>SUMIF(修正!A45:A56,H52,修正!B45:B56)</f>
        <v>0.6</v>
      </c>
      <c r="J52" s="943"/>
      <c r="K52" s="1144"/>
      <c r="L52" s="941"/>
      <c r="M52" s="941"/>
      <c r="N52" s="941"/>
      <c r="O52" s="941"/>
    </row>
    <row r="53" spans="1:17" s="692" customFormat="1">
      <c r="A53" s="693" t="s">
        <v>2768</v>
      </c>
      <c r="B53" s="262" t="e">
        <f t="shared" ref="B53:B60" si="17">ROUND($C$43*C53*D53,0)</f>
        <v>#DIV/0!</v>
      </c>
      <c r="C53" s="200">
        <f t="shared" si="16"/>
        <v>0.3</v>
      </c>
      <c r="D53" s="1164">
        <v>0.25</v>
      </c>
      <c r="E53" s="694"/>
      <c r="F53" s="691" t="e">
        <f t="shared" si="15"/>
        <v>#DIV/0!</v>
      </c>
      <c r="G53" s="3237"/>
      <c r="H53" s="1104" t="str">
        <f>项目基本情况!B37</f>
        <v>十一级</v>
      </c>
      <c r="I53" s="942">
        <f>SUMIF(修正!A45:A56,H53,修正!C45:C56)</f>
        <v>0.3</v>
      </c>
      <c r="J53" s="943"/>
      <c r="K53" s="1145"/>
      <c r="L53" s="941"/>
      <c r="M53" s="941"/>
      <c r="N53" s="941"/>
      <c r="O53" s="941"/>
    </row>
    <row r="54" spans="1:17" s="692" customFormat="1">
      <c r="A54" s="693" t="s">
        <v>2769</v>
      </c>
      <c r="B54" s="262" t="e">
        <f t="shared" si="17"/>
        <v>#DIV/0!</v>
      </c>
      <c r="C54" s="200">
        <f t="shared" si="16"/>
        <v>0.2</v>
      </c>
      <c r="D54" s="1164">
        <v>0.25</v>
      </c>
      <c r="E54" s="694"/>
      <c r="F54" s="691" t="e">
        <f t="shared" si="15"/>
        <v>#DIV/0!</v>
      </c>
      <c r="G54" s="3237"/>
      <c r="H54" s="1104" t="str">
        <f>项目基本情况!B37</f>
        <v>十一级</v>
      </c>
      <c r="I54" s="942">
        <f>SUMIF(修正!A45:A56,H54,修正!D45:D56)</f>
        <v>0.2</v>
      </c>
      <c r="J54" s="943"/>
      <c r="K54" s="1144"/>
      <c r="L54" s="941"/>
      <c r="M54" s="941"/>
      <c r="N54" s="941"/>
      <c r="O54" s="941"/>
    </row>
    <row r="55" spans="1:17" s="692" customFormat="1">
      <c r="A55" s="693" t="s">
        <v>2770</v>
      </c>
      <c r="B55" s="262" t="e">
        <f t="shared" si="17"/>
        <v>#DIV/0!</v>
      </c>
      <c r="C55" s="200">
        <f t="shared" si="16"/>
        <v>0.2</v>
      </c>
      <c r="D55" s="1164">
        <v>0.25</v>
      </c>
      <c r="E55" s="694"/>
      <c r="F55" s="691" t="e">
        <f t="shared" si="15"/>
        <v>#DIV/0!</v>
      </c>
      <c r="G55" s="3237"/>
      <c r="H55" s="1104" t="str">
        <f>项目基本情况!B37</f>
        <v>十一级</v>
      </c>
      <c r="I55" s="942">
        <f>SUMIF(修正!A45:A56,H55,修正!E45:E56)</f>
        <v>0.2</v>
      </c>
      <c r="J55" s="943"/>
      <c r="K55" s="1145"/>
      <c r="L55" s="941"/>
      <c r="M55" s="941"/>
      <c r="N55" s="941"/>
      <c r="O55" s="941"/>
    </row>
    <row r="56" spans="1:17" s="692" customFormat="1">
      <c r="A56" s="693" t="s">
        <v>2771</v>
      </c>
      <c r="B56" s="262" t="e">
        <f t="shared" si="17"/>
        <v>#DIV/0!</v>
      </c>
      <c r="C56" s="200">
        <f t="shared" si="16"/>
        <v>0.2</v>
      </c>
      <c r="D56" s="1164">
        <v>0.25</v>
      </c>
      <c r="E56" s="261">
        <f>'数据-汇总表'!E11</f>
        <v>0</v>
      </c>
      <c r="F56" s="691" t="e">
        <f t="shared" si="15"/>
        <v>#DIV/0!</v>
      </c>
      <c r="G56" s="2709" t="s">
        <v>2772</v>
      </c>
      <c r="H56" s="1104" t="str">
        <f>项目基本情况!C37</f>
        <v>十一级</v>
      </c>
      <c r="I56" s="942">
        <f>SUMIF(修正!A45:A56,H56,修正!F45:F56)</f>
        <v>0.2</v>
      </c>
      <c r="J56" s="943"/>
      <c r="K56" s="1144"/>
      <c r="L56" s="941"/>
      <c r="M56" s="941"/>
      <c r="N56" s="941"/>
      <c r="O56" s="941"/>
    </row>
    <row r="57" spans="1:17" s="692" customFormat="1">
      <c r="A57" s="693" t="s">
        <v>2773</v>
      </c>
      <c r="B57" s="262" t="e">
        <f t="shared" si="17"/>
        <v>#DIV/0!</v>
      </c>
      <c r="C57" s="200">
        <f t="shared" si="16"/>
        <v>0.2</v>
      </c>
      <c r="D57" s="1164">
        <v>0.25</v>
      </c>
      <c r="E57" s="261">
        <f>'数据-汇总表'!E12</f>
        <v>0</v>
      </c>
      <c r="F57" s="691" t="e">
        <f t="shared" si="15"/>
        <v>#DIV/0!</v>
      </c>
      <c r="G57" s="1109" t="s">
        <v>2774</v>
      </c>
      <c r="H57" s="1104" t="str">
        <f>IF(G57="商业",项目基本情况!B37,IF(G57="办公",项目基本情况!C37,IF(G57="住宅",项目基本情况!D37,项目基本情况!E37)))</f>
        <v>十一级</v>
      </c>
      <c r="I57" s="942">
        <f>SUMIF(修正!A45:A56,H57,修正!G45:G56)</f>
        <v>0.2</v>
      </c>
      <c r="J57" s="943"/>
      <c r="K57" s="1145"/>
      <c r="L57" s="941"/>
      <c r="M57" s="941"/>
      <c r="N57" s="941"/>
      <c r="O57" s="941"/>
    </row>
    <row r="58" spans="1:17" s="692" customFormat="1">
      <c r="A58" s="693" t="s">
        <v>2775</v>
      </c>
      <c r="B58" s="262" t="e">
        <f t="shared" si="17"/>
        <v>#DIV/0!</v>
      </c>
      <c r="C58" s="200">
        <f t="shared" si="16"/>
        <v>0.15</v>
      </c>
      <c r="D58" s="1164">
        <v>0.25</v>
      </c>
      <c r="E58" s="261">
        <f>'数据-汇总表'!E13</f>
        <v>74924.460000000006</v>
      </c>
      <c r="F58" s="691" t="e">
        <f t="shared" si="15"/>
        <v>#DIV/0!</v>
      </c>
      <c r="G58" s="1109" t="s">
        <v>2776</v>
      </c>
      <c r="H58" s="1104" t="str">
        <f>IF(G58="商业",项目基本情况!B37,IF(G58="办公",项目基本情况!C37,IF(G58="住宅",项目基本情况!D37,项目基本情况!E37)))</f>
        <v>十一级</v>
      </c>
      <c r="I58" s="942">
        <f>SUMIF(修正!A45:A56,H58,修正!H45:H56)</f>
        <v>0.15</v>
      </c>
      <c r="J58" s="943"/>
      <c r="K58" s="1144"/>
      <c r="L58" s="941"/>
      <c r="M58" s="941"/>
      <c r="N58" s="941"/>
      <c r="O58" s="941"/>
    </row>
    <row r="59" spans="1:17" s="692" customFormat="1">
      <c r="A59" s="693" t="s">
        <v>2777</v>
      </c>
      <c r="B59" s="262" t="e">
        <f t="shared" si="17"/>
        <v>#DIV/0!</v>
      </c>
      <c r="C59" s="200">
        <f t="shared" si="16"/>
        <v>0.15</v>
      </c>
      <c r="D59" s="1164">
        <v>0.25</v>
      </c>
      <c r="E59" s="261">
        <f>'数据-汇总表'!E14</f>
        <v>0</v>
      </c>
      <c r="F59" s="691" t="e">
        <f t="shared" si="15"/>
        <v>#DIV/0!</v>
      </c>
      <c r="G59" s="2709" t="s">
        <v>2767</v>
      </c>
      <c r="H59" s="1104" t="str">
        <f>项目基本情况!B37</f>
        <v>十一级</v>
      </c>
      <c r="I59" s="942">
        <f>SUMIF(修正!A45:A56,H59,修正!H45:H56)</f>
        <v>0.15</v>
      </c>
      <c r="J59" s="943"/>
      <c r="K59" s="1145"/>
      <c r="L59" s="941"/>
      <c r="M59" s="941"/>
      <c r="N59" s="941"/>
      <c r="O59" s="941"/>
    </row>
    <row r="60" spans="1:17" s="692" customFormat="1" ht="15" thickBot="1">
      <c r="A60" s="693" t="s">
        <v>2778</v>
      </c>
      <c r="B60" s="262" t="e">
        <f t="shared" si="17"/>
        <v>#DIV/0!</v>
      </c>
      <c r="C60" s="200">
        <f t="shared" si="16"/>
        <v>0.15</v>
      </c>
      <c r="D60" s="1164">
        <v>0.25</v>
      </c>
      <c r="E60" s="261">
        <f>'数据-汇总表'!E15</f>
        <v>0</v>
      </c>
      <c r="F60" s="691" t="e">
        <f t="shared" si="15"/>
        <v>#DIV/0!</v>
      </c>
      <c r="G60" s="2710" t="s">
        <v>2772</v>
      </c>
      <c r="H60" s="1114" t="str">
        <f>项目基本情况!C37</f>
        <v>十一级</v>
      </c>
      <c r="I60" s="942">
        <f>SUMIF(修正!A45:A56,H60,修正!H45:H56)</f>
        <v>0.15</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130728.99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6" t="s">
        <v>2800</v>
      </c>
      <c r="B66" s="332" t="str">
        <f>"北京市平均增长率"&amp;TEXT(基准地价修正!P24,"0.00%")</f>
        <v>北京市平均增长率1.34%</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0</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0"/>
    </row>
    <row r="9" spans="1:9" s="258" customFormat="1" ht="13.5" customHeight="1">
      <c r="A9" s="950" t="s">
        <v>800</v>
      </c>
      <c r="B9" s="268" t="s">
        <v>2344</v>
      </c>
      <c r="C9" s="269">
        <f ca="1">ROUND(D9*E9/10000,0)</f>
        <v>2255</v>
      </c>
      <c r="D9" s="1032">
        <f ca="1">IF(B1="",'数据-汇总表'!E5,IF(INDIRECT("'数据-取费表'!c"&amp;$G$1)="住宅",INDIRECT("'数据-取费表'!k"&amp;$G$1),0))</f>
        <v>150322.14999999997</v>
      </c>
      <c r="E9" s="269">
        <f>'数据-取费表'!B27</f>
        <v>150</v>
      </c>
      <c r="F9" s="265"/>
      <c r="G9" s="2551"/>
      <c r="H9" s="1390"/>
      <c r="I9" s="2552" t="s">
        <v>2345</v>
      </c>
    </row>
    <row r="10" spans="1:9" s="258" customFormat="1" ht="13.5" customHeight="1">
      <c r="A10" s="950" t="s">
        <v>801</v>
      </c>
      <c r="B10" s="268" t="s">
        <v>2346</v>
      </c>
      <c r="C10" s="269">
        <f ca="1">ROUND(D10*E10/10000,0)</f>
        <v>2617</v>
      </c>
      <c r="D10" s="1032">
        <f ca="1">IF(B1="",'数据-汇总表'!E6,IF(INDIRECT("'数据-取费表'!c"&amp;$G$1)="住宅",INDIRECT("'数据-取费表'!s"&amp;$G$1),INDIRECT("'数据-取费表'!k"&amp;$G$1)+INDIRECT("'数据-取费表'!s"&amp;$G$1)))</f>
        <v>137736.86000000004</v>
      </c>
      <c r="E10" s="269">
        <f>'数据-取费表'!B28</f>
        <v>190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0</v>
      </c>
      <c r="D19" s="1036">
        <f ca="1">D9+D10</f>
        <v>288059.01</v>
      </c>
      <c r="E19" s="255">
        <f>'数据-取费表'!B31</f>
        <v>0</v>
      </c>
      <c r="F19" s="275"/>
      <c r="G19" s="2550"/>
    </row>
    <row r="20" spans="1:7" s="258" customFormat="1" ht="13.5" customHeight="1">
      <c r="A20" s="299" t="s">
        <v>2359</v>
      </c>
      <c r="B20" s="254" t="s">
        <v>2360</v>
      </c>
      <c r="C20" s="276">
        <f ca="1">ROUND((C5+C19)*F20,0)</f>
        <v>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0</v>
      </c>
      <c r="D22" s="279">
        <f ca="1">C26</f>
        <v>0</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0</v>
      </c>
      <c r="D26" s="282"/>
      <c r="E26" s="285"/>
      <c r="F26" s="283"/>
      <c r="G26" s="287"/>
    </row>
    <row r="27" spans="1:7" s="258" customFormat="1" ht="24.75">
      <c r="A27" s="299" t="s">
        <v>2378</v>
      </c>
      <c r="B27" s="288" t="s">
        <v>2379</v>
      </c>
      <c r="C27" s="289">
        <f ca="1">C28</f>
        <v>0</v>
      </c>
      <c r="D27" s="279">
        <f ca="1">C29</f>
        <v>0</v>
      </c>
      <c r="E27" s="280" t="s">
        <v>2380</v>
      </c>
      <c r="F27" s="290">
        <f ca="1">IF(B1="",'数据-取费表'!Q16,INDIRECT("'数据-取费表'!q"&amp;$G$1))</f>
        <v>0.13</v>
      </c>
      <c r="G27" s="291" t="s">
        <v>2381</v>
      </c>
    </row>
    <row r="28" spans="1:7" s="258" customFormat="1" ht="13.5" customHeight="1">
      <c r="A28" s="951" t="s">
        <v>791</v>
      </c>
      <c r="B28" s="292" t="s">
        <v>2382</v>
      </c>
      <c r="C28" s="293">
        <f ca="1">ROUND((C5+C19+C20)*F27*'数据-取费表'!B21/'数据-取费表'!B20,0)</f>
        <v>0</v>
      </c>
      <c r="D28" s="279"/>
      <c r="E28" s="280"/>
      <c r="F28" s="290"/>
      <c r="G28" s="291"/>
    </row>
    <row r="29" spans="1:7" s="258" customFormat="1" ht="13.5" customHeight="1">
      <c r="A29" s="951" t="s">
        <v>792</v>
      </c>
      <c r="B29" s="292" t="s">
        <v>2383</v>
      </c>
      <c r="C29" s="282">
        <f ca="1">ROUND(C21*F27*'数据-取费表'!B21/'数据-取费表'!B20,4)</f>
        <v>0</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2392</v>
      </c>
    </row>
    <row r="35" spans="1:7" ht="13.5" customHeight="1">
      <c r="A35" s="951" t="s">
        <v>796</v>
      </c>
      <c r="B35" s="259" t="s">
        <v>2393</v>
      </c>
      <c r="C35" s="264">
        <f ca="1">ROUND(C34*F35,0)</f>
        <v>0</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1" t="s">
        <v>798</v>
      </c>
      <c r="B37" s="259" t="s">
        <v>2397</v>
      </c>
      <c r="C37" s="293">
        <f ca="1">ROUND(E37*D37*F34/10000,0)</f>
        <v>0</v>
      </c>
      <c r="D37" s="261">
        <f ca="1">D19</f>
        <v>288059.01</v>
      </c>
      <c r="E37" s="293">
        <f>'数据-取费表'!B35</f>
        <v>200</v>
      </c>
      <c r="F37" s="303"/>
      <c r="G37" s="305" t="s">
        <v>2398</v>
      </c>
    </row>
    <row r="38" spans="1:7" ht="13.5" customHeight="1">
      <c r="A38" s="951"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0</v>
      </c>
      <c r="D41" s="279">
        <f ca="1">C44</f>
        <v>0</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0</v>
      </c>
      <c r="D42" s="282"/>
      <c r="E42" s="282"/>
      <c r="F42" s="283"/>
      <c r="G42" s="3142" t="s">
        <v>2410</v>
      </c>
    </row>
    <row r="43" spans="1:7" ht="13.5" customHeight="1">
      <c r="A43" s="951" t="s">
        <v>792</v>
      </c>
      <c r="B43" s="259" t="s">
        <v>2411</v>
      </c>
      <c r="C43" s="282">
        <f ca="1">ROUND(IF('数据-取费表'!B22&lt;=1,C39*F22*'数据-取费表'!B21/2,C39*(POWER((1+F22),'数据-取费表'!B21/2)-1)),0)</f>
        <v>0</v>
      </c>
      <c r="D43" s="282"/>
      <c r="E43" s="282"/>
      <c r="F43" s="283"/>
      <c r="G43" s="3143"/>
    </row>
    <row r="44" spans="1:7" ht="13.5" customHeight="1">
      <c r="A44" s="951" t="s">
        <v>793</v>
      </c>
      <c r="B44" s="259" t="s">
        <v>2412</v>
      </c>
      <c r="C44" s="282">
        <f ca="1">ROUND(IF('数据-取费表'!B22&lt;=1,C40*F22*'数据-取费表'!B21/2,C40*(POWER((1+F22),'数据-取费表'!B21/2)-1)),4)</f>
        <v>0</v>
      </c>
      <c r="D44" s="282"/>
      <c r="E44" s="282"/>
      <c r="F44" s="283"/>
      <c r="G44" s="3144"/>
    </row>
    <row r="45" spans="1:7" s="258" customFormat="1" ht="13.5" customHeight="1">
      <c r="A45" s="299" t="s">
        <v>2413</v>
      </c>
      <c r="B45" s="288" t="s">
        <v>2379</v>
      </c>
      <c r="C45" s="289">
        <f ca="1">C46</f>
        <v>0</v>
      </c>
      <c r="D45" s="279">
        <f ca="1">C47</f>
        <v>2.5999999999999999E-3</v>
      </c>
      <c r="E45" s="280" t="s">
        <v>2405</v>
      </c>
      <c r="F45" s="290"/>
      <c r="G45" s="291" t="s">
        <v>2414</v>
      </c>
    </row>
    <row r="46" spans="1:7" s="258" customFormat="1" ht="13.5" customHeight="1">
      <c r="A46" s="951" t="s">
        <v>791</v>
      </c>
      <c r="B46" s="292" t="s">
        <v>2415</v>
      </c>
      <c r="C46" s="293">
        <f ca="1">ROUND((C33+C39)*F27,0)</f>
        <v>0</v>
      </c>
      <c r="D46" s="307"/>
      <c r="E46" s="280"/>
      <c r="F46" s="290"/>
      <c r="G46" s="291"/>
    </row>
    <row r="47" spans="1:7" s="258" customFormat="1" ht="13.5" customHeight="1">
      <c r="A47" s="951" t="s">
        <v>792</v>
      </c>
      <c r="B47" s="292" t="s">
        <v>2416</v>
      </c>
      <c r="C47" s="282">
        <f ca="1">ROUND(C40*F27,4)</f>
        <v>2.5999999999999999E-3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0</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0</v>
      </c>
      <c r="D51" s="276"/>
      <c r="E51" s="276"/>
      <c r="F51" s="308"/>
      <c r="G51" s="278" t="s">
        <v>2426</v>
      </c>
    </row>
    <row r="52" spans="1:7" s="252" customFormat="1" ht="16.5" thickBot="1">
      <c r="A52" s="309" t="s">
        <v>2427</v>
      </c>
      <c r="B52" s="310"/>
      <c r="C52" s="311">
        <f ca="1">C31+C51</f>
        <v>0</v>
      </c>
      <c r="D52" s="310"/>
      <c r="E52" s="310"/>
      <c r="F52" s="310"/>
      <c r="G52" s="312"/>
    </row>
    <row r="55" spans="1:7" ht="15">
      <c r="B55" s="314" t="s">
        <v>2428</v>
      </c>
      <c r="C55" s="315"/>
    </row>
    <row r="56" spans="1:7">
      <c r="B56" s="317" t="s">
        <v>1508</v>
      </c>
      <c r="C56" s="319" t="e">
        <f ca="1">1-C57</f>
        <v>#DIV/0!</v>
      </c>
    </row>
    <row r="57" spans="1:7">
      <c r="B57" s="317" t="s">
        <v>1509</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150322.14999999997</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c r="G3" s="916">
        <f>IF(F3="宗地容积率",'数据-汇总表'!I4,IF(F3="估价对象容积率",'数据-汇总表'!I6,'数据-汇总表'!I7))</f>
        <v>0</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8"/>
      <c r="B4" s="3259"/>
      <c r="C4" s="3259"/>
      <c r="D4" s="3260"/>
      <c r="E4" s="3260"/>
      <c r="F4" s="3260"/>
      <c r="G4" s="3260"/>
      <c r="H4" s="3260"/>
      <c r="I4" s="3260"/>
      <c r="J4" s="3261"/>
      <c r="K4" s="1370"/>
      <c r="L4" s="2726" t="s">
        <v>2822</v>
      </c>
      <c r="M4" s="1081">
        <f>SUMPRODUCT((区片价!B49:B75=I2)*(区片价!C3:F3=E2)*(区片价!C49:F75))</f>
        <v>0</v>
      </c>
      <c r="N4" s="1083">
        <f>SUMPRODUCT((因素修正幅度!B49:B75=I2)*(因素修正幅度!C3:F3=E2)*(因素修正幅度!C49:F75))</f>
        <v>0</v>
      </c>
      <c r="O4" s="1370"/>
      <c r="P4" s="1370"/>
      <c r="Q4" s="1370"/>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7" t="e">
        <f>ROUND(IF(E2="商业",C6*C7+C16,(IF(E2="住宅",C6*C12+C16,C6+C16))),0)</f>
        <v>#DIV/0!</v>
      </c>
      <c r="D5" s="1786" t="e">
        <f>ROUND(C6+C16,0)</f>
        <v>#DIV/0!</v>
      </c>
      <c r="E5" s="1786"/>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1"/>
      <c r="L6" s="2726" t="s">
        <v>2828</v>
      </c>
      <c r="M6" s="1081">
        <f>SUMPRODUCT((区片价!B110:B157=I2)*(区片价!C3:F3=E2)*(区片价!C110:F157))</f>
        <v>0</v>
      </c>
      <c r="N6" s="1083">
        <f>SUMPRODUCT((因素修正幅度!B110:B157=I2)*(因素修正幅度!C3:F3=E2)*(因素修正幅度!C110:F157))</f>
        <v>0</v>
      </c>
      <c r="O6" s="1370"/>
      <c r="P6" s="1370"/>
      <c r="Q6" s="1370"/>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42" t="str">
        <f>IF(E2="商业",IF(C8="不临58条商业街","",2),"")</f>
        <v/>
      </c>
      <c r="B7" s="2745" t="s">
        <v>2829</v>
      </c>
      <c r="C7" s="919" t="e">
        <f>IF(C8="不临58条商业街",1,ROUND(1+(1.6*E8+1.2*E9+0.8*E10+0.4*E11)*C9,4))</f>
        <v>#DIV/0!</v>
      </c>
      <c r="D7" s="2746" t="s">
        <v>2830</v>
      </c>
      <c r="E7" s="945"/>
      <c r="F7" s="2747"/>
      <c r="G7" s="2748"/>
      <c r="H7" s="2748"/>
      <c r="I7" s="2748"/>
      <c r="J7" s="2749"/>
      <c r="K7" s="1841"/>
      <c r="L7" s="2726" t="s">
        <v>2831</v>
      </c>
      <c r="M7" s="1081">
        <f>SUMPRODUCT((区片价!B158:B205=I2)*(区片价!C3:F3=E2)*(区片价!C158:F205))</f>
        <v>0</v>
      </c>
      <c r="N7" s="1083">
        <f>SUMPRODUCT((因素修正幅度!B158:B205=I2)*(因素修正幅度!C3:F3=E2)*(因素修正幅度!C158:F205))</f>
        <v>0</v>
      </c>
      <c r="O7" s="1370"/>
      <c r="P7" s="1370"/>
      <c r="Q7" s="1370"/>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2832</v>
      </c>
      <c r="X7" s="1603">
        <f>G2</f>
        <v>0</v>
      </c>
      <c r="Y7" s="1603" t="s">
        <v>2833</v>
      </c>
      <c r="Z7" s="1604">
        <f>G3</f>
        <v>0</v>
      </c>
      <c r="AA7" s="1605"/>
      <c r="AB7" s="1605"/>
      <c r="AC7" s="1606"/>
      <c r="AD7" s="1607"/>
      <c r="AE7" s="1607"/>
      <c r="AF7" s="1607"/>
      <c r="AG7" s="1607"/>
      <c r="AH7" s="1607"/>
      <c r="AI7" s="1607"/>
      <c r="AJ7" s="1608"/>
    </row>
    <row r="8" spans="1:36" ht="15">
      <c r="A8" s="3262"/>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55" t="s">
        <v>2837</v>
      </c>
      <c r="X8" s="3256"/>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62"/>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57"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2"/>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5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2"/>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57" t="s">
        <v>2861</v>
      </c>
      <c r="X11" s="1613" t="s">
        <v>2862</v>
      </c>
      <c r="Y11" s="1614">
        <f>$G$3</f>
        <v>0</v>
      </c>
      <c r="Z11" s="1614">
        <f t="shared" ref="Z11:AJ11" si="3">$G$3</f>
        <v>0</v>
      </c>
      <c r="AA11" s="1614">
        <f t="shared" si="3"/>
        <v>0</v>
      </c>
      <c r="AB11" s="1614">
        <f t="shared" si="3"/>
        <v>0</v>
      </c>
      <c r="AC11" s="1614">
        <f t="shared" si="3"/>
        <v>0</v>
      </c>
      <c r="AD11" s="1614">
        <f t="shared" si="3"/>
        <v>0</v>
      </c>
      <c r="AE11" s="1614">
        <f t="shared" si="3"/>
        <v>0</v>
      </c>
      <c r="AF11" s="1614">
        <f t="shared" si="3"/>
        <v>0</v>
      </c>
      <c r="AG11" s="1614">
        <f t="shared" si="3"/>
        <v>0</v>
      </c>
      <c r="AH11" s="1614">
        <f t="shared" si="3"/>
        <v>0</v>
      </c>
      <c r="AI11" s="1614">
        <f t="shared" si="3"/>
        <v>0</v>
      </c>
      <c r="AJ11" s="1614">
        <f t="shared" si="3"/>
        <v>0</v>
      </c>
    </row>
    <row r="12" spans="1:36" ht="25.5" thickBot="1">
      <c r="A12" s="3242"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57"/>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3"/>
      <c r="B13" s="2764" t="s">
        <v>2868</v>
      </c>
      <c r="C13" s="2765" t="s">
        <v>2869</v>
      </c>
      <c r="D13" s="1807" t="s">
        <v>2870</v>
      </c>
      <c r="E13" s="1807" t="s">
        <v>2871</v>
      </c>
      <c r="F13" s="30" t="s">
        <v>2872</v>
      </c>
      <c r="G13" s="2766" t="s">
        <v>2873</v>
      </c>
      <c r="H13" s="2766" t="s">
        <v>2873</v>
      </c>
      <c r="I13" s="2766" t="s">
        <v>2873</v>
      </c>
      <c r="J13" s="2767" t="s">
        <v>2873</v>
      </c>
      <c r="K13" s="1370"/>
      <c r="L13" s="1370"/>
      <c r="M13" s="1370"/>
      <c r="N13" s="1370"/>
      <c r="O13" s="1370"/>
      <c r="P13" s="1370"/>
      <c r="Q13" s="1370"/>
      <c r="R13" s="1601">
        <v>12</v>
      </c>
      <c r="S13" s="1602"/>
      <c r="T13" s="1601" t="e">
        <f t="shared" si="0"/>
        <v>#DIV/0!</v>
      </c>
      <c r="U13" s="1602"/>
      <c r="V13" s="1601" t="e">
        <f t="shared" si="1"/>
        <v>#DIV/0!</v>
      </c>
      <c r="W13" s="3257"/>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63"/>
      <c r="B14" s="2768"/>
      <c r="C14" s="2769"/>
      <c r="D14" s="2770"/>
      <c r="E14" s="2770"/>
      <c r="F14" s="2771"/>
      <c r="G14" s="2772" t="s">
        <v>2874</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4"/>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42" t="s">
        <v>2880</v>
      </c>
      <c r="B16" s="2745" t="s">
        <v>2881</v>
      </c>
      <c r="C16" s="2932" t="e">
        <f>ROUND(IF(F17="与级别开发程度一致",0,(G17-E17)/C17),0)</f>
        <v>#DIV/0!</v>
      </c>
      <c r="D16" s="3253" t="s">
        <v>2885</v>
      </c>
      <c r="E16" s="3254"/>
      <c r="F16" s="3253" t="s">
        <v>2882</v>
      </c>
      <c r="G16" s="3254"/>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43"/>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ROUND(IF(H19="按公示增长率计算",SUMPRODUCT((地价!A3:A28=YEAR(G19)&amp;"-"&amp;ROUNDUP(MONTH(G19)/3,0))*(地价!X2:AB2=E2)*(地价!X3:AB28)),IF(H19="地价指数",M20/M19,(1+I19)^O19)),4)</f>
        <v>#DIV/0!</v>
      </c>
      <c r="D19" s="2789" t="s">
        <v>2889</v>
      </c>
      <c r="E19" s="925">
        <v>41640</v>
      </c>
      <c r="F19" s="2789" t="s">
        <v>2890</v>
      </c>
      <c r="G19" s="926">
        <f>'数据-取费表'!B2</f>
        <v>43759</v>
      </c>
      <c r="H19" s="2790" t="s">
        <v>3062</v>
      </c>
      <c r="I19" s="927" t="str">
        <f>IF(H19="季度增幅（自定义）",SUMIF(N21:N24,E2,O21:O24),"")</f>
        <v/>
      </c>
      <c r="J19" s="2787"/>
      <c r="K19" s="1377"/>
      <c r="L19" s="2791" t="s">
        <v>2891</v>
      </c>
      <c r="M19" s="1733">
        <f>ROUND(SUMIF(地价!B2:F2,E2,地价!B28:F28),0)</f>
        <v>0</v>
      </c>
      <c r="N19" s="2792" t="s">
        <v>2892</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7">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4">
        <f>ROUND(SUMPRODUCT((地价!A4:A28=YEAR(G19)&amp;"-"&amp;ROUNDUP(MONTH(G19)/3,0))*(地价!B2:F2=E2)*(地价!B4:F28)),0)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3061</v>
      </c>
      <c r="C21" s="937" t="b">
        <f>IF(B21="容积率修正",IF(G3&lt;=10,D22,J22),C23)</f>
        <v>0</v>
      </c>
      <c r="D21" s="2805"/>
      <c r="E21" s="2805"/>
      <c r="F21" s="2805"/>
      <c r="G21" s="2805"/>
      <c r="H21" s="2805"/>
      <c r="I21" s="2805"/>
      <c r="J21" s="2806"/>
      <c r="K21" s="1377"/>
      <c r="N21" s="2807" t="s">
        <v>2900</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38" customFormat="1" ht="14.25">
      <c r="A22" s="2664" t="s">
        <v>2901</v>
      </c>
      <c r="B22" s="2808" t="s">
        <v>2902</v>
      </c>
      <c r="C22" s="1809" t="s">
        <v>2903</v>
      </c>
      <c r="D22" s="1809" t="b">
        <f>IF(E22=G22,F22,IF(G3&lt;=10,ROUND(F22+(H22-F22)*(G3-E22)/(G22-E22),4),"——"))</f>
        <v>0</v>
      </c>
      <c r="E22" s="916">
        <f>ROUNDDOWN(G3,1)</f>
        <v>0</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2904</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4" t="s">
        <v>2905</v>
      </c>
      <c r="B23" s="2809" t="s">
        <v>2906</v>
      </c>
      <c r="C23" s="1013" t="e">
        <f>ROUND(IF(G3&gt;1,IF(I3&lt;7,SUMPRODUCT((B93:B98=I3)*(C92:N92=G2)*(C93:N98)),SUMIF(C92:N92,G2,C100:N100)),IF(I3&lt;7,SUMPRODUCT((B102:B107=I3)*(C92:N92=G2)*(C102:N107)),SUMIF(C92:N92,G2,C109:N109))),4)</f>
        <v>#DIV/0!</v>
      </c>
      <c r="D23" s="2773"/>
      <c r="E23" s="2773"/>
      <c r="F23" s="2810"/>
      <c r="G23" s="2811"/>
      <c r="H23" s="2812"/>
      <c r="I23" s="2813"/>
      <c r="J23" s="2814"/>
      <c r="K23" s="1370"/>
      <c r="N23" s="2807" t="s">
        <v>2907</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2908</v>
      </c>
      <c r="C24" s="924">
        <f>SUMIF(A45:A88,E2,B45:B88)</f>
        <v>0</v>
      </c>
      <c r="D24" s="2786"/>
      <c r="E24" s="2815"/>
      <c r="F24" s="2815"/>
      <c r="G24" s="2815"/>
      <c r="H24" s="2815"/>
      <c r="I24" s="2815"/>
      <c r="J24" s="2816"/>
      <c r="K24" s="1377"/>
      <c r="N24" s="2817" t="s">
        <v>2909</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2910</v>
      </c>
      <c r="C25" s="930"/>
      <c r="D25" s="2748"/>
      <c r="E25" s="2748"/>
      <c r="F25" s="2819"/>
      <c r="G25" s="2748"/>
      <c r="H25" s="2748"/>
      <c r="I25" s="2748"/>
      <c r="J25" s="2749"/>
      <c r="K25" s="1370"/>
      <c r="N25" s="2820" t="s">
        <v>2911</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21"/>
      <c r="B26" s="2808" t="s">
        <v>2912</v>
      </c>
      <c r="C26" s="206" t="e">
        <f>E29+SUM(E33:E39)</f>
        <v>#DIV/0!</v>
      </c>
      <c r="D26" s="2822"/>
      <c r="E26" s="2773"/>
      <c r="F26" s="2823"/>
      <c r="G26" s="2773"/>
      <c r="H26" s="2773"/>
      <c r="I26" s="2773"/>
      <c r="J26" s="2824"/>
      <c r="K26" s="1370"/>
      <c r="L26" s="2777" t="s">
        <v>2812</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2913</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2914</v>
      </c>
      <c r="C28" s="2832" t="s">
        <v>2915</v>
      </c>
      <c r="D28" s="2832" t="s">
        <v>2916</v>
      </c>
      <c r="E28" s="2833" t="s">
        <v>2917</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2918</v>
      </c>
      <c r="C29" s="206" t="e">
        <f>ROUND(C5*C18*C19*C20*C21*C24,0)</f>
        <v>#DIV/0!</v>
      </c>
      <c r="D29" s="2837">
        <f>'数据-汇总表'!F27</f>
        <v>150322.14999999997</v>
      </c>
      <c r="E29" s="942" t="e">
        <f>ROUND(C29*D29/10000,0)</f>
        <v>#DIV/0!</v>
      </c>
      <c r="F29" s="2838" t="s">
        <v>2919</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2920</v>
      </c>
      <c r="C30" s="229" t="e">
        <f>ROUND(IF(E2="工业",C29*M39,C29*M38),0)</f>
        <v>#DIV/0!</v>
      </c>
      <c r="D30" s="2843"/>
      <c r="E30" s="942" t="e">
        <f>ROUND(C30*D30/10000,0)</f>
        <v>#DIV/0!</v>
      </c>
      <c r="F30" s="2844" t="s">
        <v>2921</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0" t="s">
        <v>2926</v>
      </c>
      <c r="B33" s="2853" t="s">
        <v>2927</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5" t="s">
        <v>2928</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5" t="s">
        <v>2929</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52"/>
      <c r="B36" s="2765" t="s">
        <v>2930</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2931</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2932</v>
      </c>
      <c r="M37" s="2857"/>
      <c r="N37" s="1370"/>
      <c r="O37" s="1370"/>
      <c r="P37" s="1370"/>
      <c r="Q37" s="1370"/>
      <c r="R37" s="1370"/>
      <c r="S37" s="1370"/>
      <c r="T37" s="1370"/>
      <c r="U37" s="1370"/>
      <c r="V37" s="1370"/>
      <c r="W37" s="1370"/>
      <c r="X37" s="1370"/>
      <c r="Y37" s="1370"/>
      <c r="Z37" s="1371"/>
    </row>
    <row r="38" spans="1:37">
      <c r="A38" s="2855"/>
      <c r="B38" s="2765" t="s">
        <v>2933</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2934</v>
      </c>
      <c r="M38" s="2858">
        <v>0.25</v>
      </c>
      <c r="N38" s="1370"/>
      <c r="O38" s="1370"/>
      <c r="P38" s="1370"/>
      <c r="Q38" s="1370"/>
      <c r="R38" s="1370"/>
      <c r="S38" s="1370"/>
      <c r="T38" s="1370"/>
      <c r="U38" s="1370"/>
      <c r="V38" s="1370"/>
      <c r="W38" s="1370"/>
      <c r="X38" s="1370"/>
      <c r="Y38" s="1370"/>
      <c r="Z38" s="1371"/>
    </row>
    <row r="39" spans="1:37" ht="13.5" thickBot="1">
      <c r="A39" s="2841"/>
      <c r="B39" s="2859" t="s">
        <v>2935</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3046</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2936</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2937</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2938</v>
      </c>
      <c r="B47" s="1808" t="s">
        <v>2939</v>
      </c>
      <c r="C47" s="1808" t="s">
        <v>2940</v>
      </c>
      <c r="D47" s="1808" t="s">
        <v>2941</v>
      </c>
      <c r="E47" s="819" t="s">
        <v>2942</v>
      </c>
      <c r="F47" s="2871" t="s">
        <v>2943</v>
      </c>
      <c r="G47" s="1808" t="s">
        <v>754</v>
      </c>
      <c r="H47" s="2872" t="s">
        <v>2944</v>
      </c>
      <c r="I47" s="1808"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2946</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2947</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2948</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2949</v>
      </c>
      <c r="B51" s="2875" t="s">
        <v>2950</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2951</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2952</v>
      </c>
      <c r="B53" s="2876" t="s">
        <v>2953</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2954</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2955</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2956</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2957</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2938</v>
      </c>
      <c r="B58" s="1808"/>
      <c r="C58" s="1808" t="s">
        <v>2940</v>
      </c>
      <c r="D58" s="1808" t="s">
        <v>2941</v>
      </c>
      <c r="E58" s="819" t="s">
        <v>2942</v>
      </c>
      <c r="F58" s="2871" t="s">
        <v>2958</v>
      </c>
      <c r="G58" s="1808" t="s">
        <v>754</v>
      </c>
      <c r="H58" s="2872" t="s">
        <v>2944</v>
      </c>
      <c r="I58" s="1808"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2959</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2947</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2948</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2949</v>
      </c>
      <c r="B62" s="2875" t="s">
        <v>2950</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2951</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2952</v>
      </c>
      <c r="B64" s="2876" t="s">
        <v>2953</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2954</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2955</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2956</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2960</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2938</v>
      </c>
      <c r="B69" s="1808"/>
      <c r="C69" s="1808" t="s">
        <v>2940</v>
      </c>
      <c r="D69" s="1808" t="s">
        <v>2941</v>
      </c>
      <c r="E69" s="819" t="s">
        <v>2942</v>
      </c>
      <c r="F69" s="2871" t="s">
        <v>2958</v>
      </c>
      <c r="G69" s="1808" t="s">
        <v>754</v>
      </c>
      <c r="H69" s="2872" t="s">
        <v>2944</v>
      </c>
      <c r="I69" s="1808"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2961</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2947</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2948</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2962</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2954</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2955</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2952</v>
      </c>
      <c r="B76" s="2876" t="s">
        <v>2953</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2956</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2963</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2964</v>
      </c>
      <c r="B79" s="2867">
        <f>1+E81</f>
        <v>1</v>
      </c>
      <c r="C79" s="814"/>
      <c r="D79" s="814"/>
      <c r="E79" s="815"/>
      <c r="F79" s="2869"/>
      <c r="G79" s="6"/>
      <c r="H79" s="6"/>
      <c r="I79" s="6"/>
      <c r="J79" s="7"/>
      <c r="K79" s="7"/>
      <c r="L79" s="7"/>
      <c r="M79" s="7"/>
      <c r="N79" s="7"/>
      <c r="Z79" s="2720"/>
      <c r="AA79" s="2788"/>
      <c r="AG79" s="1372"/>
      <c r="AK79" s="2788"/>
    </row>
    <row r="80" spans="1:37" ht="24.75">
      <c r="A80" s="2870" t="s">
        <v>2938</v>
      </c>
      <c r="B80" s="1808"/>
      <c r="C80" s="1808" t="s">
        <v>2940</v>
      </c>
      <c r="D80" s="1808" t="s">
        <v>2941</v>
      </c>
      <c r="E80" s="819" t="s">
        <v>2942</v>
      </c>
      <c r="F80" s="2871" t="s">
        <v>2958</v>
      </c>
      <c r="G80" s="1808" t="s">
        <v>754</v>
      </c>
      <c r="H80" s="2872" t="s">
        <v>2944</v>
      </c>
      <c r="I80" s="1808" t="s">
        <v>2945</v>
      </c>
      <c r="J80" s="603" t="s">
        <v>2595</v>
      </c>
      <c r="K80" s="603" t="s">
        <v>2596</v>
      </c>
      <c r="L80" s="603" t="s">
        <v>2597</v>
      </c>
      <c r="M80" s="603" t="s">
        <v>2598</v>
      </c>
      <c r="N80" s="603" t="s">
        <v>2599</v>
      </c>
      <c r="Z80" s="2720"/>
      <c r="AA80" s="2788"/>
      <c r="AG80" s="1372"/>
      <c r="AK80" s="2788"/>
    </row>
    <row r="81" spans="1:37" ht="38.25">
      <c r="A81" s="2870" t="s">
        <v>2965</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2947</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2948</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2962</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2954</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2955</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2952</v>
      </c>
      <c r="B87" s="2876" t="s">
        <v>2966</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2967</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44" t="s">
        <v>2968</v>
      </c>
      <c r="B90" s="3244"/>
      <c r="C90" s="3244"/>
      <c r="D90" s="3244"/>
      <c r="E90" s="3244"/>
      <c r="F90" s="3244"/>
      <c r="G90" s="3244"/>
      <c r="H90" s="3244"/>
      <c r="I90" s="3244"/>
      <c r="J90" s="3244"/>
      <c r="K90" s="2884"/>
      <c r="L90" s="2884"/>
      <c r="M90" s="2884"/>
      <c r="N90" s="2884"/>
    </row>
    <row r="91" spans="1:37">
      <c r="A91" s="3246" t="s">
        <v>2969</v>
      </c>
      <c r="B91" s="3246" t="s">
        <v>2970</v>
      </c>
      <c r="C91" s="2838" t="s">
        <v>2971</v>
      </c>
      <c r="D91" s="2839"/>
      <c r="E91" s="2839"/>
      <c r="F91" s="2839"/>
      <c r="G91" s="2839"/>
      <c r="H91" s="2839"/>
      <c r="I91" s="2839"/>
      <c r="J91" s="2885"/>
      <c r="K91" s="2886"/>
      <c r="L91" s="2886"/>
      <c r="M91" s="2886"/>
      <c r="N91" s="2886"/>
    </row>
    <row r="92" spans="1:37">
      <c r="A92" s="3246"/>
      <c r="B92" s="3246"/>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7"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4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4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4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4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4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48"/>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4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47" t="s">
        <v>2973</v>
      </c>
      <c r="B101" s="2891" t="s">
        <v>2974</v>
      </c>
      <c r="C101" s="2892">
        <f>$G$3</f>
        <v>0</v>
      </c>
      <c r="D101" s="2892">
        <f t="shared" ref="D101:N101" si="31">$G$3</f>
        <v>0</v>
      </c>
      <c r="E101" s="2892">
        <f t="shared" si="31"/>
        <v>0</v>
      </c>
      <c r="F101" s="2892">
        <f t="shared" si="31"/>
        <v>0</v>
      </c>
      <c r="G101" s="2892">
        <f t="shared" si="31"/>
        <v>0</v>
      </c>
      <c r="H101" s="2892">
        <f t="shared" si="31"/>
        <v>0</v>
      </c>
      <c r="I101" s="2892">
        <f t="shared" si="31"/>
        <v>0</v>
      </c>
      <c r="J101" s="2892">
        <f t="shared" si="31"/>
        <v>0</v>
      </c>
      <c r="K101" s="2892">
        <f t="shared" si="31"/>
        <v>0</v>
      </c>
      <c r="L101" s="2892">
        <f t="shared" si="31"/>
        <v>0</v>
      </c>
      <c r="M101" s="2892">
        <f t="shared" si="31"/>
        <v>0</v>
      </c>
      <c r="N101" s="2892">
        <f t="shared" si="31"/>
        <v>0</v>
      </c>
    </row>
    <row r="102" spans="1:14">
      <c r="A102" s="3248"/>
      <c r="B102" s="2887">
        <v>1</v>
      </c>
      <c r="C102" s="2888" t="e">
        <f>1.9362/C101</f>
        <v>#DIV/0!</v>
      </c>
      <c r="D102" s="2888" t="e">
        <f>1.9362/D101</f>
        <v>#DIV/0!</v>
      </c>
      <c r="E102" s="2888" t="e">
        <f>1.8629/E101</f>
        <v>#DIV/0!</v>
      </c>
      <c r="F102" s="2888" t="e">
        <f>1.8629/F101</f>
        <v>#DIV/0!</v>
      </c>
      <c r="G102" s="2888" t="e">
        <f>1.8629/G101</f>
        <v>#DIV/0!</v>
      </c>
      <c r="H102" s="2888" t="e">
        <f>1.8629/H101</f>
        <v>#DIV/0!</v>
      </c>
      <c r="I102" s="2888" t="e">
        <f>1.8629/I101</f>
        <v>#DIV/0!</v>
      </c>
      <c r="J102" s="2888" t="e">
        <f>1.942/J101</f>
        <v>#DIV/0!</v>
      </c>
      <c r="K102" s="2888" t="e">
        <f>1.942/K101</f>
        <v>#DIV/0!</v>
      </c>
      <c r="L102" s="2888" t="e">
        <f>1.942/L101</f>
        <v>#DIV/0!</v>
      </c>
      <c r="M102" s="2888" t="e">
        <f>1.942/M101</f>
        <v>#DIV/0!</v>
      </c>
      <c r="N102" s="2888" t="e">
        <f>1.942/N101</f>
        <v>#DIV/0!</v>
      </c>
    </row>
    <row r="103" spans="1:14">
      <c r="A103" s="3248"/>
      <c r="B103" s="2887">
        <v>2</v>
      </c>
      <c r="C103" s="2888" t="e">
        <f>1.4198/C101</f>
        <v>#DIV/0!</v>
      </c>
      <c r="D103" s="2888" t="e">
        <f>1.4198/D101</f>
        <v>#DIV/0!</v>
      </c>
      <c r="E103" s="2888" t="e">
        <f>1.3372/E101</f>
        <v>#DIV/0!</v>
      </c>
      <c r="F103" s="2888" t="e">
        <f>1.3372/F101</f>
        <v>#DIV/0!</v>
      </c>
      <c r="G103" s="2888" t="e">
        <f>1.3372/G101</f>
        <v>#DIV/0!</v>
      </c>
      <c r="H103" s="2888" t="e">
        <f>1.3372/H101</f>
        <v>#DIV/0!</v>
      </c>
      <c r="I103" s="2888" t="e">
        <f>1.3372/I101</f>
        <v>#DIV/0!</v>
      </c>
      <c r="J103" s="2888" t="e">
        <f>1.2799/J101</f>
        <v>#DIV/0!</v>
      </c>
      <c r="K103" s="2888" t="e">
        <f>1.2799/K101</f>
        <v>#DIV/0!</v>
      </c>
      <c r="L103" s="2888" t="e">
        <f>1.2799/L101</f>
        <v>#DIV/0!</v>
      </c>
      <c r="M103" s="2888" t="e">
        <f>1.2799/M101</f>
        <v>#DIV/0!</v>
      </c>
      <c r="N103" s="2888" t="e">
        <f>1.2799/N101</f>
        <v>#DIV/0!</v>
      </c>
    </row>
    <row r="104" spans="1:14">
      <c r="A104" s="3248"/>
      <c r="B104" s="2887">
        <v>3</v>
      </c>
      <c r="C104" s="2888" t="e">
        <f>1.1594/C101</f>
        <v>#DIV/0!</v>
      </c>
      <c r="D104" s="2888" t="e">
        <f>1.1594/D101</f>
        <v>#DIV/0!</v>
      </c>
      <c r="E104" s="2888" t="e">
        <f>1.0788/E101</f>
        <v>#DIV/0!</v>
      </c>
      <c r="F104" s="2888" t="e">
        <f>1.0788/F101</f>
        <v>#DIV/0!</v>
      </c>
      <c r="G104" s="2888" t="e">
        <f>1.0788/G101</f>
        <v>#DIV/0!</v>
      </c>
      <c r="H104" s="2888" t="e">
        <f>1.0788/H101</f>
        <v>#DIV/0!</v>
      </c>
      <c r="I104" s="2888" t="e">
        <f>1.0788/I101</f>
        <v>#DIV/0!</v>
      </c>
      <c r="J104" s="2888" t="e">
        <f>1.0072/J101</f>
        <v>#DIV/0!</v>
      </c>
      <c r="K104" s="2888" t="e">
        <f>1.0072/K101</f>
        <v>#DIV/0!</v>
      </c>
      <c r="L104" s="2888" t="e">
        <f>1.0072/L101</f>
        <v>#DIV/0!</v>
      </c>
      <c r="M104" s="2888" t="e">
        <f>1.0072/M101</f>
        <v>#DIV/0!</v>
      </c>
      <c r="N104" s="2888" t="e">
        <f>1.0072/N101</f>
        <v>#DIV/0!</v>
      </c>
    </row>
    <row r="105" spans="1:14">
      <c r="A105" s="3248"/>
      <c r="B105" s="2887">
        <v>4</v>
      </c>
      <c r="C105" s="2888" t="e">
        <f>0.9622/C101</f>
        <v>#DIV/0!</v>
      </c>
      <c r="D105" s="2888" t="e">
        <f>0.9622/D101</f>
        <v>#DIV/0!</v>
      </c>
      <c r="E105" s="2888" t="e">
        <f>0.8656/E101</f>
        <v>#DIV/0!</v>
      </c>
      <c r="F105" s="2888" t="e">
        <f>0.8656/F101</f>
        <v>#DIV/0!</v>
      </c>
      <c r="G105" s="2888" t="e">
        <f>0.8656/G101</f>
        <v>#DIV/0!</v>
      </c>
      <c r="H105" s="2888" t="e">
        <f>0.8656/H101</f>
        <v>#DIV/0!</v>
      </c>
      <c r="I105" s="2888" t="e">
        <f>0.8656/I101</f>
        <v>#DIV/0!</v>
      </c>
      <c r="J105" s="2888" t="e">
        <f>0.7525/J101</f>
        <v>#DIV/0!</v>
      </c>
      <c r="K105" s="2888" t="e">
        <f>0.7525/K101</f>
        <v>#DIV/0!</v>
      </c>
      <c r="L105" s="2888" t="e">
        <f>0.7525/L101</f>
        <v>#DIV/0!</v>
      </c>
      <c r="M105" s="2888" t="e">
        <f>0.7525/M101</f>
        <v>#DIV/0!</v>
      </c>
      <c r="N105" s="2888" t="e">
        <f>0.7525/N101</f>
        <v>#DIV/0!</v>
      </c>
    </row>
    <row r="106" spans="1:14">
      <c r="A106" s="3248"/>
      <c r="B106" s="2887">
        <v>5</v>
      </c>
      <c r="C106" s="2888" t="e">
        <f>0.8417/C101</f>
        <v>#DIV/0!</v>
      </c>
      <c r="D106" s="2888" t="e">
        <f>0.8417/D101</f>
        <v>#DIV/0!</v>
      </c>
      <c r="E106" s="2888" t="e">
        <f>0.7371/E101</f>
        <v>#DIV/0!</v>
      </c>
      <c r="F106" s="2888" t="e">
        <f>0.7371/F101</f>
        <v>#DIV/0!</v>
      </c>
      <c r="G106" s="2888" t="e">
        <f>0.7371/G101</f>
        <v>#DIV/0!</v>
      </c>
      <c r="H106" s="2888" t="e">
        <f>0.7371/H101</f>
        <v>#DIV/0!</v>
      </c>
      <c r="I106" s="2888" t="e">
        <f>0.7371/I101</f>
        <v>#DIV/0!</v>
      </c>
      <c r="J106" s="2888" t="e">
        <f>0.5659/J101</f>
        <v>#DIV/0!</v>
      </c>
      <c r="K106" s="2888" t="e">
        <f>0.5659/K101</f>
        <v>#DIV/0!</v>
      </c>
      <c r="L106" s="2888" t="e">
        <f>0.5659/L101</f>
        <v>#DIV/0!</v>
      </c>
      <c r="M106" s="2888" t="e">
        <f>0.5659/M101</f>
        <v>#DIV/0!</v>
      </c>
      <c r="N106" s="2888" t="e">
        <f>0.5659/N101</f>
        <v>#DIV/0!</v>
      </c>
    </row>
    <row r="107" spans="1:14">
      <c r="A107" s="3248"/>
      <c r="B107" s="2887">
        <v>6</v>
      </c>
      <c r="C107" s="2888" t="e">
        <f>0.7608/C101</f>
        <v>#DIV/0!</v>
      </c>
      <c r="D107" s="2888" t="e">
        <f>0.7608/D101</f>
        <v>#DIV/0!</v>
      </c>
      <c r="E107" s="2888" t="e">
        <f>0.6482/E101</f>
        <v>#DIV/0!</v>
      </c>
      <c r="F107" s="2888" t="e">
        <f>0.6482/F101</f>
        <v>#DIV/0!</v>
      </c>
      <c r="G107" s="2888" t="e">
        <f>0.6482/G101</f>
        <v>#DIV/0!</v>
      </c>
      <c r="H107" s="2888" t="e">
        <f>0.6482/H101</f>
        <v>#DIV/0!</v>
      </c>
      <c r="I107" s="2888" t="e">
        <f>0.6482/I101</f>
        <v>#DIV/0!</v>
      </c>
      <c r="J107" s="2888" t="e">
        <f>0.4525/J101</f>
        <v>#DIV/0!</v>
      </c>
      <c r="K107" s="2888" t="e">
        <f>0.4525/K101</f>
        <v>#DIV/0!</v>
      </c>
      <c r="L107" s="2888" t="e">
        <f>0.4525/L101</f>
        <v>#DIV/0!</v>
      </c>
      <c r="M107" s="2888" t="e">
        <f>0.4525/M101</f>
        <v>#DIV/0!</v>
      </c>
      <c r="N107" s="2888" t="e">
        <f>0.4525/N101</f>
        <v>#DIV/0!</v>
      </c>
    </row>
    <row r="108" spans="1:14">
      <c r="A108" s="3248"/>
      <c r="B108" s="3076"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49"/>
      <c r="B109" s="3077"/>
      <c r="C109" s="2890" t="e">
        <f>(-0.163*(C108^2)-0.59*C108+7617)*(10^(-4))/C101</f>
        <v>#DIV/0!</v>
      </c>
      <c r="D109" s="2890" t="e">
        <f>(-0.163*(D108^2)-0.59*D108+7617)*(10^(-4))/D101</f>
        <v>#DIV/0!</v>
      </c>
      <c r="E109" s="2890" t="e">
        <f>(-0.161*(E108^2)-7.509*E108+6533)*(10^(-4))/E101</f>
        <v>#DIV/0!</v>
      </c>
      <c r="F109" s="2890" t="e">
        <f>(-0.161*(F108^2)-7.509*F108+6533)*(10^(-4))/F101</f>
        <v>#DIV/0!</v>
      </c>
      <c r="G109" s="2890" t="e">
        <f>(-0.161*(G108^2)-7.509*G108+6533)*(10^(-4))/G101</f>
        <v>#DIV/0!</v>
      </c>
      <c r="H109" s="2890" t="e">
        <f>(-0.161*(H108^2)-7.509*H108+6533)*(10^(-4))/H101</f>
        <v>#DIV/0!</v>
      </c>
      <c r="I109" s="2890" t="e">
        <f>(-0.161*(I108^2)-7.509*I108+6533)*(10^(-4))/I101</f>
        <v>#DIV/0!</v>
      </c>
      <c r="J109" s="2890" t="e">
        <f>(-0.214*(J108^2)-21.991*J108+4665)*(10^(-4))/J101</f>
        <v>#DIV/0!</v>
      </c>
      <c r="K109" s="2890" t="e">
        <f>(-0.214*(K108^2)-21.991*K108+4665)*(10^(-4))/K101</f>
        <v>#DIV/0!</v>
      </c>
      <c r="L109" s="2890" t="e">
        <f>(-0.214*(L108^2)-21.991*L108+4665)*(10^(-4))/L101</f>
        <v>#DIV/0!</v>
      </c>
      <c r="M109" s="2890" t="e">
        <f>(-0.214*(M108^2)-21.991*M108+4665)*(10^(-4))/M101</f>
        <v>#DIV/0!</v>
      </c>
      <c r="N109" s="2890" t="e">
        <f>(-0.214*(N108^2)-21.991*N108+4665)*(10^(-4))/N101</f>
        <v>#DIV/0!</v>
      </c>
    </row>
    <row r="110" spans="1:14">
      <c r="A110" s="3245" t="s">
        <v>2976</v>
      </c>
      <c r="B110" s="3245"/>
      <c r="C110" s="3245"/>
      <c r="D110" s="3245"/>
      <c r="E110" s="3245"/>
      <c r="F110" s="3245"/>
      <c r="G110" s="3245"/>
      <c r="H110" s="3245"/>
      <c r="I110" s="3245"/>
      <c r="J110" s="3245"/>
      <c r="K110" s="2893"/>
      <c r="L110" s="2893"/>
      <c r="M110" s="2893"/>
      <c r="N110" s="2893"/>
    </row>
    <row r="112" spans="1:14" ht="13.5" thickBot="1"/>
    <row r="113" spans="1:13" ht="25.5" thickBot="1">
      <c r="A113" s="903" t="s">
        <v>2977</v>
      </c>
      <c r="B113" s="1287">
        <f>G3</f>
        <v>0</v>
      </c>
      <c r="C113" s="904" t="s">
        <v>2978</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9" t="s">
        <v>2876</v>
      </c>
      <c r="B115" s="910">
        <f>ROUND(0.9335-0.0094*B113,4)</f>
        <v>0.9335</v>
      </c>
      <c r="C115" s="910">
        <f>B115</f>
        <v>0.9335</v>
      </c>
      <c r="D115" s="910">
        <f>ROUND(0.8331-0.0109*B113,4)</f>
        <v>0.83309999999999995</v>
      </c>
      <c r="E115" s="910">
        <f>D115</f>
        <v>0.83309999999999995</v>
      </c>
      <c r="F115" s="910">
        <f>E115</f>
        <v>0.83309999999999995</v>
      </c>
      <c r="G115" s="910">
        <f>F115</f>
        <v>0.83309999999999995</v>
      </c>
      <c r="H115" s="910">
        <f>G115</f>
        <v>0.83309999999999995</v>
      </c>
      <c r="I115" s="910">
        <f>ROUND(0.689-0.0155*B113,4)</f>
        <v>0.68899999999999995</v>
      </c>
      <c r="J115" s="910">
        <f t="shared" ref="J115:M118" si="33">I115</f>
        <v>0.68899999999999995</v>
      </c>
      <c r="K115" s="910">
        <f t="shared" si="33"/>
        <v>0.68899999999999995</v>
      </c>
      <c r="L115" s="910">
        <f t="shared" si="33"/>
        <v>0.68899999999999995</v>
      </c>
      <c r="M115" s="911">
        <f t="shared" si="33"/>
        <v>0.68899999999999995</v>
      </c>
    </row>
    <row r="116" spans="1:13">
      <c r="A116" s="909" t="s">
        <v>2877</v>
      </c>
      <c r="B116" s="910">
        <f>ROUND(0.949-0.012*B113,4)</f>
        <v>0.94899999999999995</v>
      </c>
      <c r="C116" s="910">
        <f>B116</f>
        <v>0.94899999999999995</v>
      </c>
      <c r="D116" s="910">
        <f>ROUND(0.8567-0.013*B113,4)</f>
        <v>0.85670000000000002</v>
      </c>
      <c r="E116" s="910">
        <f t="shared" ref="E116:H117" si="34">D116</f>
        <v>0.85670000000000002</v>
      </c>
      <c r="F116" s="910">
        <f t="shared" si="34"/>
        <v>0.85670000000000002</v>
      </c>
      <c r="G116" s="910">
        <f t="shared" si="34"/>
        <v>0.85670000000000002</v>
      </c>
      <c r="H116" s="910">
        <f t="shared" si="34"/>
        <v>0.85670000000000002</v>
      </c>
      <c r="I116" s="910">
        <f>ROUND(0.7694-0.014*B113,4)</f>
        <v>0.76939999999999997</v>
      </c>
      <c r="J116" s="910">
        <f t="shared" si="33"/>
        <v>0.76939999999999997</v>
      </c>
      <c r="K116" s="910">
        <f t="shared" si="33"/>
        <v>0.76939999999999997</v>
      </c>
      <c r="L116" s="910">
        <f t="shared" si="33"/>
        <v>0.76939999999999997</v>
      </c>
      <c r="M116" s="911">
        <f t="shared" si="33"/>
        <v>0.76939999999999997</v>
      </c>
    </row>
    <row r="117" spans="1:13">
      <c r="A117" s="909" t="s">
        <v>2878</v>
      </c>
      <c r="B117" s="910">
        <f>ROUND(0.8808-0.006*B113,4)</f>
        <v>0.88080000000000003</v>
      </c>
      <c r="C117" s="910">
        <f>B117</f>
        <v>0.88080000000000003</v>
      </c>
      <c r="D117" s="910">
        <f>ROUND(0.8748-0.008*B113,4)</f>
        <v>0.87480000000000002</v>
      </c>
      <c r="E117" s="910">
        <f t="shared" si="34"/>
        <v>0.87480000000000002</v>
      </c>
      <c r="F117" s="910">
        <f t="shared" si="34"/>
        <v>0.87480000000000002</v>
      </c>
      <c r="G117" s="910">
        <f t="shared" si="34"/>
        <v>0.87480000000000002</v>
      </c>
      <c r="H117" s="910">
        <f t="shared" si="34"/>
        <v>0.87480000000000002</v>
      </c>
      <c r="I117" s="910">
        <f>ROUND(0.7412-0.0095*B113,4)</f>
        <v>0.74119999999999997</v>
      </c>
      <c r="J117" s="910">
        <f t="shared" si="33"/>
        <v>0.74119999999999997</v>
      </c>
      <c r="K117" s="910">
        <f t="shared" si="33"/>
        <v>0.74119999999999997</v>
      </c>
      <c r="L117" s="910">
        <f t="shared" si="33"/>
        <v>0.74119999999999997</v>
      </c>
      <c r="M117" s="911">
        <f t="shared" si="33"/>
        <v>0.74119999999999997</v>
      </c>
    </row>
    <row r="118" spans="1:13" ht="13.5" thickBot="1">
      <c r="A118" s="714" t="s">
        <v>2879</v>
      </c>
      <c r="B118" s="912">
        <f>ROUND(0.7275-0.01*B113,4)</f>
        <v>0.72750000000000004</v>
      </c>
      <c r="C118" s="912">
        <f>B118</f>
        <v>0.72750000000000004</v>
      </c>
      <c r="D118" s="912">
        <f>ROUND(0.7043-0.012*B113,4)</f>
        <v>0.70430000000000004</v>
      </c>
      <c r="E118" s="912">
        <f>D118</f>
        <v>0.70430000000000004</v>
      </c>
      <c r="F118" s="912">
        <f>E118</f>
        <v>0.70430000000000004</v>
      </c>
      <c r="G118" s="912">
        <f>ROUND(0.6299-0.0122*B113,4)</f>
        <v>0.62990000000000002</v>
      </c>
      <c r="H118" s="912">
        <f>G118</f>
        <v>0.62990000000000002</v>
      </c>
      <c r="I118" s="912">
        <f>ROUND(0.5667-0.0136*B113,4)</f>
        <v>0.56669999999999998</v>
      </c>
      <c r="J118" s="912">
        <f t="shared" si="33"/>
        <v>0.56669999999999998</v>
      </c>
      <c r="K118" s="912">
        <f t="shared" si="33"/>
        <v>0.56669999999999998</v>
      </c>
      <c r="L118" s="912">
        <f t="shared" si="33"/>
        <v>0.56669999999999998</v>
      </c>
      <c r="M118" s="913">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6" sqref="C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2999</v>
      </c>
    </row>
    <row r="2" spans="1:5" ht="15.75">
      <c r="A2" s="2902" t="s">
        <v>2991</v>
      </c>
      <c r="B2" s="2903" t="e">
        <f ca="1">SUMIF(B6:B13,"&lt;&gt;#ref!",B6:B13)</f>
        <v>#DIV/0!</v>
      </c>
      <c r="C2" s="2902" t="s">
        <v>2992</v>
      </c>
      <c r="D2" s="2902" t="s">
        <v>2993</v>
      </c>
      <c r="E2" s="2903">
        <f ca="1">SUMIF(E6:E13,"&lt;&gt;#ref!",E6:E13)</f>
        <v>150322.14999999997</v>
      </c>
    </row>
    <row r="3" spans="1:5" ht="15.75">
      <c r="A3" s="2902" t="s">
        <v>2994</v>
      </c>
      <c r="B3" s="2903" t="e">
        <f ca="1">ROUND(B2*10000/E2,0)</f>
        <v>#DIV/0!</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t="e">
        <f ca="1">SUMIF(INDIRECT("'"&amp;A6&amp;"'"&amp;"!A:A"),"总价",INDIRECT("'"&amp;A6&amp;"'"&amp;"!B:B"))</f>
        <v>#DIV/0!</v>
      </c>
      <c r="C6" s="2902" t="s">
        <v>2992</v>
      </c>
      <c r="D6" s="2904"/>
      <c r="E6" s="2575">
        <f ca="1">SUMIF(INDIRECT("'"&amp;A6&amp;"'"&amp;"!C:C"),"建筑面积",INDIRECT("'"&amp;A6&amp;"'"&amp;"!D:D"))</f>
        <v>150322.14999999997</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C6" sqref="C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3034</v>
      </c>
      <c r="B3" s="2919"/>
      <c r="C3" s="2919"/>
      <c r="D3" s="2920"/>
      <c r="E3" s="2920"/>
      <c r="F3" s="2919"/>
      <c r="G3" s="2921"/>
      <c r="H3" s="2922"/>
      <c r="I3" s="2923">
        <f>ROUND(AVERAGE($I4:$I28),2)</f>
        <v>1.96</v>
      </c>
      <c r="J3" s="2923">
        <f>ROUND(AVERAGE($J4:$J28),2)</f>
        <v>1.38</v>
      </c>
      <c r="K3" s="2923">
        <f>ROUND(AVERAGE($K4:$K28),2)</f>
        <v>2.14</v>
      </c>
      <c r="L3" s="2923">
        <f>ROUND(AVERAGE($L4:$L28),2)</f>
        <v>1.34</v>
      </c>
      <c r="N3" s="2921"/>
      <c r="O3" s="2924"/>
      <c r="P3" s="2924"/>
      <c r="Q3" s="2924"/>
      <c r="R3" s="2924"/>
      <c r="S3" s="2921"/>
      <c r="T3" s="2924"/>
      <c r="U3" s="2924"/>
      <c r="V3" s="2924"/>
      <c r="W3" s="2916"/>
      <c r="X3" s="2925">
        <f>ROUND(SUMPRODUCT(PRODUCT(1+N3:N$27)),4)</f>
        <v>1.5422</v>
      </c>
      <c r="Y3" s="2925">
        <f>ROUND(SUMPRODUCT(PRODUCT(1+O3:O$27)),4)</f>
        <v>1.3557999999999999</v>
      </c>
      <c r="Z3" s="2925">
        <f t="shared" ref="Z3:Z25" si="0">Y3</f>
        <v>1.3557999999999999</v>
      </c>
      <c r="AA3" s="2925">
        <f>ROUND(SUMPRODUCT(PRODUCT(1+P3:P$27)),4)</f>
        <v>1.6036999999999999</v>
      </c>
      <c r="AB3" s="2925">
        <f>ROUND(SUMPRODUCT(PRODUCT(1+Q3:Q$27)),4)</f>
        <v>1.3573</v>
      </c>
      <c r="AD3" s="2926">
        <f>ROUND(AVERAGE(I3:I$28)/100,4)</f>
        <v>1.9599999999999999E-2</v>
      </c>
      <c r="AE3" s="2926">
        <f>ROUND(AVERAGE(J3:J$28)/100,4)</f>
        <v>1.38E-2</v>
      </c>
      <c r="AF3" s="2926">
        <f t="shared" ref="AF3:AF26" si="1">AE3</f>
        <v>1.38E-2</v>
      </c>
      <c r="AG3" s="2926">
        <f>ROUND(AVERAGE(K3:K$28)/100,4)</f>
        <v>2.1399999999999999E-2</v>
      </c>
      <c r="AH3" s="2926">
        <f>ROUND(AVERAGE(L3:L$28)/100,4)</f>
        <v>1.34E-2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3053</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53">
        <v>2019</v>
      </c>
      <c r="H5" s="1729">
        <v>4</v>
      </c>
      <c r="I5" s="2914">
        <v>0</v>
      </c>
      <c r="J5" s="2914">
        <v>0</v>
      </c>
      <c r="K5" s="2914">
        <v>0</v>
      </c>
      <c r="L5" s="2914">
        <v>0</v>
      </c>
      <c r="N5" s="1467">
        <f t="shared" ref="N5:N10" si="7">I5/100</f>
        <v>0</v>
      </c>
      <c r="O5" s="1467">
        <f t="shared" ref="O5" si="8">J5/100</f>
        <v>0</v>
      </c>
      <c r="P5" s="1467">
        <f t="shared" ref="P5" si="9">K5/100</f>
        <v>0</v>
      </c>
      <c r="Q5" s="1467">
        <f t="shared" ref="Q5" si="10">L5/100</f>
        <v>0</v>
      </c>
      <c r="R5" s="1731"/>
      <c r="S5" s="1732"/>
      <c r="T5" s="1731"/>
      <c r="U5" s="1731"/>
      <c r="V5" s="1731"/>
      <c r="W5" s="2917" t="s">
        <v>3035</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3052</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3">
        <v>2019</v>
      </c>
      <c r="H6" s="1462">
        <v>3</v>
      </c>
      <c r="I6" s="2951">
        <v>0</v>
      </c>
      <c r="J6" s="2951">
        <v>0</v>
      </c>
      <c r="K6" s="2951">
        <v>0</v>
      </c>
      <c r="L6" s="2952">
        <v>0</v>
      </c>
      <c r="M6" s="1471"/>
      <c r="N6" s="1472">
        <f t="shared" si="7"/>
        <v>0</v>
      </c>
      <c r="O6" s="1473">
        <f t="shared" ref="O6" si="18">J6/100</f>
        <v>0</v>
      </c>
      <c r="P6" s="1473">
        <f t="shared" ref="P6" si="19">K6/100</f>
        <v>0</v>
      </c>
      <c r="Q6" s="1473">
        <f t="shared" ref="Q6" si="20">L6/100</f>
        <v>0</v>
      </c>
      <c r="R6" s="1474"/>
      <c r="S6" s="1472"/>
      <c r="T6" s="1473"/>
      <c r="U6" s="1473"/>
      <c r="V6" s="1473"/>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6" customFormat="1">
      <c r="A7" s="1461" t="s">
        <v>3050</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2951">
        <v>1.53</v>
      </c>
      <c r="J7" s="2951">
        <v>1.01</v>
      </c>
      <c r="K7" s="2951">
        <v>1.62</v>
      </c>
      <c r="L7" s="2952">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3047</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3051</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69">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3041</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69"/>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3040</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69"/>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3033</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76"/>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3030</v>
      </c>
      <c r="B13" s="1469">
        <v>439</v>
      </c>
      <c r="C13" s="1469">
        <v>327</v>
      </c>
      <c r="D13" s="1469">
        <f>C13</f>
        <v>327</v>
      </c>
      <c r="E13" s="1469">
        <v>627</v>
      </c>
      <c r="F13" s="1470">
        <v>283</v>
      </c>
      <c r="G13" s="3272">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3031</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69"/>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69"/>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76"/>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72">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69"/>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69"/>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0"/>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68">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69"/>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69"/>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0"/>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68">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69"/>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69"/>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0"/>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73">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4"/>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4"/>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75"/>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68">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69"/>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69"/>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0"/>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68">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69">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69">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0">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68">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69">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69">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0">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68">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69">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69">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0">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68">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69">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69">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0">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68">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69">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69">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0">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68">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69">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69">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0">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68">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69">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69">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0">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68">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69">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69">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0">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68">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69">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69">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0">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68">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69">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69">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0">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59"/>
      <c r="B4" s="2960" t="s">
        <v>1625</v>
      </c>
      <c r="C4" s="2960"/>
      <c r="D4" s="2960"/>
      <c r="E4" s="1959"/>
    </row>
    <row r="5" spans="1:5" ht="16.5" thickTop="1">
      <c r="A5" s="1957"/>
      <c r="B5" s="2958" t="s">
        <v>1617</v>
      </c>
      <c r="C5" s="1960" t="s">
        <v>1618</v>
      </c>
      <c r="D5" s="1040">
        <f ca="1">结果表!H101</f>
        <v>201006</v>
      </c>
      <c r="E5" s="1957"/>
    </row>
    <row r="6" spans="1:5" ht="15.75">
      <c r="A6" s="1957"/>
      <c r="B6" s="2958"/>
      <c r="C6" s="1960" t="s">
        <v>1619</v>
      </c>
      <c r="D6" s="1040" t="str">
        <f ca="1">NUMBERSTRING(INT(D5*10000),2)&amp;"元整"</f>
        <v>贰拾亿壹仟零陆万元整</v>
      </c>
      <c r="E6" s="1957"/>
    </row>
    <row r="7" spans="1:5" ht="15.75">
      <c r="A7" s="1957"/>
      <c r="B7" s="2963"/>
      <c r="C7" s="1961" t="s">
        <v>1620</v>
      </c>
      <c r="D7" s="1041">
        <f ca="1">结果表!H102</f>
        <v>6978</v>
      </c>
      <c r="E7" s="1957"/>
    </row>
    <row r="8" spans="1:5" ht="15.75">
      <c r="A8" s="1957"/>
      <c r="B8" s="2964" t="str">
        <f>结果表!E103</f>
        <v>2.估价师知悉的法定优先受偿款</v>
      </c>
      <c r="C8" s="1962" t="s">
        <v>1621</v>
      </c>
      <c r="D8" s="1041">
        <f>结果表!H103</f>
        <v>0</v>
      </c>
      <c r="E8" s="1957"/>
    </row>
    <row r="9" spans="1:5" ht="15.75">
      <c r="A9" s="1957"/>
      <c r="B9" s="2966"/>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57" t="str">
        <f>结果表!E107</f>
        <v>3.房地产抵押价值</v>
      </c>
      <c r="C13" s="1965" t="s">
        <v>1618</v>
      </c>
      <c r="D13" s="1043">
        <f ca="1">结果表!H107</f>
        <v>201006</v>
      </c>
      <c r="E13" s="1957"/>
    </row>
    <row r="14" spans="1:5" ht="15.75">
      <c r="A14" s="1957"/>
      <c r="B14" s="2958"/>
      <c r="C14" s="1960" t="s">
        <v>1619</v>
      </c>
      <c r="D14" s="1040" t="str">
        <f ca="1">NUMBERSTRING(INT(D13*10000),2)&amp;"元整"</f>
        <v>贰拾亿壹仟零陆万元整</v>
      </c>
      <c r="E14" s="1957"/>
    </row>
    <row r="15" spans="1:5" ht="15">
      <c r="A15" s="1957"/>
      <c r="B15" s="2963"/>
      <c r="C15" s="1961" t="s">
        <v>1629</v>
      </c>
      <c r="D15" s="1052">
        <f ca="1">结果表!H108</f>
        <v>6978</v>
      </c>
      <c r="E15" s="1957"/>
    </row>
    <row r="16" spans="1:5" ht="15">
      <c r="A16" s="1957"/>
      <c r="B16" s="2964" t="str">
        <f>结果表!E109</f>
        <v>——</v>
      </c>
      <c r="C16" s="1965" t="s">
        <v>1630</v>
      </c>
      <c r="D16" s="1966" t="str">
        <f>结果表!H109</f>
        <v>——</v>
      </c>
      <c r="E16" s="1957"/>
    </row>
    <row r="17" spans="1:5" ht="15.75">
      <c r="A17" s="1957"/>
      <c r="B17" s="2965"/>
      <c r="C17" s="1960" t="s">
        <v>1631</v>
      </c>
      <c r="D17" s="1040" t="e">
        <f>NUMBERSTRING(INT(D16*10000),2)&amp;"元整"</f>
        <v>#VALUE!</v>
      </c>
      <c r="E17" s="1957"/>
    </row>
    <row r="18" spans="1:5" ht="15">
      <c r="A18" s="1957"/>
      <c r="B18" s="2966"/>
      <c r="C18" s="1961" t="s">
        <v>1620</v>
      </c>
      <c r="D18" s="1052" t="str">
        <f>结果表!H110</f>
        <v>——</v>
      </c>
      <c r="E18" s="1957"/>
    </row>
    <row r="19" spans="1:5" ht="15.75">
      <c r="A19" s="1957"/>
      <c r="B19" s="2957" t="str">
        <f>结果表!E111</f>
        <v>——</v>
      </c>
      <c r="C19" s="1965" t="s">
        <v>1618</v>
      </c>
      <c r="D19" s="1041" t="str">
        <f>结果表!H111</f>
        <v>——</v>
      </c>
      <c r="E19" s="1957"/>
    </row>
    <row r="20" spans="1:5" ht="15.75">
      <c r="A20" s="1957"/>
      <c r="B20" s="2958"/>
      <c r="C20" s="1960" t="s">
        <v>1631</v>
      </c>
      <c r="D20" s="1040" t="e">
        <f>NUMBERSTRING(INT(D19*10000),2)&amp;"元整"</f>
        <v>#VALUE!</v>
      </c>
      <c r="E20" s="1957"/>
    </row>
    <row r="21" spans="1:5" ht="15.75" thickBot="1">
      <c r="A21" s="1957"/>
      <c r="B21" s="2959"/>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6" sqref="C6"/>
      <selection pane="bottomLeft" activeCell="C6" sqref="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8" t="s">
        <v>3002</v>
      </c>
      <c r="D1" s="3279"/>
      <c r="E1" s="3279"/>
      <c r="F1" s="3279"/>
      <c r="G1" s="3279"/>
      <c r="H1" s="3279"/>
      <c r="I1" s="3279"/>
      <c r="J1" s="3279"/>
      <c r="K1" s="3279"/>
      <c r="L1" s="3279"/>
      <c r="M1" s="3279"/>
      <c r="N1" s="3279"/>
      <c r="O1" s="3279"/>
      <c r="P1" s="3279"/>
      <c r="Q1" s="3279"/>
      <c r="R1" s="3279"/>
      <c r="S1" s="3280"/>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3013</v>
      </c>
      <c r="E19" s="1791"/>
      <c r="F19" s="1791"/>
      <c r="G19" s="1791"/>
      <c r="H19" s="1280"/>
      <c r="I19" s="168"/>
      <c r="J19" s="168"/>
      <c r="K19" s="168"/>
      <c r="L19" s="168"/>
      <c r="M19" s="168"/>
      <c r="N19" s="168"/>
      <c r="O19" s="168"/>
      <c r="P19" s="168"/>
      <c r="Q19" s="168"/>
      <c r="R19" s="788"/>
      <c r="S19" s="138"/>
    </row>
    <row r="20" spans="1:45" ht="16.5" thickBot="1">
      <c r="A20" s="715" t="s">
        <v>3014</v>
      </c>
      <c r="B20" s="338" t="e">
        <f ca="1">IF(D20="——",S22,S22-F20)</f>
        <v>#REF!</v>
      </c>
      <c r="C20" s="168"/>
      <c r="D20" s="2911" t="s">
        <v>3015</v>
      </c>
      <c r="E20" s="1792"/>
      <c r="F20" s="1204" t="e">
        <f ca="1">SUMIF(INDIRECT("'"&amp;H20&amp;"'"&amp;"!A:A"),"承租人权益价值",INDIRECT("'"&amp;H20&amp;"'"&amp;"!c:c"))</f>
        <v>#REF!</v>
      </c>
      <c r="G20" s="1204" t="s">
        <v>3016</v>
      </c>
      <c r="H20" s="291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22662</v>
      </c>
      <c r="C2" s="2" t="s">
        <v>133</v>
      </c>
      <c r="D2" s="243"/>
      <c r="E2" s="243"/>
      <c r="F2" s="243"/>
      <c r="G2" s="243"/>
    </row>
    <row r="3" spans="1:7" s="244" customFormat="1" ht="18" customHeight="1" thickBot="1">
      <c r="A3" s="247" t="s">
        <v>85</v>
      </c>
      <c r="B3" s="248">
        <f ca="1">ROUND(B2*10000/'数据-汇总表'!E3,0)</f>
        <v>787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2255</v>
      </c>
      <c r="D9" s="1032">
        <f>'数据-汇总表'!E5</f>
        <v>150322.14999999997</v>
      </c>
      <c r="E9" s="269">
        <f>'数据-取费表'!B27</f>
        <v>150</v>
      </c>
      <c r="F9" s="265"/>
      <c r="G9" s="270"/>
    </row>
    <row r="10" spans="1:7" s="258" customFormat="1" ht="13.5" customHeight="1">
      <c r="A10" s="950" t="s">
        <v>801</v>
      </c>
      <c r="B10" s="268" t="s">
        <v>94</v>
      </c>
      <c r="C10" s="269">
        <f>ROUND(D10*E10/10000,0)</f>
        <v>2617</v>
      </c>
      <c r="D10" s="1032">
        <f>'数据-汇总表'!E6</f>
        <v>137736.86000000004</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288059.01</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0</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0</v>
      </c>
      <c r="D25" s="282"/>
      <c r="E25" s="285"/>
      <c r="F25" s="283"/>
      <c r="G25" s="286" t="s">
        <v>110</v>
      </c>
    </row>
    <row r="26" spans="1:7" s="258" customFormat="1">
      <c r="A26" s="951" t="s">
        <v>795</v>
      </c>
      <c r="B26" s="259" t="s">
        <v>1057</v>
      </c>
      <c r="C26" s="282">
        <f ca="1">ROUND(IF('数据-取费表'!B22&lt;=1,F21*F22*'数据-取费表'!B23/2,F21*(POWER((1+F22),'数据-取费表'!B23/2)-1)),4)</f>
        <v>0</v>
      </c>
      <c r="D26" s="282"/>
      <c r="E26" s="285"/>
      <c r="F26" s="283"/>
      <c r="G26" s="287"/>
    </row>
    <row r="27" spans="1:7" s="258" customFormat="1" ht="24.75">
      <c r="A27" s="948" t="s">
        <v>787</v>
      </c>
      <c r="B27" s="288" t="s">
        <v>112</v>
      </c>
      <c r="C27" s="289">
        <f>C28</f>
        <v>0</v>
      </c>
      <c r="D27" s="279">
        <f>C29</f>
        <v>0</v>
      </c>
      <c r="E27" s="280" t="s">
        <v>126</v>
      </c>
      <c r="F27" s="290">
        <f>'数据-取费表'!Q16</f>
        <v>0.13</v>
      </c>
      <c r="G27" s="291" t="s">
        <v>1066</v>
      </c>
    </row>
    <row r="28" spans="1:7" s="258" customFormat="1" ht="13.5" customHeight="1">
      <c r="A28" s="951" t="s">
        <v>794</v>
      </c>
      <c r="B28" s="292" t="s">
        <v>1059</v>
      </c>
      <c r="C28" s="293">
        <f>ROUND((C5+C19+C20)*F27*'数据-取费表'!B21/'数据-取费表'!B20,0)</f>
        <v>0</v>
      </c>
      <c r="D28" s="279"/>
      <c r="E28" s="280"/>
      <c r="F28" s="290"/>
      <c r="G28" s="291"/>
    </row>
    <row r="29" spans="1:7" s="258" customFormat="1" ht="13.5" customHeight="1">
      <c r="A29" s="951" t="s">
        <v>792</v>
      </c>
      <c r="B29" s="292" t="s">
        <v>1060</v>
      </c>
      <c r="C29" s="282">
        <f>ROUND(C21*F27*'数据-取费表'!B21/'数据-取费表'!B20,4)</f>
        <v>0</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22662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1" t="s">
        <v>798</v>
      </c>
      <c r="B37" s="259" t="s">
        <v>118</v>
      </c>
      <c r="C37" s="293">
        <f>ROUND(E37*D37*F34/10000,0)</f>
        <v>0</v>
      </c>
      <c r="D37" s="261">
        <f>'数据-汇总表'!E3</f>
        <v>288059.01</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0</v>
      </c>
      <c r="D42" s="282"/>
      <c r="E42" s="282"/>
      <c r="F42" s="283"/>
      <c r="G42" s="3142" t="s">
        <v>121</v>
      </c>
    </row>
    <row r="43" spans="1:7" ht="13.5" customHeight="1">
      <c r="A43" s="951" t="s">
        <v>792</v>
      </c>
      <c r="B43" s="259" t="s">
        <v>1061</v>
      </c>
      <c r="C43" s="282">
        <f ca="1">ROUND(IF('数据-取费表'!B22&lt;=1,C39*F22*'数据-取费表'!B21/2,C39*(POWER((1+F22),'数据-取费表'!B21/2)-1)),0)</f>
        <v>0</v>
      </c>
      <c r="D43" s="282"/>
      <c r="E43" s="282"/>
      <c r="F43" s="283"/>
      <c r="G43" s="3143"/>
    </row>
    <row r="44" spans="1:7" ht="13.5" customHeight="1">
      <c r="A44" s="951" t="s">
        <v>793</v>
      </c>
      <c r="B44" s="259" t="s">
        <v>1063</v>
      </c>
      <c r="C44" s="282">
        <f ca="1">ROUND(IF('数据-取费表'!B22&lt;=1,C40*F22*'数据-取费表'!B21/2,C40*(POWER((1+F22),'数据-取费表'!B21/2)-1)),4)</f>
        <v>0</v>
      </c>
      <c r="D44" s="282"/>
      <c r="E44" s="282"/>
      <c r="F44" s="283"/>
      <c r="G44" s="3144"/>
    </row>
    <row r="45" spans="1:7" s="258" customFormat="1" ht="13.5" customHeight="1">
      <c r="A45" s="948" t="s">
        <v>786</v>
      </c>
      <c r="B45" s="288" t="s">
        <v>112</v>
      </c>
      <c r="C45" s="289">
        <f>C46</f>
        <v>0</v>
      </c>
      <c r="D45" s="279">
        <f>C47</f>
        <v>2.5999999999999999E-3</v>
      </c>
      <c r="E45" s="280" t="s">
        <v>129</v>
      </c>
      <c r="F45" s="290"/>
      <c r="G45" s="291" t="s">
        <v>1069</v>
      </c>
    </row>
    <row r="46" spans="1:7" s="258" customFormat="1" ht="13.5" customHeight="1">
      <c r="A46" s="951" t="s">
        <v>794</v>
      </c>
      <c r="B46" s="292" t="s">
        <v>1062</v>
      </c>
      <c r="C46" s="293">
        <f>ROUND((C33+C39)*F27,0)</f>
        <v>0</v>
      </c>
      <c r="D46" s="307"/>
      <c r="E46" s="280"/>
      <c r="F46" s="290"/>
      <c r="G46" s="291"/>
    </row>
    <row r="47" spans="1:7" s="258" customFormat="1" ht="13.5" customHeight="1">
      <c r="A47" s="951" t="s">
        <v>792</v>
      </c>
      <c r="B47" s="292" t="s">
        <v>1064</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22662</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43759</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N42" sqref="N42"/>
    </sheetView>
  </sheetViews>
  <sheetFormatPr defaultRowHeight="13.5"/>
  <cols>
    <col min="1" max="1" width="36" customWidth="1"/>
    <col min="9" max="9" width="22" customWidth="1"/>
  </cols>
  <sheetData>
    <row r="1" spans="1:14">
      <c r="A1" s="3286" t="s">
        <v>3078</v>
      </c>
      <c r="B1" s="3286" t="s">
        <v>3079</v>
      </c>
      <c r="C1" s="3286" t="s">
        <v>3080</v>
      </c>
      <c r="D1" s="3286" t="s">
        <v>3081</v>
      </c>
      <c r="E1" s="3286" t="s">
        <v>3082</v>
      </c>
      <c r="F1" s="3286" t="s">
        <v>3083</v>
      </c>
      <c r="G1" s="3286" t="s">
        <v>3084</v>
      </c>
      <c r="H1" s="3286" t="s">
        <v>3085</v>
      </c>
      <c r="I1" s="3286" t="s">
        <v>3086</v>
      </c>
      <c r="J1" s="3286" t="s">
        <v>3087</v>
      </c>
      <c r="K1" s="3286" t="s">
        <v>3088</v>
      </c>
      <c r="L1" s="3286" t="s">
        <v>3089</v>
      </c>
      <c r="M1" s="3286" t="s">
        <v>3090</v>
      </c>
      <c r="N1" s="3286" t="s">
        <v>3091</v>
      </c>
    </row>
    <row r="2" spans="1:14">
      <c r="A2" s="3286" t="s">
        <v>3092</v>
      </c>
      <c r="B2" s="3286" t="s">
        <v>3093</v>
      </c>
      <c r="C2" s="3286" t="s">
        <v>3094</v>
      </c>
      <c r="D2" s="3286" t="s">
        <v>3095</v>
      </c>
      <c r="E2" s="3286">
        <v>130729</v>
      </c>
      <c r="F2" s="3286">
        <v>152953</v>
      </c>
      <c r="G2" s="3286">
        <v>1.17</v>
      </c>
      <c r="H2" s="3286" t="s">
        <v>3096</v>
      </c>
      <c r="I2" s="3286" t="s">
        <v>3097</v>
      </c>
      <c r="J2" s="3286">
        <v>168000</v>
      </c>
      <c r="K2" s="3286">
        <v>189000</v>
      </c>
      <c r="L2" s="3286">
        <v>12356.73</v>
      </c>
      <c r="M2" s="3286">
        <v>12.5</v>
      </c>
      <c r="N2" s="3286" t="s">
        <v>3098</v>
      </c>
    </row>
    <row r="3" spans="1:14">
      <c r="A3" s="3286" t="s">
        <v>3099</v>
      </c>
      <c r="B3" s="3286" t="s">
        <v>3093</v>
      </c>
      <c r="C3" s="3286" t="s">
        <v>3100</v>
      </c>
      <c r="D3" s="3286" t="s">
        <v>3095</v>
      </c>
      <c r="E3" s="3286">
        <v>33062.86</v>
      </c>
      <c r="F3" s="3286">
        <v>61047</v>
      </c>
      <c r="G3" s="3286">
        <v>1.85</v>
      </c>
      <c r="H3" s="3286" t="s">
        <v>3101</v>
      </c>
      <c r="I3" s="3286" t="s">
        <v>3102</v>
      </c>
      <c r="J3" s="3286">
        <v>32510</v>
      </c>
      <c r="K3" s="3286">
        <v>40800</v>
      </c>
      <c r="L3" s="3286">
        <v>6683.38</v>
      </c>
      <c r="M3" s="3286">
        <v>25.5</v>
      </c>
      <c r="N3" s="3286" t="s">
        <v>3103</v>
      </c>
    </row>
    <row r="4" spans="1:14">
      <c r="A4" s="3286" t="s">
        <v>3104</v>
      </c>
      <c r="B4" s="3286" t="s">
        <v>3093</v>
      </c>
      <c r="C4" s="3286" t="s">
        <v>3094</v>
      </c>
      <c r="D4" s="3286" t="s">
        <v>3095</v>
      </c>
      <c r="E4" s="3286">
        <v>5690.63</v>
      </c>
      <c r="F4" s="3286">
        <v>13658</v>
      </c>
      <c r="G4" s="3286">
        <v>2.4</v>
      </c>
      <c r="H4" s="3286" t="s">
        <v>3105</v>
      </c>
      <c r="I4" s="3286" t="s">
        <v>3106</v>
      </c>
      <c r="J4" s="3286">
        <v>6970</v>
      </c>
      <c r="K4" s="3286">
        <v>8200</v>
      </c>
      <c r="L4" s="3286">
        <v>6003.81</v>
      </c>
      <c r="M4" s="3286">
        <v>17.649999999999999</v>
      </c>
      <c r="N4" s="3286" t="s">
        <v>3103</v>
      </c>
    </row>
    <row r="5" spans="1:14" s="3288" customFormat="1">
      <c r="A5" s="3287" t="s">
        <v>3107</v>
      </c>
      <c r="B5" s="3287" t="s">
        <v>3093</v>
      </c>
      <c r="C5" s="3287" t="s">
        <v>3094</v>
      </c>
      <c r="D5" s="3287" t="s">
        <v>3095</v>
      </c>
      <c r="E5" s="3287">
        <v>63574.45</v>
      </c>
      <c r="F5" s="3287">
        <v>127149</v>
      </c>
      <c r="G5" s="3287">
        <v>2</v>
      </c>
      <c r="H5" s="3287" t="s">
        <v>3108</v>
      </c>
      <c r="I5" s="3287" t="s">
        <v>3109</v>
      </c>
      <c r="J5" s="3287">
        <v>129500</v>
      </c>
      <c r="K5" s="3287">
        <v>194250</v>
      </c>
      <c r="L5" s="3287">
        <v>15277.35</v>
      </c>
      <c r="M5" s="3287">
        <v>50</v>
      </c>
      <c r="N5" s="3287" t="s">
        <v>3103</v>
      </c>
    </row>
    <row r="6" spans="1:14">
      <c r="A6" s="3286" t="s">
        <v>3110</v>
      </c>
      <c r="B6" s="3286" t="s">
        <v>3093</v>
      </c>
      <c r="C6" s="3286" t="s">
        <v>3100</v>
      </c>
      <c r="D6" s="3286" t="s">
        <v>3095</v>
      </c>
      <c r="E6" s="3286">
        <v>13867.74</v>
      </c>
      <c r="F6" s="3286">
        <v>38830</v>
      </c>
      <c r="G6" s="3286">
        <v>2.8</v>
      </c>
      <c r="H6" s="3286" t="s">
        <v>3111</v>
      </c>
      <c r="I6" s="3286" t="s">
        <v>3112</v>
      </c>
      <c r="J6" s="3286">
        <v>21500</v>
      </c>
      <c r="K6" s="3286">
        <v>22000</v>
      </c>
      <c r="L6" s="3286">
        <v>5665.72</v>
      </c>
      <c r="M6" s="3286">
        <v>2.33</v>
      </c>
      <c r="N6" s="3286" t="s">
        <v>3103</v>
      </c>
    </row>
    <row r="7" spans="1:14" s="3288" customFormat="1">
      <c r="A7" s="3287" t="s">
        <v>3113</v>
      </c>
      <c r="B7" s="3287" t="s">
        <v>3093</v>
      </c>
      <c r="C7" s="3287" t="s">
        <v>3100</v>
      </c>
      <c r="D7" s="3287" t="s">
        <v>3095</v>
      </c>
      <c r="E7" s="3287">
        <v>60999.15</v>
      </c>
      <c r="F7" s="3287">
        <v>145149</v>
      </c>
      <c r="G7" s="3287">
        <v>2.38</v>
      </c>
      <c r="H7" s="3287" t="s">
        <v>3114</v>
      </c>
      <c r="I7" s="3287" t="s">
        <v>3115</v>
      </c>
      <c r="J7" s="3287">
        <v>130000</v>
      </c>
      <c r="K7" s="3287">
        <v>176000</v>
      </c>
      <c r="L7" s="3287">
        <v>12125.46</v>
      </c>
      <c r="M7" s="3287">
        <v>35.380000000000003</v>
      </c>
      <c r="N7" s="3287" t="s">
        <v>3103</v>
      </c>
    </row>
    <row r="8" spans="1:14">
      <c r="A8" s="3286" t="s">
        <v>3116</v>
      </c>
      <c r="B8" s="3286" t="s">
        <v>3093</v>
      </c>
      <c r="C8" s="3286" t="s">
        <v>3094</v>
      </c>
      <c r="D8" s="3286" t="s">
        <v>3117</v>
      </c>
      <c r="E8" s="3286">
        <v>101000</v>
      </c>
      <c r="F8" s="3286">
        <v>241400</v>
      </c>
      <c r="G8" s="3286">
        <v>2.4</v>
      </c>
      <c r="H8" s="3286" t="s">
        <v>3118</v>
      </c>
      <c r="I8" s="3286" t="s">
        <v>3119</v>
      </c>
      <c r="J8" s="3286" t="s">
        <v>1327</v>
      </c>
      <c r="K8" s="3286" t="s">
        <v>1327</v>
      </c>
      <c r="L8" s="3286" t="s">
        <v>1327</v>
      </c>
      <c r="M8" s="3286" t="s">
        <v>1327</v>
      </c>
      <c r="N8" s="3286" t="s">
        <v>3103</v>
      </c>
    </row>
    <row r="9" spans="1:14">
      <c r="A9" s="3286" t="s">
        <v>3120</v>
      </c>
      <c r="B9" s="3286" t="s">
        <v>3093</v>
      </c>
      <c r="C9" s="3286" t="s">
        <v>3100</v>
      </c>
      <c r="D9" s="3286" t="s">
        <v>3095</v>
      </c>
      <c r="E9" s="3286">
        <v>56254.27</v>
      </c>
      <c r="F9" s="3286">
        <v>123533</v>
      </c>
      <c r="G9" s="3286">
        <v>2.2000000000000002</v>
      </c>
      <c r="H9" s="3286" t="s">
        <v>3121</v>
      </c>
      <c r="I9" s="3286" t="s">
        <v>3122</v>
      </c>
      <c r="J9" s="3286">
        <v>53100</v>
      </c>
      <c r="K9" s="3286">
        <v>79600</v>
      </c>
      <c r="L9" s="3286">
        <v>6443.61</v>
      </c>
      <c r="M9" s="3286">
        <v>49.91</v>
      </c>
      <c r="N9" s="3286" t="s">
        <v>3103</v>
      </c>
    </row>
    <row r="10" spans="1:14">
      <c r="A10" s="3286" t="s">
        <v>3123</v>
      </c>
      <c r="B10" s="3286" t="s">
        <v>3093</v>
      </c>
      <c r="C10" s="3286" t="s">
        <v>3100</v>
      </c>
      <c r="D10" s="3286" t="s">
        <v>3095</v>
      </c>
      <c r="E10" s="3286">
        <v>96640.25</v>
      </c>
      <c r="F10" s="3286">
        <v>142550</v>
      </c>
      <c r="G10" s="3286">
        <v>1.47</v>
      </c>
      <c r="H10" s="3286" t="s">
        <v>3124</v>
      </c>
      <c r="I10" s="3286" t="s">
        <v>3125</v>
      </c>
      <c r="J10" s="3286">
        <v>53700</v>
      </c>
      <c r="K10" s="3286">
        <v>72500</v>
      </c>
      <c r="L10" s="3286">
        <v>5085.93</v>
      </c>
      <c r="M10" s="3286">
        <v>35.01</v>
      </c>
      <c r="N10" s="3286" t="s">
        <v>3103</v>
      </c>
    </row>
    <row r="11" spans="1:14">
      <c r="A11" s="3286" t="s">
        <v>3126</v>
      </c>
      <c r="B11" s="3286" t="s">
        <v>3093</v>
      </c>
      <c r="C11" s="3286" t="s">
        <v>3100</v>
      </c>
      <c r="D11" s="3286" t="s">
        <v>3117</v>
      </c>
      <c r="E11" s="3286">
        <v>183499</v>
      </c>
      <c r="F11" s="3286">
        <v>442170</v>
      </c>
      <c r="G11" s="3286">
        <v>2.41</v>
      </c>
      <c r="H11" s="3286" t="s">
        <v>3127</v>
      </c>
      <c r="I11" s="3286" t="s">
        <v>3128</v>
      </c>
      <c r="J11" s="3286" t="s">
        <v>1327</v>
      </c>
      <c r="K11" s="3286">
        <v>180000</v>
      </c>
      <c r="L11" s="3286">
        <v>4070.82</v>
      </c>
      <c r="M11" s="3286" t="s">
        <v>1327</v>
      </c>
      <c r="N11" s="3286" t="s">
        <v>3103</v>
      </c>
    </row>
    <row r="12" spans="1:14">
      <c r="A12" s="3286" t="s">
        <v>3129</v>
      </c>
      <c r="B12" s="3286" t="s">
        <v>3093</v>
      </c>
      <c r="C12" s="3286" t="s">
        <v>3094</v>
      </c>
      <c r="D12" s="3286" t="s">
        <v>3095</v>
      </c>
      <c r="E12" s="3286">
        <v>50431</v>
      </c>
      <c r="F12" s="3286">
        <v>91996</v>
      </c>
      <c r="G12" s="3286">
        <v>1.82</v>
      </c>
      <c r="H12" s="3286" t="s">
        <v>3130</v>
      </c>
      <c r="I12" s="3286" t="s">
        <v>3131</v>
      </c>
      <c r="J12" s="3286">
        <v>22000</v>
      </c>
      <c r="K12" s="3286">
        <v>32600</v>
      </c>
      <c r="L12" s="3286">
        <v>3543.63</v>
      </c>
      <c r="M12" s="3286">
        <v>48.18</v>
      </c>
      <c r="N12" s="3286" t="s">
        <v>3103</v>
      </c>
    </row>
    <row r="13" spans="1:14">
      <c r="A13" s="3286" t="s">
        <v>3132</v>
      </c>
      <c r="B13" s="3286" t="s">
        <v>3093</v>
      </c>
      <c r="C13" s="3286" t="s">
        <v>3100</v>
      </c>
      <c r="D13" s="3286" t="s">
        <v>3117</v>
      </c>
      <c r="E13" s="3286">
        <v>143201</v>
      </c>
      <c r="F13" s="3286">
        <v>147127</v>
      </c>
      <c r="G13" s="3286">
        <v>0.92</v>
      </c>
      <c r="H13" s="3286" t="s">
        <v>3133</v>
      </c>
      <c r="I13" s="3286" t="s">
        <v>3134</v>
      </c>
      <c r="J13" s="3286" t="s">
        <v>1327</v>
      </c>
      <c r="K13" s="3286">
        <v>46200</v>
      </c>
      <c r="L13" s="3286">
        <v>3140.13</v>
      </c>
      <c r="M13" s="3286" t="s">
        <v>1327</v>
      </c>
      <c r="N13" s="3286" t="s">
        <v>3098</v>
      </c>
    </row>
    <row r="14" spans="1:14">
      <c r="A14" s="3286" t="s">
        <v>3135</v>
      </c>
      <c r="B14" s="3286" t="s">
        <v>3093</v>
      </c>
      <c r="C14" s="3286" t="s">
        <v>3100</v>
      </c>
      <c r="D14" s="3286" t="s">
        <v>3117</v>
      </c>
      <c r="E14" s="3286">
        <v>257285</v>
      </c>
      <c r="F14" s="3286">
        <v>237754</v>
      </c>
      <c r="G14" s="3286">
        <v>0.92</v>
      </c>
      <c r="H14" s="3286" t="s">
        <v>3136</v>
      </c>
      <c r="I14" s="3286" t="s">
        <v>3134</v>
      </c>
      <c r="J14" s="3286" t="s">
        <v>1327</v>
      </c>
      <c r="K14" s="3286">
        <v>92500</v>
      </c>
      <c r="L14" s="3286">
        <v>3890.57</v>
      </c>
      <c r="M14" s="3286" t="s">
        <v>1327</v>
      </c>
      <c r="N14" s="3286" t="s">
        <v>3098</v>
      </c>
    </row>
    <row r="15" spans="1:14">
      <c r="A15" s="3286" t="s">
        <v>3137</v>
      </c>
      <c r="B15" s="3286" t="s">
        <v>3093</v>
      </c>
      <c r="C15" s="3286" t="s">
        <v>3100</v>
      </c>
      <c r="D15" s="3286" t="s">
        <v>3117</v>
      </c>
      <c r="E15" s="3286">
        <v>116330</v>
      </c>
      <c r="F15" s="3286">
        <v>286768</v>
      </c>
      <c r="G15" s="3286">
        <v>2.4700000000000002</v>
      </c>
      <c r="H15" s="3286" t="s">
        <v>3138</v>
      </c>
      <c r="I15" s="3286" t="s">
        <v>3139</v>
      </c>
      <c r="J15" s="3286" t="s">
        <v>1327</v>
      </c>
      <c r="K15" s="3286">
        <v>50700</v>
      </c>
      <c r="L15" s="3286">
        <v>1767.98</v>
      </c>
      <c r="M15" s="3286" t="s">
        <v>1327</v>
      </c>
      <c r="N15" s="3286" t="s">
        <v>3103</v>
      </c>
    </row>
    <row r="16" spans="1:14">
      <c r="A16" s="3286" t="s">
        <v>3140</v>
      </c>
      <c r="B16" s="3286" t="s">
        <v>3093</v>
      </c>
      <c r="C16" s="3286" t="s">
        <v>3094</v>
      </c>
      <c r="D16" s="3286" t="s">
        <v>3095</v>
      </c>
      <c r="E16" s="3286">
        <v>121262</v>
      </c>
      <c r="F16" s="3286">
        <v>242524</v>
      </c>
      <c r="G16" s="3286">
        <v>2</v>
      </c>
      <c r="H16" s="3286" t="s">
        <v>3141</v>
      </c>
      <c r="I16" s="3286" t="s">
        <v>3142</v>
      </c>
      <c r="J16" s="3286">
        <v>63000</v>
      </c>
      <c r="K16" s="3286">
        <v>63600</v>
      </c>
      <c r="L16" s="3286">
        <v>2622.42</v>
      </c>
      <c r="M16" s="3286">
        <v>0.95</v>
      </c>
      <c r="N16" s="3286" t="s">
        <v>3103</v>
      </c>
    </row>
    <row r="17" spans="1:14" s="1634" customFormat="1" ht="14.25">
      <c r="A17" s="3286" t="s">
        <v>3143</v>
      </c>
      <c r="B17" s="3286" t="s">
        <v>3093</v>
      </c>
      <c r="C17" s="3286" t="s">
        <v>3094</v>
      </c>
      <c r="D17" s="3286" t="s">
        <v>3117</v>
      </c>
      <c r="E17" s="3286">
        <v>37817.29</v>
      </c>
      <c r="F17" s="3286">
        <v>83198</v>
      </c>
      <c r="G17" s="3286" t="s">
        <v>3144</v>
      </c>
      <c r="H17" s="3286" t="s">
        <v>3145</v>
      </c>
      <c r="I17" s="3286" t="s">
        <v>3146</v>
      </c>
      <c r="J17" s="3286" t="s">
        <v>1327</v>
      </c>
      <c r="K17" s="3286">
        <v>85861.17</v>
      </c>
      <c r="L17" s="3286">
        <v>10320.1</v>
      </c>
      <c r="M17" s="3286" t="s">
        <v>1327</v>
      </c>
      <c r="N17" s="3286" t="s">
        <v>3147</v>
      </c>
    </row>
    <row r="18" spans="1:14" s="1634" customFormat="1" ht="14.25">
      <c r="A18" s="3286" t="s">
        <v>3148</v>
      </c>
      <c r="B18" s="3286" t="s">
        <v>3093</v>
      </c>
      <c r="C18" s="3286" t="s">
        <v>3100</v>
      </c>
      <c r="D18" s="3286" t="s">
        <v>3095</v>
      </c>
      <c r="E18" s="3286">
        <v>81565.039999999994</v>
      </c>
      <c r="F18" s="3286">
        <v>166468</v>
      </c>
      <c r="G18" s="3286" t="s">
        <v>3149</v>
      </c>
      <c r="H18" s="3286" t="s">
        <v>3150</v>
      </c>
      <c r="I18" s="3286" t="s">
        <v>3151</v>
      </c>
      <c r="J18" s="3286">
        <v>363600</v>
      </c>
      <c r="K18" s="3286">
        <v>363600</v>
      </c>
      <c r="L18" s="3286">
        <v>21842.04</v>
      </c>
      <c r="M18" s="3286">
        <v>0</v>
      </c>
      <c r="N18" s="3286" t="s">
        <v>3152</v>
      </c>
    </row>
    <row r="19" spans="1:14" s="1634" customFormat="1" ht="14.25">
      <c r="A19" s="3286" t="s">
        <v>3153</v>
      </c>
      <c r="B19" s="3286" t="s">
        <v>3093</v>
      </c>
      <c r="C19" s="3286" t="s">
        <v>3100</v>
      </c>
      <c r="D19" s="3286" t="s">
        <v>3095</v>
      </c>
      <c r="E19" s="3286">
        <v>36338.199999999997</v>
      </c>
      <c r="F19" s="3286">
        <v>67633</v>
      </c>
      <c r="G19" s="3286">
        <v>1.86</v>
      </c>
      <c r="H19" s="3286" t="s">
        <v>3154</v>
      </c>
      <c r="I19" s="3286" t="s">
        <v>3155</v>
      </c>
      <c r="J19" s="3286">
        <v>79200</v>
      </c>
      <c r="K19" s="3286">
        <v>79200</v>
      </c>
      <c r="L19" s="3286">
        <v>11710.26</v>
      </c>
      <c r="M19" s="3286">
        <v>0</v>
      </c>
      <c r="N19" s="3286" t="s">
        <v>3147</v>
      </c>
    </row>
    <row r="20" spans="1:14" s="1634" customFormat="1" ht="14.25">
      <c r="A20" s="3286" t="s">
        <v>3156</v>
      </c>
      <c r="B20" s="3286" t="s">
        <v>3093</v>
      </c>
      <c r="C20" s="3286" t="s">
        <v>3100</v>
      </c>
      <c r="D20" s="3286" t="s">
        <v>3095</v>
      </c>
      <c r="E20" s="3286">
        <v>115895.2</v>
      </c>
      <c r="F20" s="3286">
        <v>176111</v>
      </c>
      <c r="G20" s="3286">
        <v>1.52</v>
      </c>
      <c r="H20" s="3286" t="s">
        <v>3157</v>
      </c>
      <c r="I20" s="3286" t="s">
        <v>3158</v>
      </c>
      <c r="J20" s="3286">
        <v>255500</v>
      </c>
      <c r="K20" s="3286">
        <v>255500</v>
      </c>
      <c r="L20" s="3286">
        <v>14507.89</v>
      </c>
      <c r="M20" s="3286">
        <v>0</v>
      </c>
      <c r="N20" s="3286" t="s">
        <v>3103</v>
      </c>
    </row>
    <row r="21" spans="1:14" s="1634" customFormat="1" ht="14.25">
      <c r="A21" s="3286" t="s">
        <v>3159</v>
      </c>
      <c r="B21" s="3286" t="s">
        <v>3093</v>
      </c>
      <c r="C21" s="3286" t="s">
        <v>3094</v>
      </c>
      <c r="D21" s="3286" t="s">
        <v>3117</v>
      </c>
      <c r="E21" s="3286">
        <v>43539.77</v>
      </c>
      <c r="F21" s="3286">
        <v>108849</v>
      </c>
      <c r="G21" s="3286">
        <v>2.5</v>
      </c>
      <c r="H21" s="3286" t="s">
        <v>3160</v>
      </c>
      <c r="I21" s="3286" t="s">
        <v>3161</v>
      </c>
      <c r="J21" s="3286" t="s">
        <v>1327</v>
      </c>
      <c r="K21" s="3286">
        <v>99450</v>
      </c>
      <c r="L21" s="3286">
        <v>9136.51</v>
      </c>
      <c r="M21" s="3286" t="s">
        <v>1327</v>
      </c>
      <c r="N21" s="3286" t="s">
        <v>3103</v>
      </c>
    </row>
    <row r="22" spans="1:14" s="3289" customFormat="1" ht="14.25">
      <c r="A22" s="3287" t="s">
        <v>3162</v>
      </c>
      <c r="B22" s="3287" t="s">
        <v>3093</v>
      </c>
      <c r="C22" s="3287" t="s">
        <v>3100</v>
      </c>
      <c r="D22" s="3287" t="s">
        <v>3095</v>
      </c>
      <c r="E22" s="3287">
        <v>70400.429999999993</v>
      </c>
      <c r="F22" s="3287">
        <v>211202</v>
      </c>
      <c r="G22" s="3287">
        <v>3</v>
      </c>
      <c r="H22" s="3287" t="s">
        <v>3163</v>
      </c>
      <c r="I22" s="3287" t="s">
        <v>3164</v>
      </c>
      <c r="J22" s="3287">
        <v>260000</v>
      </c>
      <c r="K22" s="3287">
        <v>262600</v>
      </c>
      <c r="L22" s="3287">
        <v>12433.59</v>
      </c>
      <c r="M22" s="3287">
        <v>1</v>
      </c>
      <c r="N22" s="3287" t="s">
        <v>3152</v>
      </c>
    </row>
    <row r="23" spans="1:14" s="1634" customFormat="1" ht="14.25">
      <c r="A23" s="3286" t="s">
        <v>3165</v>
      </c>
      <c r="B23" s="3286" t="s">
        <v>3093</v>
      </c>
      <c r="C23" s="3286" t="s">
        <v>3100</v>
      </c>
      <c r="D23" s="3286" t="s">
        <v>3095</v>
      </c>
      <c r="E23" s="3286">
        <v>20342.53</v>
      </c>
      <c r="F23" s="3286">
        <v>61028</v>
      </c>
      <c r="G23" s="3286">
        <v>3</v>
      </c>
      <c r="H23" s="3286" t="s">
        <v>3163</v>
      </c>
      <c r="I23" s="3286" t="s">
        <v>3166</v>
      </c>
      <c r="J23" s="3286">
        <v>60000</v>
      </c>
      <c r="K23" s="3286">
        <v>62000</v>
      </c>
      <c r="L23" s="3286">
        <v>10159.27</v>
      </c>
      <c r="M23" s="3286">
        <v>3.33</v>
      </c>
      <c r="N23" s="3286" t="s">
        <v>3152</v>
      </c>
    </row>
    <row r="24" spans="1:14" s="1634" customFormat="1" ht="14.25">
      <c r="A24" s="3286" t="s">
        <v>3167</v>
      </c>
      <c r="B24" s="3286" t="s">
        <v>3093</v>
      </c>
      <c r="C24" s="3286" t="s">
        <v>3100</v>
      </c>
      <c r="D24" s="3286" t="s">
        <v>3117</v>
      </c>
      <c r="E24" s="3286">
        <v>59539.89</v>
      </c>
      <c r="F24" s="3286">
        <v>143970</v>
      </c>
      <c r="G24" s="3286">
        <v>2.418042883</v>
      </c>
      <c r="H24" s="3286" t="s">
        <v>3168</v>
      </c>
      <c r="I24" s="3286" t="s">
        <v>3169</v>
      </c>
      <c r="J24" s="3286" t="s">
        <v>1327</v>
      </c>
      <c r="K24" s="3286" t="s">
        <v>1327</v>
      </c>
      <c r="L24" s="3286" t="s">
        <v>1327</v>
      </c>
      <c r="M24" s="3286" t="s">
        <v>1327</v>
      </c>
      <c r="N24" s="3286" t="s">
        <v>3103</v>
      </c>
    </row>
    <row r="25" spans="1:14" s="1634" customFormat="1" ht="14.25">
      <c r="A25" s="3286" t="s">
        <v>3170</v>
      </c>
      <c r="B25" s="3286" t="s">
        <v>3093</v>
      </c>
      <c r="C25" s="3286" t="s">
        <v>3094</v>
      </c>
      <c r="D25" s="3286" t="s">
        <v>3095</v>
      </c>
      <c r="E25" s="3286">
        <v>41062.42</v>
      </c>
      <c r="F25" s="3286">
        <v>102664</v>
      </c>
      <c r="G25" s="3286">
        <v>2.5</v>
      </c>
      <c r="H25" s="3286" t="s">
        <v>3171</v>
      </c>
      <c r="I25" s="3286" t="s">
        <v>3172</v>
      </c>
      <c r="J25" s="3286">
        <v>46000</v>
      </c>
      <c r="K25" s="3286">
        <v>68800</v>
      </c>
      <c r="L25" s="3286">
        <v>6701.47</v>
      </c>
      <c r="M25" s="3286">
        <v>49.57</v>
      </c>
      <c r="N25" s="3286" t="s">
        <v>3152</v>
      </c>
    </row>
    <row r="26" spans="1:14" s="1634" customFormat="1" ht="14.25">
      <c r="A26" s="3286" t="s">
        <v>3173</v>
      </c>
      <c r="B26" s="3286" t="s">
        <v>3093</v>
      </c>
      <c r="C26" s="3286" t="s">
        <v>3100</v>
      </c>
      <c r="D26" s="3286" t="s">
        <v>3095</v>
      </c>
      <c r="E26" s="3286">
        <v>339897.8</v>
      </c>
      <c r="F26" s="3286">
        <v>231900</v>
      </c>
      <c r="G26" s="3286">
        <v>0.68</v>
      </c>
      <c r="H26" s="3286" t="s">
        <v>3171</v>
      </c>
      <c r="I26" s="3286" t="s">
        <v>3174</v>
      </c>
      <c r="J26" s="3286">
        <v>164500</v>
      </c>
      <c r="K26" s="3286">
        <v>164500</v>
      </c>
      <c r="L26" s="3286">
        <v>7093.56</v>
      </c>
      <c r="M26" s="3286">
        <v>0</v>
      </c>
      <c r="N26" s="3286" t="s">
        <v>3098</v>
      </c>
    </row>
    <row r="27" spans="1:14" s="1634" customFormat="1" ht="14.25">
      <c r="A27" s="3286" t="s">
        <v>3175</v>
      </c>
      <c r="B27" s="3286" t="s">
        <v>3093</v>
      </c>
      <c r="C27" s="3286" t="s">
        <v>3094</v>
      </c>
      <c r="D27" s="3286" t="s">
        <v>3095</v>
      </c>
      <c r="E27" s="3286">
        <v>70312</v>
      </c>
      <c r="F27" s="3286">
        <v>130293</v>
      </c>
      <c r="G27" s="3286">
        <v>1.85</v>
      </c>
      <c r="H27" s="3286" t="s">
        <v>3176</v>
      </c>
      <c r="I27" s="3286" t="s">
        <v>3177</v>
      </c>
      <c r="J27" s="3286">
        <v>60895</v>
      </c>
      <c r="K27" s="3286">
        <v>60895</v>
      </c>
      <c r="L27" s="3286">
        <v>4673.6899999999996</v>
      </c>
      <c r="M27" s="3286">
        <v>0</v>
      </c>
      <c r="N27" s="3286" t="s">
        <v>3152</v>
      </c>
    </row>
    <row r="28" spans="1:14" s="1634" customFormat="1" ht="14.25">
      <c r="A28" s="3286" t="s">
        <v>3178</v>
      </c>
      <c r="B28" s="3286" t="s">
        <v>3093</v>
      </c>
      <c r="C28" s="3286" t="s">
        <v>3100</v>
      </c>
      <c r="D28" s="3286" t="s">
        <v>3095</v>
      </c>
      <c r="E28" s="3286">
        <v>155163</v>
      </c>
      <c r="F28" s="3286">
        <v>303132</v>
      </c>
      <c r="G28" s="3286">
        <v>1.95</v>
      </c>
      <c r="H28" s="3286" t="s">
        <v>3179</v>
      </c>
      <c r="I28" s="3286" t="s">
        <v>3180</v>
      </c>
      <c r="J28" s="3286">
        <v>49300</v>
      </c>
      <c r="K28" s="3286">
        <v>65300</v>
      </c>
      <c r="L28" s="3286">
        <v>2154.17</v>
      </c>
      <c r="M28" s="3286">
        <v>32.450000000000003</v>
      </c>
      <c r="N28" s="3286" t="s">
        <v>3147</v>
      </c>
    </row>
    <row r="29" spans="1:14" s="1634" customFormat="1" ht="14.25">
      <c r="A29" s="3286" t="s">
        <v>3181</v>
      </c>
      <c r="B29" s="3286" t="s">
        <v>3093</v>
      </c>
      <c r="C29" s="3286" t="s">
        <v>3094</v>
      </c>
      <c r="D29" s="3286" t="s">
        <v>3095</v>
      </c>
      <c r="E29" s="3286">
        <v>18727</v>
      </c>
      <c r="F29" s="3286">
        <v>37454</v>
      </c>
      <c r="G29" s="3286">
        <v>2</v>
      </c>
      <c r="H29" s="3286" t="s">
        <v>3182</v>
      </c>
      <c r="I29" s="3286" t="s">
        <v>3183</v>
      </c>
      <c r="J29" s="3286">
        <v>6510</v>
      </c>
      <c r="K29" s="3286">
        <v>6560</v>
      </c>
      <c r="L29" s="3286">
        <v>1751.48</v>
      </c>
      <c r="M29" s="3286">
        <v>0.77</v>
      </c>
      <c r="N29" s="3286" t="s">
        <v>3147</v>
      </c>
    </row>
    <row r="30" spans="1:14" s="1634" customFormat="1" ht="14.25">
      <c r="A30" s="3286" t="s">
        <v>3184</v>
      </c>
      <c r="B30" s="3286" t="s">
        <v>3093</v>
      </c>
      <c r="C30" s="3286" t="s">
        <v>3100</v>
      </c>
      <c r="D30" s="3286" t="s">
        <v>3117</v>
      </c>
      <c r="E30" s="3286">
        <v>47613</v>
      </c>
      <c r="F30" s="3286">
        <v>55819</v>
      </c>
      <c r="G30" s="3286">
        <v>1.17</v>
      </c>
      <c r="H30" s="3286" t="s">
        <v>3185</v>
      </c>
      <c r="I30" s="3286" t="s">
        <v>3186</v>
      </c>
      <c r="J30" s="3286">
        <v>16750</v>
      </c>
      <c r="K30" s="3286">
        <v>17310</v>
      </c>
      <c r="L30" s="3286">
        <v>3101.09</v>
      </c>
      <c r="M30" s="3286">
        <v>3.34</v>
      </c>
      <c r="N30" s="3286" t="s">
        <v>3147</v>
      </c>
    </row>
    <row r="31" spans="1:14" s="1634" customFormat="1" ht="14.25">
      <c r="A31" s="3286" t="s">
        <v>3187</v>
      </c>
      <c r="B31" s="3286" t="s">
        <v>3093</v>
      </c>
      <c r="C31" s="3286" t="s">
        <v>3100</v>
      </c>
      <c r="D31" s="3286" t="s">
        <v>3095</v>
      </c>
      <c r="E31" s="3286">
        <v>77813.19</v>
      </c>
      <c r="F31" s="3286">
        <v>172891.8</v>
      </c>
      <c r="G31" s="3286">
        <v>2.2000000000000002</v>
      </c>
      <c r="H31" s="3286" t="s">
        <v>3188</v>
      </c>
      <c r="I31" s="3286" t="s">
        <v>3189</v>
      </c>
      <c r="J31" s="3286">
        <v>9777.4699999999993</v>
      </c>
      <c r="K31" s="3286">
        <v>13900</v>
      </c>
      <c r="L31" s="3286">
        <v>803.97</v>
      </c>
      <c r="M31" s="3286">
        <v>42.16</v>
      </c>
      <c r="N31" s="3286" t="s">
        <v>3147</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1633</v>
      </c>
      <c r="E3" s="1044" t="s">
        <v>1639</v>
      </c>
      <c r="F3" s="1044" t="s">
        <v>1633</v>
      </c>
      <c r="G3" s="1044" t="s">
        <v>1634</v>
      </c>
      <c r="H3" s="1044" t="s">
        <v>1633</v>
      </c>
      <c r="I3" s="1044" t="s">
        <v>1634</v>
      </c>
    </row>
    <row r="4" spans="1:9" ht="30">
      <c r="A4" s="1971" t="str">
        <f>项目基本情况!S2</f>
        <v>出让国有建设用地使用权及在建建筑物房地产</v>
      </c>
      <c r="B4" s="1044">
        <f>项目基本情况!C17</f>
        <v>288059.01</v>
      </c>
      <c r="C4" s="1044">
        <f>项目基本情况!C18</f>
        <v>130728.99</v>
      </c>
      <c r="D4" s="1044" t="e">
        <f ca="1">结果表!D118</f>
        <v>#REF!</v>
      </c>
      <c r="E4" s="1044" t="e">
        <f ca="1">结果表!E118</f>
        <v>#REF!</v>
      </c>
      <c r="F4" s="1044" t="e">
        <f ca="1">结果表!F118</f>
        <v>#REF!</v>
      </c>
      <c r="G4" s="1044" t="e">
        <f ca="1">结果表!G118</f>
        <v>#REF!</v>
      </c>
      <c r="H4" s="1044">
        <f ca="1">结果表!H118</f>
        <v>201006</v>
      </c>
      <c r="I4" s="1044">
        <f ca="1">结果表!I118</f>
        <v>6978</v>
      </c>
    </row>
    <row r="5" spans="1:9" ht="30" customHeight="1">
      <c r="A5" s="2969" t="s">
        <v>1635</v>
      </c>
      <c r="B5" s="2969"/>
      <c r="C5" s="2969"/>
      <c r="D5" s="2970" t="e">
        <f ca="1">结果表!D119</f>
        <v>#REF!</v>
      </c>
      <c r="E5" s="2970"/>
      <c r="F5" s="2970" t="e">
        <f ca="1">结果表!F119</f>
        <v>#REF!</v>
      </c>
      <c r="G5" s="2970"/>
      <c r="H5" s="2970" t="str">
        <f ca="1">结果表!H119</f>
        <v>贰拾亿壹仟零陆万元整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房地产抵押价值</v>
      </c>
      <c r="B8" s="2971"/>
      <c r="C8" s="2971"/>
      <c r="D8" s="2971">
        <f ca="1">结果表!D122</f>
        <v>201006</v>
      </c>
      <c r="E8" s="2971"/>
      <c r="F8" s="2971"/>
      <c r="G8" s="2971"/>
      <c r="H8" s="2971"/>
      <c r="I8" s="2971"/>
    </row>
    <row r="9" spans="1:9" ht="15">
      <c r="A9" s="2969" t="s">
        <v>1635</v>
      </c>
      <c r="B9" s="2969"/>
      <c r="C9" s="2969"/>
      <c r="D9" s="2970" t="str">
        <f ca="1">结果表!D123</f>
        <v>贰拾亿壹仟零陆万元整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1635</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78" t="s">
        <v>1657</v>
      </c>
      <c r="B1" s="2978"/>
      <c r="C1" s="2978"/>
      <c r="D1" s="2978"/>
    </row>
    <row r="2" spans="1:4" ht="18">
      <c r="A2" s="2979" t="s">
        <v>1641</v>
      </c>
      <c r="B2" s="2979"/>
      <c r="C2" s="2979"/>
      <c r="D2" s="2979"/>
    </row>
    <row r="3" spans="1:4" ht="18.75">
      <c r="A3" s="1975" t="s">
        <v>1642</v>
      </c>
      <c r="B3" s="1975" t="s">
        <v>1643</v>
      </c>
      <c r="C3" s="1975" t="s">
        <v>1644</v>
      </c>
      <c r="D3" s="1975" t="s">
        <v>1645</v>
      </c>
    </row>
    <row r="4" spans="1:4" ht="56.25" customHeight="1">
      <c r="A4" s="1976">
        <f>项目基本情况!B4</f>
        <v>0</v>
      </c>
      <c r="B4" s="1977">
        <f>项目基本情况!C4</f>
        <v>0</v>
      </c>
      <c r="C4" s="1978"/>
      <c r="D4" s="1979" t="s">
        <v>1646</v>
      </c>
    </row>
    <row r="5" spans="1:4" ht="56.25" customHeight="1">
      <c r="A5" s="1976">
        <f>项目基本情况!D4</f>
        <v>0</v>
      </c>
      <c r="B5" s="1977">
        <f>项目基本情况!E4</f>
        <v>0</v>
      </c>
      <c r="C5" s="1980"/>
      <c r="D5" s="1979" t="s">
        <v>1646</v>
      </c>
    </row>
    <row r="6" spans="1:4" ht="18">
      <c r="A6" s="2979" t="s">
        <v>1647</v>
      </c>
      <c r="B6" s="2979"/>
      <c r="C6" s="2979"/>
      <c r="D6" s="2979"/>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81" t="str">
        <f>IF(项目基本情况!B8="抵押","3.抵押双方在办理抵押登记手续时，应使用本公司出具的正式《房地产评估报告》，特提醒报告使用者注意。","——")</f>
        <v>——</v>
      </c>
      <c r="B13" s="2982"/>
      <c r="C13" s="2982"/>
      <c r="D13" s="2982"/>
    </row>
    <row r="14" spans="1:4" ht="15.75" customHeight="1">
      <c r="A14" s="2981" t="str">
        <f>IF(项目基本情况!B8="抵押","4.本次评估估价师所知悉的法定优先受偿款情况说明如下：","——")</f>
        <v>——</v>
      </c>
      <c r="B14" s="2982"/>
      <c r="C14" s="2982"/>
      <c r="D14" s="2982"/>
    </row>
    <row r="15" spans="1:4" ht="42" customHeight="1">
      <c r="A15" s="2981" t="str">
        <f>IF(项目基本情况!B8="抵押","（1）"&amp;CONCATENATE(项目基本情况!L20,项目基本情况!L21,项目基本情况!L22),"——")</f>
        <v>——</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1653</v>
      </c>
      <c r="B22" s="2986"/>
      <c r="C22" s="2986"/>
      <c r="D22" s="2986"/>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2992" t="s">
        <v>1664</v>
      </c>
      <c r="B15" s="2987" t="s">
        <v>136</v>
      </c>
      <c r="C15" s="2988"/>
    </row>
    <row r="16" spans="1:7" ht="13.5">
      <c r="A16" s="2993"/>
      <c r="B16" s="2987" t="s">
        <v>69</v>
      </c>
      <c r="C16" s="2988"/>
    </row>
    <row r="17" spans="1:3" ht="13.5">
      <c r="A17" s="2993"/>
      <c r="B17" s="2990" t="s">
        <v>1665</v>
      </c>
      <c r="C17" s="1998" t="s">
        <v>1664</v>
      </c>
    </row>
    <row r="18" spans="1:3" ht="13.5">
      <c r="A18" s="2993"/>
      <c r="B18" s="2990"/>
      <c r="C18" s="1998" t="s">
        <v>1666</v>
      </c>
    </row>
    <row r="19" spans="1:3" ht="13.5">
      <c r="A19" s="2993"/>
      <c r="B19" s="2990"/>
      <c r="C19" s="1998" t="s">
        <v>1667</v>
      </c>
    </row>
    <row r="20" spans="1:3" ht="13.5">
      <c r="A20" s="2994"/>
      <c r="B20" s="2989" t="s">
        <v>1668</v>
      </c>
      <c r="C20" s="2988"/>
    </row>
    <row r="21" spans="1:3" ht="13.5">
      <c r="A21" s="1999" t="s">
        <v>1669</v>
      </c>
      <c r="B21" s="2000"/>
      <c r="C21" s="2001"/>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8" t="s">
        <v>1675</v>
      </c>
    </row>
    <row r="26" spans="1:3" ht="13.5">
      <c r="A26" s="2991"/>
      <c r="B26" s="2990"/>
      <c r="C26" s="1998" t="s">
        <v>1676</v>
      </c>
    </row>
    <row r="27" spans="1:3" ht="13.5">
      <c r="A27" s="2991"/>
      <c r="B27" s="2990"/>
      <c r="C27" s="1998" t="s">
        <v>1677</v>
      </c>
    </row>
    <row r="28" spans="1:3" ht="13.5">
      <c r="A28" s="2991"/>
      <c r="B28" s="2990"/>
      <c r="C28" s="1998" t="s">
        <v>1678</v>
      </c>
    </row>
    <row r="29" spans="1:3" ht="13.5">
      <c r="A29" s="2991"/>
      <c r="B29" s="2990"/>
      <c r="C29" s="1998" t="s">
        <v>1679</v>
      </c>
    </row>
    <row r="30" spans="1:3" ht="13.5">
      <c r="A30" s="2991"/>
      <c r="B30" s="2990"/>
      <c r="C30" s="1998" t="s">
        <v>1680</v>
      </c>
    </row>
    <row r="31" spans="1:3" ht="13.5">
      <c r="A31" s="2991"/>
      <c r="B31" s="2990"/>
      <c r="C31" s="1998" t="s">
        <v>1681</v>
      </c>
    </row>
    <row r="32" spans="1:3" ht="13.5">
      <c r="A32" s="2991"/>
      <c r="B32" s="2990"/>
      <c r="C32" s="1998" t="s">
        <v>1682</v>
      </c>
    </row>
    <row r="33" spans="1:3" ht="13.5">
      <c r="A33" s="2991"/>
      <c r="B33" s="2990"/>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43759</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8"/>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3042</v>
      </c>
      <c r="B14" s="1022">
        <f ca="1">IF(C14&lt;B2,"已过期",1120040230)</f>
        <v>1120040230</v>
      </c>
      <c r="C14" s="2345">
        <v>43835</v>
      </c>
      <c r="D14" s="2348" t="s">
        <v>3042</v>
      </c>
      <c r="E14" s="1022">
        <f ca="1">IF(F14&lt;B2,"已过期",98030020)</f>
        <v>98030020</v>
      </c>
      <c r="F14" s="1030">
        <v>47118</v>
      </c>
    </row>
    <row r="15" spans="1:6" ht="24" customHeight="1">
      <c r="A15" s="1702" t="s">
        <v>3043</v>
      </c>
      <c r="B15" s="1022">
        <f ca="1">IF(C15&lt;B2,"已过期",1120070085)</f>
        <v>1120070085</v>
      </c>
      <c r="C15" s="2345">
        <v>43814</v>
      </c>
      <c r="D15" s="2349" t="s">
        <v>3043</v>
      </c>
      <c r="E15" s="1022">
        <f ca="1">IF(F15&lt;B2,"已过期",2004110128)</f>
        <v>2004110128</v>
      </c>
      <c r="F15" s="1023">
        <v>47118</v>
      </c>
    </row>
    <row r="16" spans="1:6" ht="24" customHeight="1">
      <c r="A16" s="1701" t="s">
        <v>3044</v>
      </c>
      <c r="B16" s="1022">
        <f ca="1">IF(C16&lt;B2,"已过期",1120140022)</f>
        <v>1120140022</v>
      </c>
      <c r="C16" s="2928">
        <v>44029</v>
      </c>
      <c r="D16" s="2348" t="s">
        <v>3044</v>
      </c>
      <c r="E16" s="1022">
        <f ca="1">IF(F16&lt;B2,"已过期",2008110059)</f>
        <v>2008110059</v>
      </c>
      <c r="F16" s="1030">
        <v>47177</v>
      </c>
    </row>
    <row r="17" spans="1:7" ht="24" customHeight="1">
      <c r="A17" s="1701"/>
      <c r="B17" s="1022"/>
      <c r="C17" s="2345"/>
      <c r="D17" s="2348" t="s">
        <v>3045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8">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2019-10-21T02:06:52Z</dcterms:modified>
</cp:coreProperties>
</file>