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80" windowHeight="1080" tabRatio="899" firstSheet="9"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1" sheetId="77" r:id="rId14"/>
    <sheet name="抵押物清单2" sheetId="78"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土地案例" sheetId="80" r:id="rId25"/>
    <sheet name="收益法（汇总）" sheetId="70" r:id="rId26"/>
    <sheet name="收益法（酒店）" sheetId="15" r:id="rId27"/>
    <sheet name="收益法（独栋）" sheetId="79" r:id="rId28"/>
    <sheet name="收益法 (元)" sheetId="67"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'收益法（独栋）'!$A$1:$AK$69</definedName>
    <definedName name="_xlnm.Print_Area" localSheetId="26">'收益法（酒店）'!$A$1:$AK$69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37" i="80" l="1"/>
  <c r="L37" i="80"/>
  <c r="N6" i="1" l="1"/>
  <c r="N7" i="1"/>
  <c r="E80" i="39"/>
  <c r="F80" i="39"/>
  <c r="G80" i="39"/>
  <c r="H80" i="39"/>
  <c r="I80" i="39"/>
  <c r="J80" i="39"/>
  <c r="K80" i="39"/>
  <c r="D80" i="39"/>
  <c r="M17" i="77"/>
  <c r="M16" i="77"/>
  <c r="M14" i="77"/>
  <c r="M10" i="77"/>
  <c r="M6" i="77"/>
  <c r="I7" i="78"/>
  <c r="B2" i="49"/>
  <c r="B13" i="49" s="1"/>
  <c r="E4" i="4" s="1"/>
  <c r="B5" i="62" s="1"/>
  <c r="A3" i="3"/>
  <c r="I16" i="77"/>
  <c r="I13" i="3"/>
  <c r="BB13" i="3"/>
  <c r="I6" i="77"/>
  <c r="I10" i="77"/>
  <c r="I14" i="77"/>
  <c r="K13" i="3"/>
  <c r="BC13" i="3"/>
  <c r="BA13" i="3"/>
  <c r="AZ13" i="3"/>
  <c r="AZ5" i="3"/>
  <c r="H13" i="3"/>
  <c r="G13" i="3"/>
  <c r="G5" i="3"/>
  <c r="B3" i="3"/>
  <c r="AY6" i="3"/>
  <c r="D3" i="6"/>
  <c r="F19" i="6"/>
  <c r="E19" i="6"/>
  <c r="E3" i="6"/>
  <c r="D19" i="6"/>
  <c r="F20" i="6"/>
  <c r="E20" i="6"/>
  <c r="D20" i="6"/>
  <c r="D21" i="6"/>
  <c r="D22" i="6"/>
  <c r="D23" i="6"/>
  <c r="D24" i="6"/>
  <c r="D25" i="6"/>
  <c r="D26" i="6"/>
  <c r="D27" i="6"/>
  <c r="D28" i="6"/>
  <c r="D29" i="6"/>
  <c r="D30" i="6"/>
  <c r="D31" i="6"/>
  <c r="BB5" i="3"/>
  <c r="BC5" i="3"/>
  <c r="E8" i="6"/>
  <c r="F27" i="6"/>
  <c r="F31" i="6"/>
  <c r="I6" i="6"/>
  <c r="C11" i="39"/>
  <c r="D81" i="39"/>
  <c r="E81" i="39"/>
  <c r="F81" i="39"/>
  <c r="G81" i="39"/>
  <c r="F11" i="39"/>
  <c r="AA11" i="39"/>
  <c r="H81" i="39"/>
  <c r="I81" i="39"/>
  <c r="J81" i="39"/>
  <c r="H11" i="39"/>
  <c r="AB11" i="39"/>
  <c r="J11" i="39"/>
  <c r="AC11" i="39"/>
  <c r="F21" i="68"/>
  <c r="F34" i="68"/>
  <c r="C36" i="68" s="1"/>
  <c r="K6" i="1"/>
  <c r="M6" i="1"/>
  <c r="K7" i="1"/>
  <c r="M7" i="1"/>
  <c r="K8" i="1"/>
  <c r="M8" i="1"/>
  <c r="K9" i="1"/>
  <c r="M9" i="1"/>
  <c r="K10" i="1"/>
  <c r="M10" i="1"/>
  <c r="K11" i="1"/>
  <c r="M11" i="1"/>
  <c r="K12" i="1"/>
  <c r="M12" i="1"/>
  <c r="K13" i="1"/>
  <c r="M13" i="1"/>
  <c r="K14" i="1"/>
  <c r="M14" i="1"/>
  <c r="M16" i="1"/>
  <c r="C34" i="68"/>
  <c r="C35" i="68" s="1"/>
  <c r="E5" i="6"/>
  <c r="D9" i="68"/>
  <c r="E6" i="6"/>
  <c r="D10" i="68"/>
  <c r="F20" i="68"/>
  <c r="C40" i="68"/>
  <c r="BA5" i="3"/>
  <c r="E27" i="6"/>
  <c r="K19" i="6"/>
  <c r="L19" i="6"/>
  <c r="M19" i="6"/>
  <c r="I19" i="6"/>
  <c r="H19" i="6"/>
  <c r="R19" i="6"/>
  <c r="R6" i="1"/>
  <c r="S6" i="1"/>
  <c r="T6" i="1"/>
  <c r="F20" i="15"/>
  <c r="F21" i="15"/>
  <c r="Y6" i="1"/>
  <c r="K20" i="6"/>
  <c r="L20" i="6"/>
  <c r="M20" i="6"/>
  <c r="I20" i="6"/>
  <c r="H20" i="6"/>
  <c r="R20" i="6"/>
  <c r="R7" i="1"/>
  <c r="S7" i="1"/>
  <c r="T7" i="1"/>
  <c r="F20" i="79"/>
  <c r="F21" i="79"/>
  <c r="Y7" i="1"/>
  <c r="E6" i="70"/>
  <c r="E7" i="70"/>
  <c r="E8" i="70"/>
  <c r="E9" i="70"/>
  <c r="E10" i="70"/>
  <c r="E11" i="70"/>
  <c r="E12" i="70"/>
  <c r="E13" i="70"/>
  <c r="E2" i="70"/>
  <c r="K15" i="1"/>
  <c r="K16" i="1"/>
  <c r="B29" i="1"/>
  <c r="D71" i="39"/>
  <c r="E71" i="39"/>
  <c r="F71" i="39"/>
  <c r="G71" i="39"/>
  <c r="H71" i="39"/>
  <c r="F7" i="39"/>
  <c r="AA7" i="39"/>
  <c r="D91" i="39"/>
  <c r="E91" i="39"/>
  <c r="F17" i="39"/>
  <c r="AA17" i="39"/>
  <c r="D99" i="39"/>
  <c r="E99" i="39"/>
  <c r="F25" i="39"/>
  <c r="AA25" i="39"/>
  <c r="C75" i="39"/>
  <c r="F9" i="39"/>
  <c r="AA9" i="39"/>
  <c r="I71" i="39"/>
  <c r="H7" i="39"/>
  <c r="AB7" i="39"/>
  <c r="H17" i="39"/>
  <c r="AB17" i="39"/>
  <c r="H25" i="39"/>
  <c r="AB25" i="39"/>
  <c r="H9" i="39"/>
  <c r="AB9" i="39"/>
  <c r="J71" i="39"/>
  <c r="J7" i="39"/>
  <c r="AC7" i="39"/>
  <c r="J17" i="39"/>
  <c r="AC17" i="39"/>
  <c r="J25" i="39"/>
  <c r="AC25" i="39"/>
  <c r="J9" i="39"/>
  <c r="AC9" i="39"/>
  <c r="I46" i="39"/>
  <c r="G46" i="39"/>
  <c r="E46" i="39"/>
  <c r="I38" i="39"/>
  <c r="G38" i="39"/>
  <c r="E38" i="39"/>
  <c r="I5" i="39"/>
  <c r="G5" i="39"/>
  <c r="E5" i="39"/>
  <c r="E13" i="4"/>
  <c r="E15" i="4"/>
  <c r="C10" i="39"/>
  <c r="D75" i="39"/>
  <c r="I7" i="39"/>
  <c r="G7" i="39"/>
  <c r="E7" i="39"/>
  <c r="K71" i="39"/>
  <c r="L71" i="39"/>
  <c r="M71" i="39"/>
  <c r="N71" i="39"/>
  <c r="O71" i="39"/>
  <c r="G1" i="79"/>
  <c r="F15" i="79"/>
  <c r="F17" i="79"/>
  <c r="F18" i="79"/>
  <c r="B22" i="1"/>
  <c r="E1" i="73"/>
  <c r="K1" i="73"/>
  <c r="F23" i="79"/>
  <c r="B43" i="1"/>
  <c r="B41" i="1"/>
  <c r="F28" i="79"/>
  <c r="C28" i="79"/>
  <c r="F32" i="79"/>
  <c r="F33" i="79"/>
  <c r="F34" i="79"/>
  <c r="F6" i="1"/>
  <c r="M47" i="79"/>
  <c r="F7" i="1"/>
  <c r="J50" i="79"/>
  <c r="J51" i="79"/>
  <c r="K59" i="79"/>
  <c r="P74" i="79"/>
  <c r="Q72" i="79"/>
  <c r="F60" i="79"/>
  <c r="F61" i="79"/>
  <c r="F62" i="79"/>
  <c r="P61" i="79"/>
  <c r="Q59" i="79"/>
  <c r="B24" i="1"/>
  <c r="F59" i="79"/>
  <c r="Q58" i="79"/>
  <c r="Q51" i="79"/>
  <c r="D46" i="79"/>
  <c r="F31" i="79"/>
  <c r="M18" i="79"/>
  <c r="M19" i="79"/>
  <c r="M20" i="79"/>
  <c r="D24" i="79"/>
  <c r="D23" i="79"/>
  <c r="D22" i="79"/>
  <c r="M17" i="79"/>
  <c r="E24" i="4"/>
  <c r="E23" i="4"/>
  <c r="I17" i="77"/>
  <c r="B7" i="4"/>
  <c r="B5"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C21" i="68"/>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3" i="49"/>
  <c r="B40" i="48"/>
  <c r="B3" i="72"/>
  <c r="I2" i="43"/>
  <c r="N1" i="43"/>
  <c r="F35" i="4"/>
  <c r="J55" i="39"/>
  <c r="H34" i="43"/>
  <c r="H35" i="43"/>
  <c r="H36" i="43"/>
  <c r="H37" i="43"/>
  <c r="H38" i="43"/>
  <c r="H39" i="43"/>
  <c r="A7" i="43"/>
  <c r="F33" i="15"/>
  <c r="F61" i="15"/>
  <c r="M19" i="15"/>
  <c r="O10" i="1"/>
  <c r="B23" i="1"/>
  <c r="D78" i="9"/>
  <c r="E21" i="6"/>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R5" i="3"/>
  <c r="G28" i="6"/>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E7" i="49"/>
  <c r="D23" i="15"/>
  <c r="D22" i="15"/>
  <c r="B9" i="49"/>
  <c r="E21" i="49"/>
  <c r="B6"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S21" i="6"/>
  <c r="L27" i="6"/>
  <c r="S26" i="6"/>
  <c r="S22" i="6"/>
  <c r="AP7" i="1"/>
  <c r="O7" i="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N16" i="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s="1"/>
  <c r="D15" i="6"/>
  <c r="C18" i="4"/>
  <c r="D8" i="6"/>
  <c r="D14" i="6"/>
  <c r="D5" i="6"/>
  <c r="D6" i="6"/>
  <c r="D12" i="6"/>
  <c r="D9" i="6"/>
  <c r="D11" i="6"/>
  <c r="D10" i="6"/>
  <c r="D13" i="6"/>
  <c r="L19" i="9"/>
  <c r="E61" i="40"/>
  <c r="H25" i="6"/>
  <c r="R25" i="6"/>
  <c r="H22" i="6"/>
  <c r="H23" i="6"/>
  <c r="H21" i="6"/>
  <c r="H26" i="6"/>
  <c r="H24" i="6"/>
  <c r="C13" i="12"/>
  <c r="P16" i="1"/>
  <c r="C11" i="12"/>
  <c r="F34" i="11"/>
  <c r="C37" i="11"/>
  <c r="F11"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23" i="12"/>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39" i="11" s="1"/>
  <c r="C46" i="11" s="1"/>
  <c r="C45" i="11" s="1"/>
  <c r="I5" i="6"/>
  <c r="C49" i="21"/>
  <c r="I63" i="40"/>
  <c r="H65" i="40"/>
  <c r="I70" i="39"/>
  <c r="J63" i="40"/>
  <c r="I65" i="40"/>
  <c r="J70" i="39"/>
  <c r="K63" i="40"/>
  <c r="J65" i="40"/>
  <c r="K70" i="39"/>
  <c r="L63" i="40"/>
  <c r="K65" i="40"/>
  <c r="L70" i="39"/>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F27" i="68"/>
  <c r="C28" i="68" s="1"/>
  <c r="C27" i="68" s="1"/>
  <c r="G47" i="39"/>
  <c r="I47" i="39"/>
  <c r="G52" i="39"/>
  <c r="H52" i="39"/>
  <c r="G51" i="39"/>
  <c r="H51" i="39"/>
  <c r="I51" i="39"/>
  <c r="J51" i="39"/>
  <c r="C47" i="39"/>
  <c r="E47" i="39"/>
  <c r="E51" i="39"/>
  <c r="F51" i="39"/>
  <c r="E52" i="39"/>
  <c r="F52" i="39"/>
  <c r="I52" i="39"/>
  <c r="J52" i="39"/>
  <c r="B3" i="39"/>
  <c r="F27" i="69"/>
  <c r="C29" i="69" s="1"/>
  <c r="D27" i="69" s="1"/>
  <c r="F27" i="11"/>
  <c r="C47" i="11"/>
  <c r="D45" i="11" s="1"/>
  <c r="C28" i="11"/>
  <c r="C27" i="11"/>
  <c r="C29" i="11"/>
  <c r="D27" i="11" s="1"/>
  <c r="F28" i="12"/>
  <c r="C29" i="12" s="1"/>
  <c r="D28" i="12" s="1"/>
  <c r="F9" i="15"/>
  <c r="C14" i="15"/>
  <c r="F43" i="15"/>
  <c r="F36" i="15"/>
  <c r="M8" i="15"/>
  <c r="F6" i="79"/>
  <c r="C14" i="79"/>
  <c r="F43" i="79"/>
  <c r="F36" i="79"/>
  <c r="M8" i="79"/>
  <c r="AO8" i="1"/>
  <c r="AO10" i="1"/>
  <c r="AO12" i="1"/>
  <c r="C76" i="79"/>
  <c r="F6" i="15"/>
  <c r="F35" i="15"/>
  <c r="F37" i="15"/>
  <c r="F42" i="15"/>
  <c r="M6" i="15"/>
  <c r="F9" i="79"/>
  <c r="F13" i="79"/>
  <c r="F38" i="79"/>
  <c r="L48" i="79"/>
  <c r="L47" i="79"/>
  <c r="M27" i="79"/>
  <c r="E10" i="76"/>
  <c r="B12" i="76"/>
  <c r="B9" i="76"/>
  <c r="F6" i="73"/>
  <c r="D4" i="73"/>
  <c r="M24" i="67"/>
  <c r="F8" i="67"/>
  <c r="M28" i="15"/>
  <c r="M9" i="67"/>
  <c r="J15" i="67"/>
  <c r="M22" i="67"/>
  <c r="F36" i="67"/>
  <c r="F9" i="67"/>
  <c r="M23" i="67"/>
  <c r="M26" i="79"/>
  <c r="M22" i="79"/>
  <c r="M23" i="79"/>
  <c r="E7" i="76"/>
  <c r="E11" i="76"/>
  <c r="B8" i="76"/>
  <c r="B13" i="76"/>
  <c r="F7" i="73"/>
  <c r="D6" i="73"/>
  <c r="C76" i="67"/>
  <c r="M22" i="15"/>
  <c r="F13" i="67"/>
  <c r="L48" i="67"/>
  <c r="L47" i="15"/>
  <c r="L47" i="67"/>
  <c r="F40" i="67"/>
  <c r="M29" i="67"/>
  <c r="F42" i="67"/>
  <c r="F35" i="67"/>
  <c r="M27" i="15"/>
  <c r="D2" i="21"/>
  <c r="E2" i="68"/>
  <c r="M21" i="15"/>
  <c r="E2" i="69"/>
  <c r="F20" i="31"/>
  <c r="D2" i="35"/>
  <c r="F8" i="15"/>
  <c r="F4" i="73"/>
  <c r="F16" i="15"/>
  <c r="F26" i="15"/>
  <c r="F40" i="15"/>
  <c r="M9" i="15"/>
  <c r="F7" i="79"/>
  <c r="F16" i="79"/>
  <c r="F26" i="79"/>
  <c r="F40" i="79"/>
  <c r="M9" i="79"/>
  <c r="AO9" i="1"/>
  <c r="AO11" i="1"/>
  <c r="AO13" i="1"/>
  <c r="D5" i="73"/>
  <c r="F7" i="15"/>
  <c r="F13" i="15"/>
  <c r="F38" i="15"/>
  <c r="L48" i="15"/>
  <c r="F8" i="79"/>
  <c r="F35" i="79"/>
  <c r="F37" i="79"/>
  <c r="F42" i="79"/>
  <c r="M6" i="79"/>
  <c r="M29" i="79"/>
  <c r="E8" i="76"/>
  <c r="E12" i="76"/>
  <c r="B10" i="76"/>
  <c r="F5" i="73"/>
  <c r="F3" i="73"/>
  <c r="M24" i="15"/>
  <c r="M23" i="15"/>
  <c r="F26" i="67"/>
  <c r="J15" i="15"/>
  <c r="M6" i="67"/>
  <c r="C76" i="15"/>
  <c r="F37" i="67"/>
  <c r="M26" i="15"/>
  <c r="M29" i="15"/>
  <c r="M28" i="79"/>
  <c r="M21" i="79"/>
  <c r="J15" i="79"/>
  <c r="M24" i="79"/>
  <c r="E9" i="76"/>
  <c r="E13" i="76"/>
  <c r="B11" i="76"/>
  <c r="B7" i="76"/>
  <c r="D3" i="73"/>
  <c r="D7" i="73"/>
  <c r="F6" i="67"/>
  <c r="M26" i="67"/>
  <c r="F7" i="67"/>
  <c r="F43" i="67"/>
  <c r="F16" i="67"/>
  <c r="F38" i="67"/>
  <c r="M28" i="67"/>
  <c r="M8" i="67"/>
  <c r="M21" i="67"/>
  <c r="M27" i="67"/>
  <c r="D2" i="37"/>
  <c r="D2" i="34"/>
  <c r="E6" i="76"/>
  <c r="F41" i="67"/>
  <c r="D2" i="33"/>
  <c r="D2" i="36"/>
  <c r="B6" i="76"/>
  <c r="B8" i="49" l="1"/>
  <c r="E9" i="49"/>
  <c r="B11" i="49"/>
  <c r="E6" i="49"/>
  <c r="B16" i="49"/>
  <c r="D19" i="69"/>
  <c r="D37" i="69" s="1"/>
  <c r="C37" i="69" s="1"/>
  <c r="R16" i="1"/>
  <c r="E4" i="49"/>
  <c r="B4" i="49"/>
  <c r="E5" i="49"/>
  <c r="E10" i="49"/>
  <c r="E8" i="49"/>
  <c r="E16" i="49"/>
  <c r="B5" i="49"/>
  <c r="E22" i="49"/>
  <c r="B14" i="49"/>
  <c r="B10" i="49"/>
  <c r="C47" i="69"/>
  <c r="D45" i="69" s="1"/>
  <c r="C38" i="68"/>
  <c r="C35" i="69"/>
  <c r="C29" i="68"/>
  <c r="D27" i="68" s="1"/>
  <c r="B7" i="49"/>
  <c r="C4" i="4" s="1"/>
  <c r="B4" i="62" s="1"/>
  <c r="B71" i="72" s="1"/>
  <c r="C47" i="68"/>
  <c r="D45" i="68" s="1"/>
  <c r="C10" i="69"/>
  <c r="C8" i="69" s="1"/>
  <c r="C5" i="69" s="1"/>
  <c r="C14" i="12"/>
  <c r="D19" i="68"/>
  <c r="D37" i="68" s="1"/>
  <c r="C37" i="68" s="1"/>
  <c r="B2" i="76"/>
  <c r="B2" i="35"/>
  <c r="B3" i="35" s="1"/>
  <c r="B2" i="33"/>
  <c r="B3" i="33" s="1"/>
  <c r="B20" i="31"/>
  <c r="B2" i="36"/>
  <c r="B3" i="36" s="1"/>
  <c r="F69" i="67"/>
  <c r="J20" i="15"/>
  <c r="E2" i="76"/>
  <c r="B2" i="34"/>
  <c r="B3" i="34" s="1"/>
  <c r="B2" i="21"/>
  <c r="B3" i="21" s="1"/>
  <c r="B2" i="37"/>
  <c r="B3" i="37" s="1"/>
  <c r="F63" i="67"/>
  <c r="C62" i="67" s="1"/>
  <c r="C34" i="67"/>
  <c r="J20" i="67"/>
  <c r="F70" i="67"/>
  <c r="F68" i="67"/>
  <c r="F66" i="67"/>
  <c r="L58" i="67"/>
  <c r="L59" i="67"/>
  <c r="N59" i="67"/>
  <c r="M59" i="67"/>
  <c r="M59" i="15"/>
  <c r="N59" i="15"/>
  <c r="L59" i="15"/>
  <c r="L58" i="15"/>
  <c r="F71" i="67"/>
  <c r="L56" i="67"/>
  <c r="I54" i="67"/>
  <c r="J57" i="67"/>
  <c r="J55" i="67" s="1"/>
  <c r="J58" i="67" s="1"/>
  <c r="Q50" i="67" s="1"/>
  <c r="F50" i="67"/>
  <c r="M7" i="67"/>
  <c r="J6" i="67" s="1"/>
  <c r="C6" i="67"/>
  <c r="Q71" i="67"/>
  <c r="J20" i="79"/>
  <c r="F64" i="67"/>
  <c r="F65" i="67"/>
  <c r="Q71" i="15"/>
  <c r="C27" i="67"/>
  <c r="F51" i="67"/>
  <c r="E20" i="43"/>
  <c r="L59" i="79"/>
  <c r="L58" i="79"/>
  <c r="N59" i="79"/>
  <c r="M59" i="79"/>
  <c r="J53" i="79"/>
  <c r="J57" i="79"/>
  <c r="J55" i="79" s="1"/>
  <c r="J58" i="79" s="1"/>
  <c r="Q50" i="79" s="1"/>
  <c r="L57" i="79"/>
  <c r="I54" i="79"/>
  <c r="L60" i="79"/>
  <c r="L56" i="79"/>
  <c r="F66" i="79"/>
  <c r="F65" i="79"/>
  <c r="C34" i="79"/>
  <c r="F63" i="79"/>
  <c r="C62" i="79" s="1"/>
  <c r="F51" i="79"/>
  <c r="J53" i="15"/>
  <c r="J57" i="15"/>
  <c r="J55" i="15" s="1"/>
  <c r="J58" i="15" s="1"/>
  <c r="Q50" i="15" s="1"/>
  <c r="L56" i="15"/>
  <c r="I54" i="15"/>
  <c r="L60" i="15"/>
  <c r="L57" i="15"/>
  <c r="F66" i="15"/>
  <c r="F65" i="15"/>
  <c r="C34" i="15"/>
  <c r="F63" i="15"/>
  <c r="C62" i="15" s="1"/>
  <c r="M7" i="15"/>
  <c r="J6" i="15" s="1"/>
  <c r="F50" i="15"/>
  <c r="C6" i="15"/>
  <c r="Q71" i="79"/>
  <c r="B13" i="70"/>
  <c r="B12" i="70"/>
  <c r="B11" i="70"/>
  <c r="B10" i="70"/>
  <c r="B9" i="70"/>
  <c r="B8" i="70"/>
  <c r="F68" i="79"/>
  <c r="F64" i="79"/>
  <c r="C27" i="79"/>
  <c r="F71" i="79"/>
  <c r="C18" i="79"/>
  <c r="C15" i="79"/>
  <c r="M7" i="79"/>
  <c r="J6" i="79" s="1"/>
  <c r="F50" i="79"/>
  <c r="C6" i="79"/>
  <c r="F68" i="15"/>
  <c r="F64" i="15"/>
  <c r="C27" i="15"/>
  <c r="F71" i="15"/>
  <c r="C18" i="15"/>
  <c r="C15" i="15"/>
  <c r="I1" i="73"/>
  <c r="B39" i="1" s="1"/>
  <c r="F51" i="15"/>
  <c r="C19" i="69"/>
  <c r="C20" i="69" s="1"/>
  <c r="C15" i="12"/>
  <c r="C18" i="12"/>
  <c r="K4" i="4"/>
  <c r="B46" i="48" s="1"/>
  <c r="B4" i="72" s="1"/>
  <c r="G1" i="73"/>
  <c r="C14" i="67"/>
  <c r="C17" i="79"/>
  <c r="C17" i="15"/>
  <c r="C16" i="67"/>
  <c r="C17" i="67"/>
  <c r="C16" i="79"/>
  <c r="C16" i="15"/>
  <c r="C16" i="12" l="1"/>
  <c r="C21" i="12" s="1"/>
  <c r="C22" i="12" s="1"/>
  <c r="C49" i="15"/>
  <c r="C33" i="68"/>
  <c r="B40" i="1"/>
  <c r="F22" i="68" s="1"/>
  <c r="C33" i="69"/>
  <c r="C49" i="67"/>
  <c r="C15" i="67"/>
  <c r="C18" i="67"/>
  <c r="C19" i="79"/>
  <c r="C19" i="15"/>
  <c r="C39" i="69"/>
  <c r="C46" i="69" s="1"/>
  <c r="C45" i="69" s="1"/>
  <c r="M11" i="15"/>
  <c r="J10" i="15" s="1"/>
  <c r="J5" i="15" s="1"/>
  <c r="M11" i="79"/>
  <c r="J10" i="79" s="1"/>
  <c r="J5" i="79" s="1"/>
  <c r="F11" i="15"/>
  <c r="F11" i="79"/>
  <c r="M11" i="67"/>
  <c r="J10" i="67" s="1"/>
  <c r="J5" i="67" s="1"/>
  <c r="F11" i="67"/>
  <c r="Q66" i="15"/>
  <c r="Q57" i="15"/>
  <c r="F1" i="15"/>
  <c r="Q52" i="15"/>
  <c r="C49" i="79"/>
  <c r="Q66" i="79"/>
  <c r="Q57" i="79"/>
  <c r="F1" i="79"/>
  <c r="Q52" i="79"/>
  <c r="Q73" i="79"/>
  <c r="Q60" i="79"/>
  <c r="O17" i="43"/>
  <c r="M17" i="43"/>
  <c r="P17" i="43"/>
  <c r="N17" i="43"/>
  <c r="Q74" i="15"/>
  <c r="Q61" i="15"/>
  <c r="Q73" i="67"/>
  <c r="Q60" i="67"/>
  <c r="C39" i="68"/>
  <c r="C46" i="68" s="1"/>
  <c r="C45" i="68" s="1"/>
  <c r="C28" i="69"/>
  <c r="C27" i="69" s="1"/>
  <c r="F24" i="15"/>
  <c r="C24" i="15" s="1"/>
  <c r="F22" i="11"/>
  <c r="F25" i="12"/>
  <c r="C26" i="12" s="1"/>
  <c r="D25" i="12" s="1"/>
  <c r="Q74" i="79"/>
  <c r="Q61" i="79"/>
  <c r="Q73" i="15"/>
  <c r="Q60" i="15"/>
  <c r="Q74" i="67"/>
  <c r="Q61" i="67"/>
  <c r="B3" i="76"/>
  <c r="AE6" i="1"/>
  <c r="AE7" i="1"/>
  <c r="C42" i="68" l="1"/>
  <c r="F24" i="67"/>
  <c r="C24" i="67" s="1"/>
  <c r="F22" i="69"/>
  <c r="F24" i="79"/>
  <c r="C24" i="79" s="1"/>
  <c r="C19" i="67"/>
  <c r="C20" i="67" s="1"/>
  <c r="C27" i="12"/>
  <c r="C25" i="12" s="1"/>
  <c r="C30" i="12"/>
  <c r="C28" i="12" s="1"/>
  <c r="J26" i="79"/>
  <c r="J24" i="79"/>
  <c r="J18" i="79"/>
  <c r="J24" i="67"/>
  <c r="J18" i="67"/>
  <c r="J26" i="67"/>
  <c r="J29" i="67" s="1"/>
  <c r="J26" i="15"/>
  <c r="J24" i="15"/>
  <c r="J18" i="15"/>
  <c r="C26" i="69"/>
  <c r="D22" i="69" s="1"/>
  <c r="C44" i="69"/>
  <c r="D41" i="69" s="1"/>
  <c r="C23" i="69"/>
  <c r="C24" i="68"/>
  <c r="C26" i="68"/>
  <c r="D22" i="68" s="1"/>
  <c r="C44" i="68"/>
  <c r="D41" i="68" s="1"/>
  <c r="C25" i="68"/>
  <c r="C23" i="68"/>
  <c r="C43" i="68"/>
  <c r="C41" i="68" s="1"/>
  <c r="C10" i="67"/>
  <c r="C5" i="67" s="1"/>
  <c r="C53" i="67"/>
  <c r="C48" i="67" s="1"/>
  <c r="C10" i="79"/>
  <c r="C5" i="79" s="1"/>
  <c r="C53" i="79"/>
  <c r="C48" i="79" s="1"/>
  <c r="C24" i="69"/>
  <c r="C42" i="69"/>
  <c r="C20" i="79"/>
  <c r="C23" i="79" s="1"/>
  <c r="C26" i="11"/>
  <c r="D22" i="11" s="1"/>
  <c r="C24" i="11"/>
  <c r="C42" i="11"/>
  <c r="C43" i="11"/>
  <c r="C25" i="11"/>
  <c r="C44" i="11"/>
  <c r="D41" i="11" s="1"/>
  <c r="C23" i="11"/>
  <c r="C10" i="15"/>
  <c r="C5" i="15" s="1"/>
  <c r="C53" i="15"/>
  <c r="C48" i="15" s="1"/>
  <c r="C43" i="69"/>
  <c r="C25" i="69"/>
  <c r="C20" i="15"/>
  <c r="C23" i="15" s="1"/>
  <c r="F41" i="79"/>
  <c r="F41" i="15"/>
  <c r="F69" i="15" l="1"/>
  <c r="F69" i="79"/>
  <c r="J29" i="15"/>
  <c r="J29" i="79"/>
  <c r="C26" i="15"/>
  <c r="C29" i="15" s="1"/>
  <c r="C26" i="79"/>
  <c r="C49" i="68"/>
  <c r="C51" i="68" s="1"/>
  <c r="C32" i="12"/>
  <c r="B2" i="12" s="1"/>
  <c r="B3" i="12" s="1"/>
  <c r="C29" i="79"/>
  <c r="C13" i="79" s="1"/>
  <c r="C23" i="67"/>
  <c r="C32" i="15"/>
  <c r="C38" i="15"/>
  <c r="C33" i="15"/>
  <c r="C32" i="79"/>
  <c r="C38" i="79"/>
  <c r="C33" i="79"/>
  <c r="C38" i="67"/>
  <c r="C32" i="67"/>
  <c r="C22" i="68"/>
  <c r="C31" i="68" s="1"/>
  <c r="C26" i="67"/>
  <c r="C60" i="15"/>
  <c r="C66" i="15"/>
  <c r="C60" i="79"/>
  <c r="C66" i="79"/>
  <c r="C22" i="11"/>
  <c r="C31" i="11" s="1"/>
  <c r="C41" i="11"/>
  <c r="C49" i="11" s="1"/>
  <c r="C51" i="11" s="1"/>
  <c r="C41" i="69"/>
  <c r="C49" i="69" s="1"/>
  <c r="C51" i="69" s="1"/>
  <c r="C60" i="67"/>
  <c r="C66" i="67"/>
  <c r="C22" i="69"/>
  <c r="C31" i="69" s="1"/>
  <c r="C57" i="79" l="1"/>
  <c r="C64" i="79" s="1"/>
  <c r="J19" i="79"/>
  <c r="J17" i="79" s="1"/>
  <c r="C36" i="79"/>
  <c r="C52" i="11"/>
  <c r="B2" i="11" s="1"/>
  <c r="B3" i="11" s="1"/>
  <c r="C52" i="68"/>
  <c r="B2" i="68" s="1"/>
  <c r="J59" i="79"/>
  <c r="J60" i="79" s="1"/>
  <c r="Q48" i="79" s="1"/>
  <c r="Q49" i="79"/>
  <c r="J14" i="79"/>
  <c r="J22" i="79" s="1"/>
  <c r="C29" i="67"/>
  <c r="J14" i="67" s="1"/>
  <c r="C52" i="69"/>
  <c r="B2" i="69" s="1"/>
  <c r="B3" i="69" s="1"/>
  <c r="Q49" i="67"/>
  <c r="C13" i="67"/>
  <c r="C36" i="67"/>
  <c r="C57" i="67"/>
  <c r="B3" i="68"/>
  <c r="L46" i="79"/>
  <c r="C37" i="79"/>
  <c r="C56" i="79"/>
  <c r="C65" i="79" s="1"/>
  <c r="C75" i="79"/>
  <c r="Q70" i="79"/>
  <c r="C13" i="15"/>
  <c r="C36" i="15"/>
  <c r="J19" i="15"/>
  <c r="J17" i="15" s="1"/>
  <c r="Q49" i="15"/>
  <c r="C57" i="15"/>
  <c r="J14" i="15"/>
  <c r="J59" i="15"/>
  <c r="J60" i="15" s="1"/>
  <c r="C31" i="79"/>
  <c r="C61" i="79"/>
  <c r="C59" i="79" s="1"/>
  <c r="C57" i="68"/>
  <c r="C56" i="68" s="1"/>
  <c r="C31" i="15"/>
  <c r="C19" i="9"/>
  <c r="D35" i="9"/>
  <c r="D34" i="9"/>
  <c r="C20" i="9"/>
  <c r="C30" i="79" l="1"/>
  <c r="C39" i="79" s="1"/>
  <c r="Q69" i="79" s="1"/>
  <c r="Q68" i="79" s="1"/>
  <c r="J59" i="67"/>
  <c r="J60" i="67" s="1"/>
  <c r="C33" i="67"/>
  <c r="C31" i="67" s="1"/>
  <c r="J19" i="67"/>
  <c r="J17" i="67" s="1"/>
  <c r="J13" i="79"/>
  <c r="J23" i="79" s="1"/>
  <c r="J16" i="79" s="1"/>
  <c r="J25" i="79" s="1"/>
  <c r="C102" i="9"/>
  <c r="C21" i="9"/>
  <c r="C56" i="11"/>
  <c r="C57" i="11" s="1"/>
  <c r="C57" i="69"/>
  <c r="C56" i="69" s="1"/>
  <c r="C103" i="9"/>
  <c r="C40" i="79"/>
  <c r="J22" i="15"/>
  <c r="J13" i="15"/>
  <c r="J23" i="15" s="1"/>
  <c r="C58" i="79"/>
  <c r="C67" i="79" s="1"/>
  <c r="C68" i="79" s="1"/>
  <c r="C61" i="67"/>
  <c r="C59" i="67" s="1"/>
  <c r="C64" i="67"/>
  <c r="Q70" i="67"/>
  <c r="C56" i="67"/>
  <c r="C65" i="67" s="1"/>
  <c r="C37" i="67"/>
  <c r="C30" i="67" s="1"/>
  <c r="C39" i="67" s="1"/>
  <c r="C75" i="67"/>
  <c r="Q48" i="15"/>
  <c r="L46" i="15"/>
  <c r="C61" i="15"/>
  <c r="C59" i="15" s="1"/>
  <c r="C64" i="15"/>
  <c r="C37" i="15"/>
  <c r="C30" i="15" s="1"/>
  <c r="C39" i="15" s="1"/>
  <c r="C56" i="15"/>
  <c r="C65" i="15" s="1"/>
  <c r="C75" i="15"/>
  <c r="Q70" i="15"/>
  <c r="Q48" i="67"/>
  <c r="L46" i="67"/>
  <c r="J22" i="67"/>
  <c r="J13" i="67"/>
  <c r="J23" i="67" s="1"/>
  <c r="L51" i="79"/>
  <c r="C80" i="79" l="1"/>
  <c r="C79" i="79" s="1"/>
  <c r="J16" i="15"/>
  <c r="J25" i="15" s="1"/>
  <c r="J16" i="67"/>
  <c r="J25" i="67" s="1"/>
  <c r="C58" i="67"/>
  <c r="C67" i="67" s="1"/>
  <c r="C68" i="67" s="1"/>
  <c r="C71" i="67" s="1"/>
  <c r="Q67" i="79"/>
  <c r="C40" i="67"/>
  <c r="Q69" i="67"/>
  <c r="Q68" i="67" s="1"/>
  <c r="C58" i="15"/>
  <c r="C67" i="15" s="1"/>
  <c r="C68" i="15" s="1"/>
  <c r="C71" i="79"/>
  <c r="C46" i="79"/>
  <c r="C40" i="15"/>
  <c r="Q69" i="15"/>
  <c r="Q68" i="15" s="1"/>
  <c r="C80" i="15"/>
  <c r="C79" i="15" s="1"/>
  <c r="C80" i="67"/>
  <c r="C79" i="67" s="1"/>
  <c r="B2" i="79"/>
  <c r="Q65" i="79"/>
  <c r="Q75" i="79" s="1"/>
  <c r="Q56" i="79"/>
  <c r="Q62" i="79" s="1"/>
  <c r="C43" i="79"/>
  <c r="Q47" i="79"/>
  <c r="Q53" i="79" s="1"/>
  <c r="C83" i="79"/>
  <c r="C82" i="79" s="1"/>
  <c r="L51" i="67"/>
  <c r="AO7" i="1"/>
  <c r="L51" i="15"/>
  <c r="C45" i="67" l="1"/>
  <c r="C46" i="67" s="1"/>
  <c r="B7" i="70"/>
  <c r="Q67" i="15"/>
  <c r="Q67" i="67"/>
  <c r="L57" i="67"/>
  <c r="L60" i="67" s="1"/>
  <c r="B3" i="79"/>
  <c r="C71" i="15"/>
  <c r="C46" i="15"/>
  <c r="B2" i="15"/>
  <c r="C43" i="15"/>
  <c r="Q65" i="15"/>
  <c r="Q75" i="15" s="1"/>
  <c r="Q47" i="15"/>
  <c r="Q53" i="15" s="1"/>
  <c r="Q56" i="15"/>
  <c r="Q62" i="15" s="1"/>
  <c r="C83" i="15"/>
  <c r="C82" i="15" s="1"/>
  <c r="C43" i="67"/>
  <c r="Q65" i="67"/>
  <c r="Q56" i="67"/>
  <c r="Q47" i="67"/>
  <c r="Q53" i="67" s="1"/>
  <c r="D2" i="67"/>
  <c r="C83" i="67"/>
  <c r="C82" i="67" s="1"/>
  <c r="AO6" i="1"/>
  <c r="B6" i="70" l="1"/>
  <c r="B2" i="70" s="1"/>
  <c r="B2" i="67"/>
  <c r="B3" i="67"/>
  <c r="B3" i="15"/>
  <c r="Q57" i="67"/>
  <c r="Q62" i="67" s="1"/>
  <c r="Q66" i="67"/>
  <c r="Q75" i="67" s="1"/>
  <c r="D19" i="9"/>
  <c r="D102" i="9" l="1"/>
  <c r="D21" i="9"/>
  <c r="D22" i="9"/>
  <c r="G19" i="9"/>
  <c r="G21" i="9" s="1"/>
  <c r="B3" i="70"/>
  <c r="D20" i="9"/>
  <c r="D103" i="9" l="1"/>
  <c r="G20" i="9"/>
  <c r="C32" i="9" s="1"/>
  <c r="C35" i="9" l="1"/>
  <c r="G118" i="9" s="1"/>
  <c r="I118" i="9"/>
  <c r="C34" i="9" l="1"/>
  <c r="G4" i="52"/>
  <c r="B52" i="72" s="1"/>
  <c r="F118" i="9"/>
  <c r="H118" i="9"/>
  <c r="E118" i="9"/>
  <c r="H102" i="9"/>
  <c r="D7" i="53" s="1"/>
  <c r="B21" i="72" s="1"/>
  <c r="I4" i="52"/>
  <c r="C105" i="9"/>
  <c r="H101" i="9" l="1"/>
  <c r="H119" i="9"/>
  <c r="H5" i="52" s="1"/>
  <c r="H4" i="52"/>
  <c r="D14" i="74"/>
  <c r="C104" i="9"/>
  <c r="D118" i="9"/>
  <c r="E4" i="52"/>
  <c r="B48" i="72" s="1"/>
  <c r="F119" i="9"/>
  <c r="F5" i="52" s="1"/>
  <c r="B53" i="72" s="1"/>
  <c r="F4" i="52"/>
  <c r="B51" i="72" s="1"/>
  <c r="H107" i="9" l="1"/>
  <c r="M48" i="9"/>
  <c r="D5" i="53"/>
  <c r="D45" i="9"/>
  <c r="D119" i="9"/>
  <c r="D5" i="52" s="1"/>
  <c r="B49" i="72" s="1"/>
  <c r="D4" i="52"/>
  <c r="B47" i="72" s="1"/>
  <c r="F14" i="74"/>
  <c r="B5" i="74"/>
  <c r="E14" i="74"/>
  <c r="D6" i="53" l="1"/>
  <c r="B22" i="72" s="1"/>
  <c r="B20" i="72"/>
  <c r="M49" i="9"/>
  <c r="H108" i="9"/>
  <c r="D15" i="53" s="1"/>
  <c r="B31" i="72" s="1"/>
  <c r="D13" i="53"/>
  <c r="D122" i="9"/>
  <c r="C5" i="74"/>
  <c r="D5" i="74"/>
  <c r="D53" i="9"/>
  <c r="C72" i="9"/>
  <c r="C85" i="9"/>
  <c r="C64" i="9"/>
  <c r="C63" i="9" s="1"/>
  <c r="C67" i="9" s="1"/>
  <c r="C68" i="9" s="1"/>
  <c r="D54" i="9" s="1"/>
  <c r="C93" i="9"/>
  <c r="C86" i="9" s="1"/>
  <c r="D55" i="9"/>
  <c r="M53" i="9" s="1"/>
  <c r="D52" i="9"/>
  <c r="C78" i="9"/>
  <c r="C73" i="9" s="1"/>
  <c r="C95" i="9" l="1"/>
  <c r="D14" i="53"/>
  <c r="B32" i="72" s="1"/>
  <c r="B30" i="72"/>
  <c r="L63" i="9"/>
  <c r="M63" i="9" s="1"/>
  <c r="L64" i="9"/>
  <c r="M64" i="9" s="1"/>
  <c r="L65" i="9"/>
  <c r="M65" i="9" s="1"/>
  <c r="L66" i="9"/>
  <c r="M66" i="9" s="1"/>
  <c r="L67" i="9"/>
  <c r="M67" i="9" s="1"/>
  <c r="L68" i="9"/>
  <c r="M68" i="9" s="1"/>
  <c r="C79" i="9"/>
  <c r="D123" i="9"/>
  <c r="D9" i="52" s="1"/>
  <c r="D8" i="52"/>
  <c r="G14" i="74"/>
  <c r="B6" i="74" s="1"/>
  <c r="D6" i="74" l="1"/>
  <c r="C6" i="74"/>
  <c r="C96" i="9"/>
  <c r="E96" i="9" s="1"/>
  <c r="E97" i="9" s="1"/>
  <c r="C80" i="9"/>
  <c r="E80" i="9" s="1"/>
  <c r="E81"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<sst xmlns="http://schemas.openxmlformats.org/spreadsheetml/2006/main" count="8249" uniqueCount="3321">
  <si>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</si>
  <si>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</si>
  <si>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</si>
  <si>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</si>
  <si>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</si>
  <si>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</si>
  <si>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</si>
  <si>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</si>
  <si>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</si>
  <si>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</si>
  <si>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</si>
  <si>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</si>
  <si>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</si>
  <si>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</si>
  <si>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</si>
  <si>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</si>
  <si>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</si>
  <si>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</si>
  <si>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</si>
  <si>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</si>
  <si>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</si>
  <si>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</si>
  <si>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</si>
  <si>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</si>
  <si>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</si>
  <si>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</si>
  <si>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</si>
  <si>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</si>
  <si>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</si>
  <si>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</si>
  <si>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</si>
  <si>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</si>
  <si>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</si>
  <si>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</si>
  <si>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</si>
  <si>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</si>
  <si>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</si>
  <si>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</si>
  <si>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</si>
  <si>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</si>
  <si>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</si>
  <si>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</si>
  <si>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</si>
  <si>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</si>
  <si>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</si>
  <si>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</si>
  <si>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</si>
  <si>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</si>
  <si>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</si>
  <si>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</si>
  <si>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</si>
  <si>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</si>
  <si>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</si>
  <si>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</si>
  <si>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</si>
  <si>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</si>
  <si>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</si>
  <si>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</si>
  <si>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</si>
  <si>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</si>
  <si>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</si>
  <si>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</si>
  <si>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</si>
  <si>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</si>
  <si>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</si>
  <si>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</si>
  <si>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</si>
  <si>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</si>
  <si>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</si>
  <si>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</si>
  <si>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</si>
  <si>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</si>
  <si>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</si>
  <si>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</si>
  <si>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</si>
  <si>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</si>
  <si>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</si>
  <si>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</si>
  <si>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</si>
  <si>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</si>
  <si>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</si>
  <si>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</si>
  <si>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</si>
  <si>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</si>
  <si>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</si>
  <si>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</si>
  <si>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</si>
  <si>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</si>
  <si>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</si>
  <si>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</si>
  <si>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</si>
  <si>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</si>
  <si>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</si>
  <si>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</si>
  <si>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</si>
  <si>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</si>
  <si>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</si>
  <si>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</si>
  <si>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</si>
  <si>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</si>
  <si>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</si>
  <si>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</si>
  <si>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</si>
  <si>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</si>
  <si>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</si>
  <si>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</si>
  <si>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</si>
  <si>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</si>
  <si>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</si>
  <si>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</si>
  <si>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</si>
  <si>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</si>
  <si>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</si>
  <si>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</si>
  <si>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</si>
  <si>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</si>
  <si>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</si>
  <si>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</si>
  <si>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</si>
  <si>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</si>
  <si>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</si>
  <si>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</si>
  <si>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</si>
  <si>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</si>
  <si>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</si>
  <si>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</si>
  <si>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</si>
  <si>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</si>
  <si>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</si>
  <si>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</si>
  <si>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</si>
  <si>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</si>
  <si>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</si>
  <si>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</si>
  <si>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</si>
  <si>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</si>
  <si>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</si>
  <si>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</si>
  <si>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</si>
  <si>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</si>
  <si>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</si>
  <si>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</si>
  <si>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</si>
  <si>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</si>
  <si>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</si>
  <si>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</si>
  <si>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</si>
  <si>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</si>
  <si>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</si>
  <si>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</si>
  <si>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</si>
  <si>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</si>
  <si>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</si>
  <si>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</si>
  <si>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</si>
  <si>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</si>
  <si>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</si>
  <si>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</si>
  <si>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</si>
  <si>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</si>
  <si>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</si>
  <si>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</si>
  <si>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</si>
  <si>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</si>
  <si>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</si>
  <si>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</si>
  <si>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</si>
  <si>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</si>
  <si>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</si>
  <si>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</si>
  <si>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</si>
  <si>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</si>
  <si>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</si>
  <si>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</si>
  <si>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</si>
  <si>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</si>
  <si>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</si>
  <si>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</si>
  <si>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</si>
  <si>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</si>
  <si>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</si>
  <si>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</si>
  <si>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</si>
  <si>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</si>
  <si>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</si>
  <si>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</si>
  <si>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</si>
  <si>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</si>
  <si>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</si>
  <si>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</si>
  <si>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</si>
  <si>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</si>
  <si>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</si>
  <si>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</si>
  <si>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</si>
  <si>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</si>
  <si>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</si>
  <si>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</si>
  <si>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</si>
  <si>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</si>
  <si>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</si>
  <si>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</si>
  <si>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</si>
  <si>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</si>
  <si>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</si>
  <si>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</si>
  <si>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</si>
  <si>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</si>
  <si>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</si>
  <si>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</si>
  <si>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</si>
  <si>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</si>
  <si>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</si>
  <si>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</si>
  <si>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</si>
  <si>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</si>
  <si>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</si>
  <si>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</si>
  <si>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</si>
  <si>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</si>
  <si>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</si>
  <si>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</si>
  <si>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</si>
  <si>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</si>
  <si>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</si>
  <si>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</si>
  <si>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</si>
  <si>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</si>
  <si>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</si>
  <si>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</si>
  <si>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</si>
  <si>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</si>
  <si>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</si>
  <si>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</si>
  <si>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</si>
  <si>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</si>
  <si>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</si>
  <si>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</si>
  <si>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</si>
  <si>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</si>
  <si>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</si>
  <si>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</si>
  <si>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</si>
  <si>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</si>
  <si>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</si>
  <si>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</si>
  <si>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</si>
  <si>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</si>
  <si>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</si>
  <si>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</si>
  <si>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</si>
  <si>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</si>
  <si>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</si>
  <si>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</si>
  <si>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</si>
  <si>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</si>
  <si>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</si>
  <si>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</si>
  <si>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</si>
  <si>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</si>
  <si>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</si>
  <si>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</si>
  <si>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</si>
  <si>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</si>
  <si>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</si>
  <si>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</si>
  <si>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</si>
  <si>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</si>
  <si>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</si>
  <si>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</si>
  <si>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</si>
  <si>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</si>
  <si>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</si>
  <si>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</si>
  <si>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</si>
  <si>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</si>
  <si>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</si>
  <si>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</si>
  <si>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</si>
  <si>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</si>
  <si>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</si>
  <si>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</si>
  <si>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</si>
  <si>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</si>
  <si>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</si>
  <si>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</si>
  <si>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</si>
  <si>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</si>
  <si>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</si>
  <si>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</si>
  <si>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</si>
  <si>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</si>
  <si>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</si>
  <si>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</si>
  <si>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</si>
  <si>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</si>
  <si>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</si>
  <si>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</si>
  <si>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</si>
  <si>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</si>
  <si>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</si>
  <si>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</si>
  <si>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</si>
  <si>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</si>
  <si>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</si>
  <si>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</si>
  <si>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</si>
  <si>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</si>
  <si>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</si>
  <si>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</si>
  <si>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</si>
  <si>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</si>
  <si>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</si>
  <si>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</si>
  <si>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</si>
  <si>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</si>
  <si>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</si>
  <si>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</si>
  <si>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</si>
  <si>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</si>
  <si>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</si>
  <si>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</si>
  <si>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</si>
  <si>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</si>
  <si>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</si>
  <si>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</si>
  <si>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</si>
  <si>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</si>
  <si>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</si>
  <si>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</si>
  <si>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</si>
  <si>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</si>
  <si>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</si>
  <si>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</si>
  <si>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</si>
  <si>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</si>
  <si>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</si>
  <si>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</si>
  <si>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</si>
  <si>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</si>
  <si>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</si>
  <si>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</si>
  <si>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</si>
  <si>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</si>
  <si>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</si>
  <si>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</si>
  <si>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</si>
  <si>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</si>
  <si>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</si>
  <si>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</si>
  <si>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</si>
  <si>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</si>
  <si>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</si>
  <si>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</si>
  <si>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</si>
  <si>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</si>
  <si>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</si>
  <si>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</si>
  <si>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</si>
  <si>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</si>
  <si>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</si>
  <si>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</si>
  <si>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</si>
  <si>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</si>
  <si>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</si>
  <si>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</si>
  <si>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</si>
  <si>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</si>
  <si>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</si>
  <si>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</si>
  <si>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</si>
  <si>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</si>
  <si>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</si>
  <si>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</si>
  <si>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</si>
  <si>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</si>
  <si>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</si>
  <si>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</si>
  <si>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</si>
  <si>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</si>
  <si>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</si>
  <si>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</si>
  <si>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</si>
  <si>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</si>
  <si>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</si>
  <si>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</si>
  <si>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</si>
  <si>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</si>
  <si>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</si>
  <si>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</si>
  <si>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</si>
  <si>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</si>
  <si>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</si>
  <si>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</si>
  <si>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</si>
  <si>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</si>
  <si>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</si>
  <si>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</si>
  <si>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</si>
  <si>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</si>
  <si>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</si>
  <si>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</si>
  <si>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</si>
  <si>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</si>
  <si>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</si>
  <si>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</si>
  <si>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</si>
  <si>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</si>
  <si>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</si>
  <si>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</si>
  <si>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</si>
  <si>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</si>
  <si>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</si>
  <si>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</si>
  <si>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</si>
  <si>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</si>
  <si>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</si>
  <si>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</si>
  <si>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</si>
  <si>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</si>
  <si>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</si>
  <si>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</si>
  <si>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</si>
  <si>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</si>
  <si>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</si>
  <si>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</si>
  <si>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</si>
  <si>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</si>
  <si>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</si>
  <si>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</si>
  <si>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</si>
  <si>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</si>
  <si>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</si>
  <si>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</si>
  <si>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</si>
  <si>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</si>
  <si>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</si>
  <si>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</si>
  <si>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</si>
  <si>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</si>
  <si>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</si>
  <si>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</si>
  <si>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</si>
  <si>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</si>
  <si>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</si>
  <si>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</si>
  <si>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</si>
  <si>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</si>
  <si>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</si>
  <si>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</si>
  <si>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</si>
  <si>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</si>
  <si>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</si>
  <si>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</si>
  <si>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</si>
  <si>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</si>
  <si>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</si>
  <si>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</si>
  <si>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</si>
  <si>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</si>
  <si>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</si>
  <si>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</si>
  <si>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</si>
  <si>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</si>
  <si>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</si>
  <si>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</si>
  <si>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</si>
  <si>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</si>
  <si>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</si>
  <si>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</si>
  <si>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</si>
  <si>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</si>
  <si>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</si>
  <si>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</si>
  <si>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</si>
  <si>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</si>
  <si>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</si>
  <si>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</si>
  <si>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</si>
  <si>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</si>
  <si>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</si>
  <si>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</si>
  <si>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</si>
  <si>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</si>
  <si>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</si>
  <si>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</si>
  <si>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</si>
  <si>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</si>
  <si>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</si>
  <si>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</si>
  <si>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</si>
  <si>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</si>
  <si>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</si>
  <si>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</si>
  <si>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</si>
  <si>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</si>
  <si>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</si>
  <si>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</si>
  <si>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</si>
  <si>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</si>
  <si>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</si>
  <si>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</si>
  <si>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</si>
  <si>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</si>
  <si>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</si>
  <si>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</si>
  <si>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</si>
  <si>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</si>
  <si>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</si>
  <si>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</si>
  <si>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</si>
  <si>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</si>
  <si>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</si>
  <si>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</si>
  <si>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</si>
  <si>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</si>
  <si>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</si>
  <si>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</si>
  <si>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</si>
  <si>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</si>
  <si>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</si>
  <si>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</si>
  <si>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</si>
  <si>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</si>
  <si>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</si>
  <si>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</si>
  <si>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</si>
  <si>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</si>
  <si>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</si>
  <si>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</si>
  <si>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</si>
  <si>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</si>
  <si>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</si>
  <si>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</si>
  <si>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</si>
  <si>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</si>
  <si>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</si>
  <si>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</si>
  <si>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</si>
  <si>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</si>
  <si>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</si>
  <si>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</si>
  <si>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</si>
  <si>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</si>
  <si>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</si>
  <si>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</si>
  <si>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</si>
  <si>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</si>
  <si>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</si>
  <si>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</si>
  <si>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</si>
  <si>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</si>
  <si>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</si>
  <si>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</si>
  <si>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</si>
  <si>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</si>
  <si>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</si>
  <si>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</si>
  <si>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</si>
  <si>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</si>
  <si>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</si>
  <si>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</si>
  <si>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</si>
  <si>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</si>
  <si>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</si>
  <si>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</si>
  <si>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</si>
  <si>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</si>
  <si>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</si>
  <si>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</si>
  <si>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</si>
  <si>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</si>
  <si>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</si>
  <si>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</si>
  <si>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</si>
  <si>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</si>
  <si>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</si>
  <si>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</si>
  <si>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</si>
  <si>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</si>
  <si>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</si>
  <si>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</si>
  <si>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</si>
  <si>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</si>
  <si>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</si>
  <si>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</si>
  <si>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</si>
  <si>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</si>
  <si>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</si>
  <si>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</si>
  <si>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</si>
  <si>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</si>
  <si>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</si>
  <si>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</si>
  <si>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</si>
  <si>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</si>
  <si>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</si>
  <si>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</si>
  <si>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</si>
  <si>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</si>
  <si>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</si>
  <si>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</si>
  <si>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</si>
  <si>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</si>
  <si>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</si>
  <si>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</si>
  <si>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</si>
  <si>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</si>
  <si>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</si>
  <si>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</si>
  <si>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</si>
  <si>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</si>
  <si>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</si>
  <si>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</si>
  <si>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</si>
  <si>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</si>
  <si>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</si>
  <si>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</si>
  <si>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</si>
  <si>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</si>
  <si>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</si>
  <si>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</si>
  <si>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</si>
  <si>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</si>
  <si>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</si>
  <si>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</si>
  <si>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</si>
  <si>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</si>
  <si>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</si>
  <si>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</si>
  <si>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</si>
  <si>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</si>
  <si>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</si>
  <si>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</si>
  <si>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</si>
  <si>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</si>
  <si>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</si>
  <si>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</si>
  <si>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</si>
  <si>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</si>
  <si>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</si>
  <si>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</si>
  <si>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</si>
  <si>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</si>
  <si>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</si>
  <si>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</si>
  <si>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</si>
  <si>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</si>
  <si>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</si>
  <si>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</si>
  <si>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</si>
  <si>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</si>
  <si>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</si>
  <si>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</si>
  <si>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</si>
  <si>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</si>
  <si>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</si>
  <si>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</si>
  <si>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</si>
  <si>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</si>
  <si>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</si>
  <si>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</si>
  <si>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</si>
  <si>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</si>
  <si>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</si>
  <si>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</si>
  <si>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</si>
  <si>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</si>
  <si>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</si>
  <si>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</si>
  <si>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</si>
  <si>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</si>
  <si>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</si>
  <si>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</si>
  <si>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</si>
  <si>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</si>
  <si>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</si>
  <si>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</si>
  <si>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</si>
  <si>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</si>
  <si>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</si>
  <si>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</si>
  <si>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</si>
  <si>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</si>
  <si>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</si>
  <si>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</si>
  <si>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</si>
  <si>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</si>
  <si>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</si>
  <si>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</si>
  <si>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</si>
  <si>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</si>
  <si>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</si>
  <si>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</si>
  <si>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</si>
  <si>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</si>
  <si>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</si>
  <si>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</si>
  <si>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</si>
  <si>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</si>
  <si>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</si>
  <si>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</si>
  <si>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</si>
  <si>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</si>
  <si>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</si>
  <si>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</si>
  <si>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</si>
  <si>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</si>
  <si>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</si>
  <si>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</si>
  <si>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</si>
  <si>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</si>
  <si>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</si>
  <si>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</si>
  <si>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</si>
  <si>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</si>
  <si>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</si>
  <si>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</si>
  <si>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</si>
  <si>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</si>
  <si>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</si>
  <si>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</si>
  <si>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</si>
  <si>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</si>
  <si>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</si>
  <si>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</si>
  <si>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</si>
  <si>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</si>
  <si>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</si>
  <si>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</si>
  <si>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</si>
  <si>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</si>
  <si>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</si>
  <si>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</si>
  <si>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</si>
  <si>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</si>
  <si>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</si>
  <si>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</si>
  <si>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</si>
  <si>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</si>
  <si>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</si>
  <si>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</si>
  <si>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</si>
  <si>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</si>
  <si>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</si>
  <si>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</si>
  <si>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</si>
  <si>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</si>
  <si>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</si>
  <si>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</si>
  <si>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</si>
  <si>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</si>
  <si>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</si>
  <si>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</si>
  <si>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</si>
  <si>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</si>
  <si>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</si>
  <si>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</si>
  <si>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</si>
  <si>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</si>
  <si>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</si>
  <si>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</si>
  <si>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</si>
  <si>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</si>
  <si>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</si>
  <si>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</si>
  <si>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</si>
  <si>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</si>
  <si>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</si>
  <si>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</si>
  <si>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</si>
  <si>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</si>
  <si>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</si>
  <si>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</si>
  <si>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</si>
  <si>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</si>
  <si>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</si>
  <si>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</si>
  <si>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</si>
  <si>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</si>
  <si>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</si>
  <si>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</si>
  <si>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</si>
  <si>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</si>
  <si>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</si>
  <si>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</si>
  <si>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</si>
  <si>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</si>
  <si>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</si>
  <si>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</si>
  <si>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</si>
  <si>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</si>
  <si>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</si>
  <si>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</si>
  <si>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</si>
  <si>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</si>
  <si>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</si>
  <si>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</si>
  <si>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</si>
  <si>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</si>
  <si>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</si>
  <si>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</si>
  <si>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</si>
  <si>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</si>
  <si>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</si>
  <si>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</si>
  <si>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</si>
  <si>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</si>
  <si>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</si>
  <si>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</si>
  <si>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</si>
  <si>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</si>
  <si>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</si>
  <si>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</si>
  <si>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</si>
  <si>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</si>
  <si>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</si>
  <si>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</si>
  <si>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</si>
  <si>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</si>
  <si>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</si>
  <si>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</si>
  <si>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</si>
  <si>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</si>
  <si>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</si>
  <si>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</si>
  <si>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</si>
  <si>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</si>
  <si>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</si>
  <si>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</si>
  <si>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</si>
  <si>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</si>
  <si>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</si>
  <si>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</si>
  <si>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</si>
  <si>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</si>
  <si>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</si>
  <si>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</si>
  <si>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</si>
  <si>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</si>
  <si>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</si>
  <si>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</si>
  <si>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</si>
  <si>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</si>
  <si>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</si>
  <si>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</si>
  <si>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</si>
  <si>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</si>
  <si>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</si>
  <si>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</si>
  <si>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</si>
  <si>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</si>
  <si>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</si>
  <si>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</si>
  <si>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</si>
  <si>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</si>
  <si>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</si>
  <si>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</si>
  <si>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</si>
  <si>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</si>
  <si>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</si>
  <si>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</si>
  <si>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</si>
  <si>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</si>
  <si>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</si>
  <si>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</si>
  <si>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</si>
  <si>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</si>
  <si>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</si>
  <si>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</si>
  <si>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</si>
  <si>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</si>
  <si>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</si>
  <si>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</si>
  <si>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</si>
  <si>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</si>
  <si>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</si>
  <si>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</si>
  <si>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</si>
  <si>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</si>
  <si>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</si>
  <si>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</si>
  <si>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</si>
  <si>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</si>
  <si>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</si>
  <si>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</si>
  <si>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</si>
  <si>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</si>
  <si>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</si>
  <si>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</si>
  <si>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</si>
  <si>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</si>
  <si>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</si>
  <si>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</si>
  <si>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</si>
  <si>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</si>
  <si>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</si>
  <si>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</si>
  <si>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</si>
  <si>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</si>
  <si>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</si>
  <si>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</si>
  <si>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</si>
  <si>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</si>
  <si>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</si>
  <si>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</si>
  <si>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</si>
  <si>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</si>
  <si>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</si>
  <si>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</si>
  <si>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</si>
  <si>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</si>
  <si>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</si>
  <si>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</si>
  <si>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</si>
  <si>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</si>
  <si>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</si>
  <si>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</si>
  <si>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</si>
  <si>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</si>
  <si>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</si>
  <si>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</si>
  <si>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</si>
  <si>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</si>
  <si>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</si>
  <si>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</si>
  <si>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</si>
  <si>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</si>
  <si>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</si>
  <si>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</si>
  <si>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</si>
  <si>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</si>
  <si>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</si>
  <si>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</si>
  <si>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</si>
  <si>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</si>
  <si>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</si>
  <si>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</si>
  <si>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</si>
  <si>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</si>
  <si>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</si>
  <si>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</si>
  <si>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</si>
  <si>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</si>
  <si>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</si>
  <si>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</si>
  <si>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</si>
  <si>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</si>
  <si>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</si>
  <si>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</si>
  <si>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</si>
  <si>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</si>
  <si>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</si>
  <si>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</si>
  <si>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</si>
  <si>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</si>
  <si>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</si>
  <si>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</si>
  <si>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</si>
  <si>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</si>
  <si>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</si>
  <si>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</si>
  <si>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</si>
  <si>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</si>
  <si>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</si>
  <si>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</si>
  <si>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</si>
  <si>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</si>
  <si>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</si>
  <si>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</si>
  <si>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</si>
  <si>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</si>
  <si>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</si>
  <si>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</si>
  <si>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</si>
  <si>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</si>
  <si>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</si>
  <si>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</si>
  <si>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</si>
  <si>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</si>
  <si>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</si>
  <si>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</si>
  <si>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</si>
  <si>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</si>
  <si>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</si>
  <si>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</si>
  <si>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</si>
  <si>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</si>
  <si>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</si>
  <si>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</si>
  <si>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</si>
  <si>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</si>
  <si>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</si>
  <si>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</si>
  <si>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</si>
  <si>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</si>
  <si>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</si>
  <si>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</si>
  <si>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</si>
  <si>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</si>
  <si>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</si>
  <si>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</si>
  <si>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</si>
  <si>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</si>
  <si>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</si>
  <si>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</si>
  <si>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</si>
  <si>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</si>
  <si>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</si>
  <si>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</si>
  <si>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</si>
  <si>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</si>
  <si>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</si>
  <si>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</si>
  <si>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</si>
  <si>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</si>
  <si>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</si>
  <si>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</si>
  <si>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</si>
  <si>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</si>
  <si>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</si>
  <si>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</si>
  <si>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</si>
  <si>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</si>
  <si>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</si>
  <si>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</si>
  <si>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</si>
  <si>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</si>
  <si>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</si>
  <si>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</si>
  <si>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</si>
  <si>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</si>
  <si>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</si>
  <si>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</si>
  <si>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</si>
  <si>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</si>
  <si>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</si>
  <si>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</si>
  <si>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</si>
  <si>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</si>
  <si>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</si>
  <si>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</si>
  <si>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</si>
  <si>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</si>
  <si>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</si>
  <si>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</si>
  <si>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</si>
  <si>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</si>
  <si>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</si>
  <si>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</si>
  <si>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</si>
  <si>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</si>
  <si>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</si>
  <si>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</si>
  <si>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</si>
  <si>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</si>
  <si>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</si>
  <si>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</si>
  <si>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</si>
  <si>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</si>
  <si>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</si>
  <si>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</si>
  <si>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</si>
  <si>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</si>
  <si>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</si>
  <si>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</si>
  <si>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</si>
  <si>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</si>
  <si>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</si>
  <si>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</si>
  <si>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</si>
  <si>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</si>
  <si>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</si>
  <si>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</si>
  <si>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</si>
  <si>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</si>
  <si>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</si>
  <si>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</si>
  <si>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</si>
  <si>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</si>
  <si>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</si>
  <si>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</si>
  <si>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</si>
  <si>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</si>
  <si>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</si>
  <si>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</si>
  <si>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</si>
  <si>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</si>
  <si>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</si>
  <si>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</si>
  <si>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</si>
  <si>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</si>
  <si>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</si>
  <si>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</si>
  <si>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</si>
  <si>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</si>
  <si>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</si>
  <si>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</si>
  <si>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</si>
  <si>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</si>
  <si>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</si>
  <si>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</si>
  <si>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</si>
  <si>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</si>
  <si>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</si>
  <si>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</si>
  <si>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</si>
  <si>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</si>
  <si>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</si>
  <si>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</si>
  <si>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</si>
  <si>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</si>
  <si>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</si>
  <si>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</si>
  <si>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</si>
  <si>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</si>
  <si>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</si>
  <si>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</si>
  <si>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</si>
  <si>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</si>
  <si>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</si>
  <si>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</si>
  <si>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</si>
  <si>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</si>
  <si>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</si>
  <si>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</si>
  <si>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</si>
  <si>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</si>
  <si>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</si>
  <si>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</si>
  <si>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</si>
  <si>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</si>
  <si>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</si>
  <si>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</si>
  <si>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</si>
  <si>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</si>
  <si>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</si>
  <si>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</si>
  <si>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</si>
  <si>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</si>
  <si>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</si>
  <si>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</si>
  <si>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</si>
  <si>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</si>
  <si>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</si>
  <si>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</si>
  <si>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</si>
  <si>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</si>
  <si>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</si>
  <si>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</si>
  <si>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</si>
  <si>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</si>
  <si>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</si>
  <si>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</si>
  <si>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</si>
  <si>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</si>
  <si>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</si>
  <si>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</si>
  <si>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</si>
  <si>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</si>
  <si>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</si>
  <si>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</si>
  <si>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</si>
  <si>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</si>
  <si>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</si>
  <si>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</si>
  <si>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</si>
  <si>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</si>
  <si>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</si>
  <si>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</si>
  <si>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</si>
  <si>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</si>
  <si>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</si>
  <si>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</si>
  <si>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</si>
  <si>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</si>
  <si>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</si>
  <si>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</si>
  <si>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</si>
  <si>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</si>
  <si>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</si>
  <si>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</si>
  <si>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</si>
  <si>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</si>
  <si>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</si>
  <si>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</si>
  <si>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</si>
  <si>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</si>
  <si>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</si>
  <si>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</si>
  <si>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</si>
  <si>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</si>
  <si>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</si>
  <si>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</si>
  <si>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</si>
  <si>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</si>
  <si>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</si>
  <si>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</si>
  <si>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</si>
  <si>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</si>
  <si>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</si>
  <si>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</si>
  <si>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</si>
  <si>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</si>
  <si>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</si>
  <si>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</si>
  <si>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</si>
  <si>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</si>
  <si>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</si>
  <si>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</si>
  <si>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</si>
  <si>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</si>
  <si>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</si>
  <si>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</si>
  <si>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</si>
  <si>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</si>
  <si>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</si>
  <si>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</si>
  <si>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</si>
  <si>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</si>
  <si>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</si>
  <si>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</si>
  <si>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</si>
  <si>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</si>
  <si>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</si>
  <si>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</si>
  <si>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</si>
  <si>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</si>
  <si>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</si>
  <si>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</si>
  <si>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</si>
  <si>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</si>
  <si>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</si>
  <si>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</si>
  <si>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</si>
  <si>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</si>
  <si>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</si>
  <si>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</si>
  <si>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</si>
  <si>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</si>
  <si>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</si>
  <si>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</si>
  <si>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</si>
  <si>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</si>
  <si>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</si>
  <si>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</si>
  <si>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</si>
  <si>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</si>
  <si>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</si>
  <si>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</si>
  <si>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</si>
  <si>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</si>
  <si>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</si>
  <si>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</si>
  <si>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</si>
  <si>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</si>
  <si>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</si>
  <si>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</si>
  <si>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</si>
  <si>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</si>
  <si>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</si>
  <si>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</si>
  <si>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</si>
  <si>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</si>
  <si>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</si>
  <si>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</si>
  <si>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</si>
  <si>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</si>
  <si>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</si>
  <si>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</si>
  <si>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</si>
  <si>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</si>
  <si>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</si>
  <si>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</si>
  <si>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</si>
  <si>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</si>
  <si>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</si>
  <si>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</si>
  <si>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</si>
  <si>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</si>
  <si>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</si>
  <si>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</si>
  <si>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</si>
  <si>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</si>
  <si>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</si>
  <si>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</si>
  <si>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</si>
  <si>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</si>
  <si>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</si>
  <si>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</si>
  <si>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</si>
  <si>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</si>
  <si>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</si>
  <si>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</si>
  <si>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</si>
  <si>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</si>
  <si>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</si>
  <si>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</si>
  <si>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</si>
  <si>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</si>
  <si>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</si>
  <si>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</si>
  <si>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</si>
  <si>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</si>
  <si>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</si>
  <si>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</si>
  <si>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</si>
  <si>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</si>
  <si>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</si>
  <si>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</si>
  <si>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</si>
  <si>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</si>
  <si>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</si>
  <si>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</si>
  <si>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</si>
  <si>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</si>
  <si>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</si>
  <si>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</si>
  <si>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</si>
  <si>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</si>
  <si>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</si>
  <si>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</si>
  <si>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</si>
  <si>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</si>
  <si>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</si>
  <si>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</si>
  <si>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</si>
  <si>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</si>
  <si>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</si>
  <si>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</si>
  <si>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</si>
  <si>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</si>
  <si>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</si>
  <si>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</si>
  <si>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</si>
  <si>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</si>
  <si>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</si>
  <si>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</si>
  <si>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</si>
  <si>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</si>
  <si>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</si>
  <si>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</si>
  <si>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</si>
  <si>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</si>
  <si>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</si>
  <si>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</si>
  <si>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</si>
  <si>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</si>
  <si>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</si>
  <si>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</si>
  <si>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</si>
  <si>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</si>
  <si>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</si>
  <si>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</si>
  <si>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</si>
  <si>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</si>
  <si>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</si>
  <si>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</si>
  <si>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</si>
  <si>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</si>
  <si>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</si>
  <si>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</si>
  <si>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</si>
  <si>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</si>
  <si>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</si>
  <si>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</si>
  <si>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</si>
  <si>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</si>
  <si>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</si>
  <si>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</si>
  <si>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</si>
  <si>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</si>
  <si>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</si>
  <si>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</si>
  <si>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</si>
  <si>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</si>
  <si>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</si>
  <si>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</si>
  <si>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</si>
  <si>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</si>
  <si>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</si>
  <si>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</si>
  <si>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</si>
  <si>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</si>
  <si>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</si>
  <si>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</si>
  <si>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</si>
  <si>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</si>
  <si>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</si>
  <si>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</si>
  <si>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</si>
  <si>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</si>
  <si>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</si>
  <si>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</si>
  <si>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</si>
  <si>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</si>
  <si>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</si>
  <si>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</si>
  <si>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</si>
  <si>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</si>
  <si>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</si>
  <si>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</si>
  <si>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</si>
  <si>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</si>
  <si>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</si>
  <si>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</si>
  <si>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</si>
  <si>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</si>
  <si>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</si>
  <si>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</si>
  <si>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</si>
  <si>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</si>
  <si>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</si>
  <si>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</si>
  <si>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</si>
  <si>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</si>
  <si>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</si>
  <si>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</si>
  <si>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</si>
  <si>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</si>
  <si>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</si>
  <si>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</si>
  <si>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</si>
  <si>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</si>
  <si>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</si>
  <si>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</si>
  <si>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</si>
  <si>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</si>
  <si>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</si>
  <si>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</si>
  <si>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</si>
  <si>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</si>
  <si>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</si>
  <si>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</si>
  <si>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</si>
  <si>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</si>
  <si>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</si>
  <si>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</si>
  <si>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</si>
  <si>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</si>
  <si>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</si>
  <si>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</si>
  <si>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</si>
  <si>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</si>
  <si>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</si>
  <si>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</si>
  <si>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</si>
  <si>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</si>
  <si>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</si>
  <si>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</si>
  <si>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</si>
  <si>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</si>
  <si>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</si>
  <si>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</si>
  <si>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</si>
  <si>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</si>
  <si>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</si>
  <si>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</si>
  <si>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</si>
  <si>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</si>
  <si>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</si>
  <si>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</si>
  <si>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</si>
  <si>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</si>
  <si>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</si>
  <si>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</si>
  <si>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</si>
  <si>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</si>
  <si>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</si>
  <si>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</si>
  <si>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</si>
  <si>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</si>
  <si>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</si>
  <si>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</si>
  <si>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</si>
  <si>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</si>
  <si>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</si>
  <si>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</si>
  <si>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</si>
  <si>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</si>
  <si>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</si>
  <si>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</si>
  <si>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</si>
  <si>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</si>
  <si>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</si>
  <si>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</si>
  <si>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</si>
  <si>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</si>
  <si>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</si>
  <si>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</si>
  <si>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</si>
  <si>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</si>
  <si>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</si>
  <si>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</si>
  <si>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</si>
  <si>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</si>
  <si>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</si>
  <si>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</si>
  <si>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</si>
  <si>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</si>
  <si>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</si>
  <si>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</si>
  <si>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</si>
  <si>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</si>
  <si>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</si>
  <si>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</si>
  <si>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</si>
  <si>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</si>
  <si>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</si>
  <si>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</si>
  <si>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</si>
  <si>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</si>
  <si>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</si>
  <si>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</si>
  <si>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</si>
  <si>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</si>
  <si>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</si>
  <si>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</si>
  <si>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</si>
  <si>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</si>
  <si>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</si>
  <si>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</si>
  <si>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</si>
  <si>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</si>
  <si>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</si>
  <si>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</si>
  <si>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</si>
  <si>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</si>
  <si>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</si>
  <si>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</si>
  <si>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</si>
  <si>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</si>
  <si>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</si>
  <si>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</si>
  <si>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</si>
  <si>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</si>
  <si>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</si>
  <si>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</si>
  <si>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</si>
  <si>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</si>
  <si>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</si>
  <si>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</si>
  <si>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</si>
  <si>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</si>
  <si>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</si>
  <si>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</si>
  <si>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</si>
  <si>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</si>
  <si>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</si>
  <si>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</si>
  <si>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</si>
  <si>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</si>
  <si>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</si>
  <si>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</si>
  <si>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</si>
  <si>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</si>
  <si>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</si>
  <si>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</si>
  <si>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</si>
  <si>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</si>
  <si>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</si>
  <si>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</si>
  <si>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</si>
  <si>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</si>
  <si>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</si>
  <si>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</si>
  <si>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</si>
  <si>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</si>
  <si>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</si>
  <si>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</si>
  <si>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</si>
  <si>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</si>
  <si>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</si>
  <si>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</si>
  <si>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</si>
  <si>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</si>
  <si>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</si>
  <si>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</si>
  <si>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</si>
  <si>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</si>
  <si>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</si>
  <si>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</si>
  <si>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</si>
  <si>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</si>
  <si>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</si>
  <si>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</si>
  <si>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</si>
  <si>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</si>
  <si>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</si>
  <si>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</si>
  <si>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</si>
  <si>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</si>
  <si>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</si>
  <si>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</si>
  <si>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</si>
  <si>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</si>
  <si>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</si>
  <si>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</si>
  <si>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</si>
  <si>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</si>
  <si>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</si>
  <si>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</si>
  <si>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</si>
  <si>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</si>
  <si>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</si>
  <si>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</si>
  <si>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</si>
  <si>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</si>
  <si>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</si>
  <si>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</si>
  <si>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</si>
  <si>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</si>
  <si>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</si>
  <si>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</si>
  <si>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</si>
  <si>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</si>
  <si>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</si>
  <si>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</si>
  <si>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</si>
  <si>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</si>
  <si>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</si>
  <si>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</si>
  <si>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</si>
  <si>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</si>
  <si>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</si>
  <si>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</si>
  <si>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</si>
  <si>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</si>
  <si>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</si>
  <si>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</si>
  <si>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</si>
  <si>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</si>
  <si>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</si>
  <si>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</si>
  <si>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</si>
  <si>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</si>
  <si>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</si>
  <si>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</si>
  <si>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</si>
  <si>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</si>
  <si>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</si>
  <si>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</si>
  <si>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</si>
  <si>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</si>
  <si>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</si>
  <si>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</si>
  <si>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</si>
  <si>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</si>
  <si>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</si>
  <si>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</si>
  <si>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</si>
  <si>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</si>
  <si>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</si>
  <si>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</si>
  <si>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</si>
  <si>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</si>
  <si>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</si>
  <si>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</si>
  <si>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</si>
  <si>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</si>
  <si>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</si>
  <si>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</si>
  <si>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</si>
  <si>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</si>
  <si>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</si>
  <si>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</si>
  <si>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</si>
  <si>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</si>
  <si>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</si>
  <si>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</si>
  <si>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</si>
  <si>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</si>
  <si>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</si>
  <si>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</si>
  <si>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</si>
  <si>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</si>
  <si>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</si>
  <si>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</si>
  <si>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</si>
  <si>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</si>
  <si>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</si>
  <si>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</si>
  <si>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</si>
  <si>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</si>
  <si>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</si>
  <si>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</si>
  <si>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</si>
  <si>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</si>
  <si>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</si>
  <si>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</si>
  <si>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</si>
  <si>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</si>
  <si>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</si>
  <si>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</si>
  <si>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</si>
  <si>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</si>
  <si>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</si>
  <si>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</si>
  <si>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</si>
  <si>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</si>
  <si>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</si>
  <si>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</si>
  <si>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</si>
  <si>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</si>
  <si>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</si>
  <si>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</si>
  <si>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</si>
  <si>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</si>
  <si>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</si>
  <si>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</si>
  <si>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</si>
  <si>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</si>
  <si>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</si>
  <si>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</si>
  <si>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</si>
  <si>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</si>
  <si>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</si>
  <si>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</si>
  <si>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</si>
  <si>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</si>
  <si>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</si>
  <si>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</si>
  <si>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</si>
  <si>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</si>
  <si>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</si>
  <si>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</si>
  <si>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</si>
  <si>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</si>
  <si>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</si>
  <si>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</si>
  <si>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</si>
  <si>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</si>
  <si>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</si>
  <si>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</si>
  <si>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</si>
  <si>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</si>
  <si>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</si>
  <si>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</si>
  <si>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</si>
  <si>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</si>
  <si>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</si>
  <si>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</si>
  <si>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</si>
  <si>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</si>
  <si>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</si>
  <si>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</si>
  <si>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</si>
  <si>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</si>
  <si>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</si>
  <si>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</si>
  <si>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</si>
  <si>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</si>
  <si>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</si>
  <si>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</si>
  <si>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</si>
  <si>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</si>
  <si>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</si>
  <si>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</si>
  <si>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</si>
  <si>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</si>
  <si>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</si>
  <si>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</si>
  <si>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</si>
  <si>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</si>
  <si>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</si>
  <si>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</si>
  <si>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</si>
  <si>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</si>
  <si>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</si>
  <si>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</si>
  <si>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</si>
  <si>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</si>
  <si>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</si>
  <si>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</si>
  <si>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</si>
  <si>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</si>
  <si>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</si>
  <si>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</si>
  <si>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</si>
  <si>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</si>
  <si>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</si>
  <si>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</si>
  <si>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</si>
  <si>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</si>
  <si>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</si>
  <si>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</si>
  <si>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</si>
  <si>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</si>
  <si>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</si>
  <si>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</si>
  <si>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</si>
  <si>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</si>
  <si>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</si>
  <si>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</si>
  <si>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</si>
  <si>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</si>
  <si>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</si>
  <si>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</si>
  <si>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</si>
  <si>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</si>
  <si>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</si>
  <si>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</si>
  <si>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</si>
  <si>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</si>
  <si>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</si>
  <si>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</si>
  <si>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</si>
  <si>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</si>
  <si>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</si>
  <si>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</si>
  <si>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</si>
  <si>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</si>
  <si>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</si>
  <si>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</si>
  <si>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</si>
  <si>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</si>
  <si>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</si>
  <si>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</si>
  <si>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</si>
  <si>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</si>
  <si>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</si>
  <si>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</si>
  <si>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</si>
  <si>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</si>
  <si>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</si>
  <si>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</si>
  <si>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</si>
  <si>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</si>
  <si>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</si>
  <si>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</si>
  <si>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</si>
  <si>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</si>
  <si>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</si>
  <si>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</si>
  <si>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</si>
  <si>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</si>
  <si>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</si>
  <si>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</si>
  <si>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</si>
  <si>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</si>
  <si>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</si>
  <si>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</si>
  <si>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</si>
  <si>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</si>
  <si>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</si>
  <si>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</si>
  <si>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</si>
  <si>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</si>
  <si>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</si>
  <si>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</si>
  <si>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</si>
  <si>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</si>
  <si>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</si>
  <si>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</si>
  <si>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</si>
  <si>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</si>
  <si>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</si>
  <si>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</si>
  <si>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</si>
  <si>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</si>
  <si>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</si>
  <si>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</si>
  <si>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</si>
  <si>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</si>
  <si>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</si>
  <si>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</si>
  <si>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</si>
  <si>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</si>
  <si>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</si>
  <si>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</si>
  <si>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</si>
  <si>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</si>
  <si>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</si>
  <si>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</si>
  <si>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</si>
  <si>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</si>
  <si>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</si>
  <si>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</si>
  <si>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</si>
  <si>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</si>
  <si>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</si>
  <si>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</si>
  <si>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</si>
  <si>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</si>
  <si>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</si>
  <si>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</si>
  <si>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</si>
  <si>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</si>
  <si>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</si>
  <si>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</si>
  <si>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</si>
  <si>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</si>
  <si>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</si>
  <si>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</si>
  <si>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</si>
  <si>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</si>
  <si>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</si>
  <si>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</si>
  <si>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</si>
  <si>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</si>
  <si>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</si>
  <si>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</si>
  <si>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</si>
  <si>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</si>
  <si>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</si>
  <si>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</si>
  <si>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</si>
  <si>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</si>
  <si>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</si>
  <si>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</si>
  <si>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</si>
  <si>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</si>
  <si>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</si>
  <si>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</si>
  <si>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</si>
  <si>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</si>
  <si>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</si>
  <si>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</si>
  <si>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</si>
  <si>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</si>
  <si>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</si>
  <si>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</si>
  <si>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</si>
  <si>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</si>
  <si>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</si>
  <si>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</si>
  <si>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</si>
  <si>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</si>
  <si>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</si>
  <si>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</si>
  <si>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</si>
  <si>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</si>
  <si>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</si>
  <si>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</si>
  <si>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</si>
  <si>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</si>
  <si>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</si>
  <si>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</si>
  <si>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</si>
  <si>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</si>
  <si>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</si>
  <si>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</si>
  <si>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</si>
  <si>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</si>
  <si>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</si>
  <si>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</si>
  <si>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</si>
  <si>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</si>
  <si>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</si>
  <si>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</si>
  <si>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</si>
  <si>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</si>
  <si>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</si>
  <si>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</si>
  <si>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</si>
  <si>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</si>
  <si>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</si>
  <si>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</si>
  <si>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</si>
  <si>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</si>
  <si>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</si>
  <si>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</si>
  <si>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</si>
  <si>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</si>
  <si>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</si>
  <si>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</si>
  <si>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</si>
  <si>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</si>
  <si>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</si>
  <si>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</si>
  <si>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</si>
  <si>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</si>
  <si>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</si>
  <si>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</si>
  <si>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</si>
  <si>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</si>
  <si>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</si>
  <si>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</si>
  <si>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</si>
  <si>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</si>
  <si>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</si>
  <si>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</si>
  <si>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</si>
  <si>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</si>
  <si>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</si>
  <si>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</si>
  <si>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</si>
  <si>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</si>
  <si>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</si>
  <si>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</si>
  <si>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</si>
  <si>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</si>
  <si>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</si>
  <si>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</si>
  <si>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</si>
  <si>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</si>
  <si>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</si>
  <si>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</si>
  <si>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</si>
  <si>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</si>
  <si>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</si>
  <si>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</si>
  <si>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</si>
  <si>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</si>
  <si>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</si>
  <si>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</si>
  <si>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</si>
  <si>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</si>
  <si>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</si>
  <si>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</si>
  <si>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</si>
  <si>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</si>
  <si>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</si>
  <si>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</si>
  <si>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</si>
  <si>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</si>
  <si>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</si>
  <si>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</si>
  <si>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</si>
  <si>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</si>
  <si>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</si>
  <si>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</si>
  <si>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</si>
  <si>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</si>
  <si>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</si>
  <si>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</si>
  <si>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</si>
  <si>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</si>
  <si>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</si>
  <si>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</si>
  <si>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</si>
  <si>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</si>
  <si>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</si>
  <si>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</si>
  <si>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</si>
  <si>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</si>
  <si>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</si>
  <si>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</si>
  <si>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</si>
  <si>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</si>
  <si>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</si>
  <si>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</si>
  <si>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</si>
  <si>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</si>
  <si>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</si>
  <si>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</si>
  <si>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</si>
  <si>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</si>
  <si>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</si>
  <si>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</si>
  <si>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</si>
  <si>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</si>
  <si>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</si>
  <si>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</si>
  <si>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</si>
  <si>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</si>
  <si>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</si>
  <si>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</si>
  <si>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</si>
  <si>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</si>
  <si>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</si>
  <si>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</si>
  <si>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</si>
  <si>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</si>
  <si>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</si>
  <si>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</si>
  <si>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</si>
  <si>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</si>
  <si>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</si>
  <si>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</si>
  <si>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</si>
  <si>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</si>
  <si>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</si>
  <si>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</si>
  <si>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</si>
  <si>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</si>
  <si>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</si>
  <si>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</si>
  <si>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</si>
  <si>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</si>
  <si>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</si>
  <si>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</si>
  <si>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</si>
  <si>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</si>
  <si>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</si>
  <si>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</si>
  <si>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</si>
  <si>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</si>
  <si>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</si>
  <si>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</si>
  <si>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</si>
  <si>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</si>
  <si>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</si>
  <si>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</si>
  <si>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</si>
  <si>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</si>
  <si>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</si>
  <si>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</si>
  <si>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</si>
  <si>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</si>
  <si>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</si>
  <si>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</si>
  <si>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</si>
  <si>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</si>
  <si>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</si>
  <si>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</si>
  <si>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</si>
  <si>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</si>
  <si>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</si>
  <si>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</si>
  <si>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</si>
  <si>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</si>
  <si>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</si>
  <si>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</si>
  <si>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</si>
  <si>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</si>
  <si>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</si>
  <si>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</si>
  <si>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</si>
  <si>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</si>
  <si>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</si>
  <si>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</si>
  <si>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</si>
  <si>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</si>
  <si>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</si>
  <si>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</si>
  <si>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</si>
  <si>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</si>
  <si>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</si>
  <si>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</si>
  <si>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</si>
  <si>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</si>
  <si>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</si>
  <si>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</si>
  <si>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</si>
  <si>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</si>
  <si>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</si>
  <si>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</si>
  <si>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</si>
  <si>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</si>
  <si>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</si>
  <si>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</si>
  <si>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</si>
  <si>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</si>
  <si>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</si>
  <si>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</si>
  <si>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</si>
  <si>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</si>
  <si>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</si>
  <si>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</si>
  <si>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</si>
  <si>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</si>
  <si>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</si>
  <si>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</si>
  <si>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</si>
  <si>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</si>
  <si>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</si>
  <si>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</si>
  <si>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</si>
  <si>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</si>
  <si>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</si>
  <si>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</si>
  <si>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</si>
  <si>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</si>
  <si>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</si>
  <si>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</si>
  <si>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</si>
  <si>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</si>
  <si>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</si>
  <si>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</si>
  <si>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</si>
  <si>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</si>
  <si>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</si>
  <si>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</si>
  <si>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</si>
  <si>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</si>
  <si>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</si>
  <si>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</si>
  <si>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</si>
  <si>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</si>
  <si>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</si>
  <si>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</si>
  <si>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</si>
  <si>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</si>
  <si>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</si>
  <si>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</si>
  <si>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</si>
  <si>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</si>
  <si>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</si>
  <si>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</si>
  <si>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</si>
  <si>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</si>
  <si>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</si>
  <si>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</si>
  <si>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</si>
  <si>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</si>
  <si>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</si>
  <si>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</si>
  <si>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</si>
  <si>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</si>
  <si>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</si>
  <si>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</si>
  <si>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</si>
  <si>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</si>
  <si>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</si>
  <si>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</si>
  <si>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</si>
  <si>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</si>
  <si>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</si>
  <si>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</si>
  <si>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</si>
  <si>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</si>
  <si>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</si>
  <si>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</si>
  <si>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</si>
  <si>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</si>
  <si>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</si>
  <si>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</si>
  <si>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</si>
  <si>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</si>
  <si>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</si>
  <si>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</si>
  <si>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</si>
  <si>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</si>
  <si>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</si>
  <si>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</si>
  <si>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</si>
  <si>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</si>
  <si>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</si>
  <si>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</si>
  <si>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</si>
  <si>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</si>
  <si>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</si>
  <si>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</si>
  <si>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</si>
  <si>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</si>
  <si>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</si>
  <si>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</si>
  <si>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</si>
  <si>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</si>
  <si>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</si>
  <si>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</si>
  <si>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</si>
  <si>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</si>
  <si>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</si>
  <si>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</si>
  <si>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</si>
  <si>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</si>
  <si>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</si>
  <si>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</si>
  <si>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</si>
  <si>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</si>
  <si>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</si>
  <si>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</si>
  <si>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</si>
  <si>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</si>
  <si>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</si>
  <si>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</si>
  <si>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</si>
  <si>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</si>
  <si>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</si>
  <si>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</si>
  <si>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</si>
  <si>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</si>
  <si>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</si>
  <si>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</si>
  <si>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</si>
  <si>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</si>
  <si>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</si>
  <si>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</si>
  <si>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</si>
  <si>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</si>
  <si>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</si>
  <si>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</si>
  <si>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</si>
  <si>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</si>
  <si>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</si>
  <si>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</si>
  <si>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</si>
  <si>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</si>
  <si>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</si>
  <si>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</si>
  <si>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</si>
  <si>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</si>
  <si>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</si>
  <si>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</si>
  <si>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</si>
  <si>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</si>
  <si>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</si>
  <si>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</si>
  <si>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</si>
  <si>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</si>
  <si>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</si>
  <si>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</si>
  <si>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</si>
  <si>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</si>
  <si>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</si>
  <si>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</si>
  <si>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</si>
  <si>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</si>
  <si>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</si>
  <si>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</si>
  <si>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</si>
  <si>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</si>
  <si>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</si>
  <si>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</si>
  <si>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</si>
  <si>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</si>
  <si>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</si>
  <si>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</si>
  <si>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</si>
  <si>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</si>
  <si>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</si>
  <si>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</si>
  <si>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</si>
  <si>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</si>
  <si>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</si>
  <si>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</si>
  <si>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</si>
  <si>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</si>
  <si>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</si>
  <si>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</si>
  <si>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</si>
  <si>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</si>
  <si>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</si>
  <si>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</si>
  <si>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</si>
  <si>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</si>
  <si>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</si>
  <si>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</si>
  <si>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</si>
  <si>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</si>
  <si>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</si>
  <si>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</si>
  <si>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</si>
  <si>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</si>
  <si>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</si>
  <si>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</si>
  <si>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</si>
  <si>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</si>
  <si>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</si>
  <si>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</si>
  <si>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</si>
  <si>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</si>
  <si>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</si>
  <si>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</si>
  <si>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</si>
  <si>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</si>
  <si>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</si>
  <si>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</si>
  <si>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</si>
  <si>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</si>
  <si>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</si>
  <si>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</si>
  <si>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</si>
  <si>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</si>
  <si>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</si>
  <si>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</si>
  <si>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</si>
  <si>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</si>
  <si>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</si>
  <si>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</si>
  <si>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</si>
  <si>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</si>
  <si>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</si>
  <si>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</si>
  <si>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</si>
  <si>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</si>
  <si>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</si>
  <si>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</si>
  <si>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</si>
  <si>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</si>
  <si>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</si>
  <si>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</si>
  <si>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</si>
  <si>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</si>
  <si>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</si>
  <si>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</si>
  <si>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</si>
  <si>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</si>
  <si>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</si>
  <si>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</si>
  <si>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</si>
  <si>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</si>
  <si>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</si>
  <si>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</si>
  <si>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</si>
  <si>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</si>
  <si>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</si>
  <si>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</si>
  <si>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</si>
  <si>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</si>
  <si>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</si>
  <si>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</si>
  <si>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</si>
  <si>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</si>
  <si>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</si>
  <si>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</si>
  <si>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</si>
  <si>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</si>
  <si>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</si>
  <si>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</si>
  <si>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</si>
  <si>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</si>
  <si>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</si>
  <si>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</si>
  <si>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</si>
  <si>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</si>
  <si>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</si>
  <si>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</si>
  <si>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</si>
  <si>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</si>
  <si>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</si>
  <si>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</si>
  <si>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</si>
  <si>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</si>
  <si>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</si>
  <si>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</si>
  <si>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</si>
  <si>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</si>
  <si>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</si>
  <si>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</si>
  <si>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</si>
  <si>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</si>
  <si>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</si>
  <si>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</si>
  <si>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</si>
  <si>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</si>
  <si>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</si>
  <si>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</si>
  <si>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</si>
  <si>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</si>
  <si>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</si>
  <si>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</si>
  <si>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</si>
  <si>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</si>
  <si>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</si>
  <si>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</si>
  <si>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</si>
  <si>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</si>
  <si>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</si>
  <si>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</si>
  <si>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</si>
  <si>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</si>
  <si>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</si>
  <si>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</si>
  <si>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</si>
  <si>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</si>
  <si>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</si>
  <si>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</si>
  <si>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</si>
  <si>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</si>
  <si>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</si>
  <si>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</si>
  <si>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</si>
  <si>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</si>
  <si>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</si>
  <si>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</si>
  <si>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</si>
  <si>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</si>
  <si>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</si>
  <si>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</si>
  <si>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</si>
  <si>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</si>
  <si>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</si>
  <si>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</si>
  <si>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</si>
  <si>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</si>
  <si>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</si>
  <si>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</si>
  <si>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</si>
  <si>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</si>
  <si>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</si>
  <si>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</si>
  <si>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</si>
  <si>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</si>
  <si>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</si>
  <si>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</si>
  <si>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</si>
  <si>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</si>
  <si>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</si>
  <si>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</si>
  <si>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</si>
  <si>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</si>
  <si>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</si>
  <si>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</si>
  <si>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</si>
  <si>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</si>
  <si>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</si>
  <si>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</si>
  <si>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</si>
  <si>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</si>
  <si>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</si>
  <si>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</si>
  <si>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</si>
  <si>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</si>
  <si>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</si>
  <si>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</si>
  <si>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</si>
  <si>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</si>
  <si>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</si>
  <si>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</si>
  <si>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</si>
  <si>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</si>
  <si>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</si>
  <si>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</si>
  <si>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</si>
  <si>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</si>
  <si>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</si>
  <si>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</si>
  <si>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</si>
  <si>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</si>
  <si>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</si>
  <si>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</si>
  <si>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</si>
  <si>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</si>
  <si>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</si>
  <si>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</si>
  <si>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</si>
  <si>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</si>
  <si>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</si>
  <si>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</si>
  <si>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</si>
  <si>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</si>
  <si>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</si>
  <si>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</si>
  <si>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</si>
  <si>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</si>
  <si>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</si>
  <si>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</si>
  <si>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</si>
  <si>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</si>
  <si>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</si>
  <si>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</si>
  <si>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</si>
  <si>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</si>
  <si>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</si>
  <si>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</si>
  <si>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</si>
  <si>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</si>
  <si>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</si>
  <si>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</si>
  <si>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</si>
  <si>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</si>
  <si>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</si>
  <si>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</si>
  <si>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</si>
  <si>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</si>
  <si>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</si>
  <si>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</si>
  <si>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</si>
  <si>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</si>
  <si>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</si>
  <si>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</si>
  <si>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</si>
  <si>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</si>
  <si>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</si>
  <si>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</si>
  <si>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</si>
  <si>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</si>
  <si>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</si>
  <si>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</si>
  <si>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</si>
  <si>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</si>
  <si>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</si>
  <si>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</si>
  <si>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</si>
  <si>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</si>
  <si>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</si>
  <si>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</si>
  <si>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</si>
  <si>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</si>
  <si>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</si>
  <si>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</si>
  <si>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</si>
  <si>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</si>
  <si>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</si>
  <si>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</si>
  <si>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</si>
  <si>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</si>
  <si>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</si>
  <si>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</si>
  <si>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</si>
  <si>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</si>
  <si>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</si>
  <si>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</si>
  <si>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</si>
  <si>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</si>
  <si>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</si>
  <si>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</si>
  <si>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</si>
  <si>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</si>
  <si>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</si>
  <si>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</si>
  <si>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</si>
  <si>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</si>
  <si>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</si>
  <si>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</si>
  <si>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</si>
  <si>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</si>
  <si>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</si>
  <si>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</si>
  <si>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</si>
  <si>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</si>
  <si>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</si>
  <si>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</si>
  <si>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</si>
  <si>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</si>
  <si>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</si>
  <si>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</si>
  <si>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</si>
  <si>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</si>
  <si>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</si>
  <si>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</si>
  <si>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</si>
  <si>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</si>
  <si>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</si>
  <si>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</si>
  <si>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</si>
  <si>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</si>
  <si>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</si>
  <si>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</si>
  <si>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</si>
  <si>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</si>
  <si>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</si>
  <si>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</si>
  <si>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</si>
  <si>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</si>
  <si>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</si>
  <si>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</si>
  <si>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</si>
  <si>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</si>
  <si>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</si>
  <si>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</si>
  <si>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</si>
  <si>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</si>
  <si>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</si>
  <si>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</si>
  <si>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</si>
  <si>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</si>
  <si>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</si>
  <si>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</si>
  <si>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</si>
  <si>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</si>
  <si>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</si>
  <si>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</si>
  <si>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</si>
  <si>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</si>
  <si>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</si>
  <si>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</si>
  <si>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</si>
  <si>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</si>
  <si>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</si>
  <si>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</si>
  <si>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</si>
  <si>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</si>
  <si>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</si>
  <si>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</si>
  <si>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</si>
  <si>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</si>
  <si>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</si>
  <si>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</si>
  <si>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</si>
  <si>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</si>
  <si>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</si>
  <si>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</si>
  <si>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</si>
  <si>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</si>
  <si>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</si>
  <si>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</si>
  <si>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</si>
  <si>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</si>
  <si>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</si>
  <si>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</si>
  <si>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</si>
  <si>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</si>
  <si>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</si>
  <si>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</si>
  <si>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</si>
  <si>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</si>
  <si>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</si>
  <si>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</si>
  <si>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</si>
  <si>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</si>
  <si>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</si>
  <si>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</si>
  <si>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</si>
  <si>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</si>
  <si>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</si>
  <si>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</si>
  <si>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</si>
  <si>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</si>
  <si>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</si>
  <si>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</si>
  <si>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</si>
  <si>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</si>
  <si>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</si>
  <si>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</si>
  <si>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</si>
  <si>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</si>
  <si>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</si>
  <si>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</si>
  <si>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</si>
  <si>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</si>
  <si>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</si>
  <si>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</si>
  <si>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</si>
  <si>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</si>
  <si>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</si>
  <si>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</si>
  <si>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</si>
  <si>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</si>
  <si>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</si>
  <si>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</si>
  <si>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</si>
  <si>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</si>
  <si>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</si>
  <si>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</si>
  <si>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</si>
  <si>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</si>
  <si>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</si>
  <si>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</si>
  <si>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</si>
  <si>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</si>
  <si>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</si>
  <si>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</si>
  <si>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</si>
  <si>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</si>
  <si>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</si>
  <si>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</si>
  <si>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</si>
  <si>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</si>
  <si>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</si>
  <si>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</si>
  <si>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</si>
  <si>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</si>
  <si>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</si>
  <si>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</si>
  <si>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</si>
  <si>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</si>
  <si>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</si>
  <si>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</si>
  <si>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</si>
  <si>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</si>
  <si>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</si>
  <si>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</si>
  <si>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</si>
  <si>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</si>
  <si>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</si>
  <si>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</si>
  <si>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</si>
  <si>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</si>
  <si>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</si>
  <si>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</si>
  <si>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</si>
  <si>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</si>
  <si>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</si>
  <si>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</si>
  <si>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</si>
  <si>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</si>
  <si>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</si>
  <si>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</si>
  <si>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</si>
  <si>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</si>
  <si>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</si>
  <si>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</si>
  <si>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</si>
  <si>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</si>
  <si>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</si>
  <si>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</si>
  <si>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</si>
  <si>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</si>
  <si>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</si>
  <si>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</si>
  <si>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</si>
  <si>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</si>
  <si>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</si>
  <si>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</si>
  <si>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</si>
  <si>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</si>
  <si>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</si>
  <si>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</si>
  <si>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</si>
  <si>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</si>
  <si>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</si>
  <si>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</si>
  <si>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</si>
  <si>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</si>
  <si>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</si>
  <si>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</si>
  <si>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</si>
  <si>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</si>
  <si>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</si>
  <si>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</si>
  <si>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</si>
  <si>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</si>
  <si>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</si>
  <si>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</si>
  <si>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</si>
  <si>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</si>
  <si>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</si>
  <si>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</si>
  <si>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</si>
  <si>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</si>
  <si>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</si>
  <si>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</si>
  <si>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</si>
  <si>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</si>
  <si>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</si>
  <si>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</si>
  <si>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</si>
  <si>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</si>
  <si>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</si>
  <si>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</si>
  <si>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</si>
  <si>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</si>
  <si>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</si>
  <si>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</si>
  <si>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</si>
  <si>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</si>
  <si>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</si>
  <si>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</si>
  <si>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</si>
  <si>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</si>
  <si>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</si>
  <si>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</si>
  <si>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</si>
  <si>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</si>
  <si>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</si>
  <si>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</si>
  <si>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</si>
  <si>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</si>
  <si>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</si>
  <si>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</si>
  <si>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</si>
  <si>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</si>
  <si>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</si>
  <si>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</si>
  <si>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</si>
  <si>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</si>
  <si>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</si>
  <si>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</si>
  <si>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</si>
  <si>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</si>
  <si>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</si>
  <si>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</si>
  <si>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</si>
  <si>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</si>
  <si>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</si>
  <si>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</si>
  <si>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</si>
  <si>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</si>
  <si>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</si>
  <si>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</si>
  <si>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</si>
  <si>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</si>
  <si>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</si>
  <si>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</si>
  <si>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</si>
  <si>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</si>
  <si>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</si>
  <si>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</si>
  <si>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</si>
  <si>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</si>
  <si>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</si>
  <si>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</si>
  <si>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</si>
  <si>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</si>
  <si>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</si>
  <si>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</si>
  <si>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</si>
  <si>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</si>
  <si>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</si>
  <si>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</si>
  <si>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</si>
  <si>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</si>
  <si>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</si>
  <si>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</si>
  <si>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</si>
  <si>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</si>
  <si>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</si>
  <si>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</si>
  <si>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</si>
  <si>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</si>
  <si>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</si>
  <si>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</si>
  <si>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</si>
  <si>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</si>
  <si>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</si>
  <si>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</si>
  <si>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</si>
  <si>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</si>
  <si>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</si>
  <si>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</si>
  <si>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</si>
  <si>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</si>
  <si>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</si>
  <si>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</si>
  <si>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</si>
  <si>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</si>
  <si>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</si>
  <si>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</si>
  <si>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</si>
  <si>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</si>
  <si>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</si>
  <si>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</si>
  <si>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</si>
  <si>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</si>
  <si>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</si>
  <si>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</si>
  <si>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</si>
  <si>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</si>
  <si>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</si>
  <si>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</si>
  <si>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</si>
  <si>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</si>
  <si>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</si>
  <si>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</si>
  <si>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</si>
  <si>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</si>
  <si>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</si>
  <si>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</si>
  <si>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</si>
  <si>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</si>
  <si>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</si>
  <si>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</si>
  <si>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</si>
  <si>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</si>
  <si>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</si>
  <si>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</si>
  <si>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</si>
  <si>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</si>
  <si>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</si>
  <si>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</si>
  <si>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</si>
  <si>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</si>
  <si>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</si>
  <si>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</si>
  <si>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</si>
  <si>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</si>
  <si>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</si>
  <si>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</si>
  <si>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</si>
  <si>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</si>
  <si>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</si>
  <si>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</si>
  <si>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</si>
  <si>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</si>
  <si>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</si>
  <si>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</si>
  <si>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</si>
  <si>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</si>
  <si>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</si>
  <si>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</si>
  <si>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</si>
  <si>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</si>
  <si>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</si>
  <si>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</si>
  <si>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</si>
  <si>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</si>
  <si>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</si>
  <si>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</si>
  <si>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</si>
  <si>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</si>
  <si>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</si>
  <si>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</si>
  <si>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</si>
  <si>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</si>
  <si>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</si>
  <si>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</si>
  <si>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</si>
  <si>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</si>
  <si>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</si>
  <si>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</si>
  <si>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</si>
  <si>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</si>
  <si>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</si>
  <si>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</si>
  <si>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</si>
  <si>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</si>
  <si>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</si>
  <si>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</si>
  <si>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</si>
  <si>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</si>
  <si>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</si>
  <si>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</si>
  <si>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</si>
  <si>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</si>
  <si>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</si>
  <si>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</si>
  <si>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</si>
  <si>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</si>
  <si>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</si>
  <si>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</si>
  <si>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</si>
  <si>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</si>
  <si>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</si>
  <si>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</si>
  <si>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</si>
  <si>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</si>
  <si>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</si>
  <si>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</si>
  <si>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</si>
  <si>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</si>
  <si>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</si>
  <si>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</si>
  <si>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</si>
  <si>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</si>
  <si>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</si>
  <si>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</si>
  <si>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</si>
  <si>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</si>
  <si>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</si>
  <si>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</si>
  <si>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</si>
  <si>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</si>
  <si>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</si>
  <si>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</si>
  <si>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</si>
  <si>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</si>
  <si>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</si>
  <si>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</si>
  <si>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</si>
  <si>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</si>
  <si>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</si>
  <si>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</si>
  <si>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</si>
  <si>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</si>
  <si>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</si>
  <si>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</si>
  <si>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</si>
  <si>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</si>
  <si>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</si>
  <si>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</si>
  <si>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</si>
  <si>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</si>
  <si>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</si>
  <si>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</si>
  <si>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</si>
  <si>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</si>
  <si>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</si>
  <si>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</si>
  <si>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</si>
  <si>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</si>
  <si>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</si>
  <si>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</si>
  <si>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</si>
  <si>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</si>
  <si>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</si>
  <si>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中信信托有限责任公司</t>
    <phoneticPr fontId="6" type="noConversion"/>
  </si>
  <si>
    <t>其他：</t>
  </si>
  <si>
    <t>江苏省盐城市阜宁县</t>
    <phoneticPr fontId="6" type="noConversion"/>
  </si>
  <si>
    <r>
      <rPr>
        <sz val="12"/>
        <color theme="9" tint="-0.249977111117893"/>
        <rFont val="宋体"/>
        <family val="3"/>
        <charset val="134"/>
      </rPr>
      <t>阜城镇祥光路</t>
    </r>
    <r>
      <rPr>
        <sz val="12"/>
        <color theme="9" tint="-0.249977111117893"/>
        <rFont val="Arial"/>
        <family val="2"/>
      </rPr>
      <t>719</t>
    </r>
    <r>
      <rPr>
        <sz val="12"/>
        <color theme="9" tint="-0.249977111117893"/>
        <rFont val="宋体"/>
        <family val="3"/>
        <charset val="134"/>
      </rPr>
      <t>号东方花园酒店项目局部商业服务用房房地产</t>
    </r>
    <phoneticPr fontId="6" type="noConversion"/>
  </si>
  <si>
    <t>房地产抵押价值</t>
  </si>
  <si>
    <t>抵押</t>
  </si>
  <si>
    <t>企业</t>
  </si>
  <si>
    <t>阜宁县城市投资发展有限责任公司</t>
  </si>
  <si>
    <t>阜宁县城市投资发展有限责任公司</t>
    <phoneticPr fontId="6" type="noConversion"/>
  </si>
  <si>
    <t>出让</t>
  </si>
  <si>
    <t>商业服务</t>
    <phoneticPr fontId="6" type="noConversion"/>
  </si>
  <si>
    <t>证号</t>
    <phoneticPr fontId="143" type="noConversion"/>
  </si>
  <si>
    <t>序号</t>
    <phoneticPr fontId="143" type="noConversion"/>
  </si>
  <si>
    <t>房屋所有权人</t>
    <phoneticPr fontId="143" type="noConversion"/>
  </si>
  <si>
    <t>坐落</t>
    <phoneticPr fontId="143" type="noConversion"/>
  </si>
  <si>
    <t>登记时间</t>
    <phoneticPr fontId="143" type="noConversion"/>
  </si>
  <si>
    <t>幢号</t>
    <phoneticPr fontId="143" type="noConversion"/>
  </si>
  <si>
    <t>建筑面积</t>
    <phoneticPr fontId="143" type="noConversion"/>
  </si>
  <si>
    <t>层数</t>
    <phoneticPr fontId="143" type="noConversion"/>
  </si>
  <si>
    <t>阜宁县城市投资发展有限责任公司</t>
    <phoneticPr fontId="143" type="noConversion"/>
  </si>
  <si>
    <t>商业服务用房</t>
    <phoneticPr fontId="143" type="noConversion"/>
  </si>
  <si>
    <t>阜房权证阜城字第00063704号</t>
    <phoneticPr fontId="143" type="noConversion"/>
  </si>
  <si>
    <t>阜房权证阜城字第00063705号</t>
  </si>
  <si>
    <t>综合楼</t>
    <phoneticPr fontId="143" type="noConversion"/>
  </si>
  <si>
    <t>阜房权证阜城字第00063706号</t>
    <phoneticPr fontId="143" type="noConversion"/>
  </si>
  <si>
    <t>小计</t>
    <phoneticPr fontId="143" type="noConversion"/>
  </si>
  <si>
    <t>合计</t>
    <phoneticPr fontId="143" type="noConversion"/>
  </si>
  <si>
    <t>阜房权证阜城字第00063702号</t>
    <phoneticPr fontId="143" type="noConversion"/>
  </si>
  <si>
    <t>阜城镇香港路719号东方花园酒店</t>
    <phoneticPr fontId="143" type="noConversion"/>
  </si>
  <si>
    <t>序号</t>
    <phoneticPr fontId="143" type="noConversion"/>
  </si>
  <si>
    <t>土地使用权人</t>
    <phoneticPr fontId="143" type="noConversion"/>
  </si>
  <si>
    <t>地号</t>
    <phoneticPr fontId="143" type="noConversion"/>
  </si>
  <si>
    <t>地类</t>
    <phoneticPr fontId="143" type="noConversion"/>
  </si>
  <si>
    <t>终止日期</t>
    <phoneticPr fontId="143" type="noConversion"/>
  </si>
  <si>
    <t>土地面积</t>
    <phoneticPr fontId="143" type="noConversion"/>
  </si>
  <si>
    <t>阜宁县南城区法院东侧香港路北</t>
    <phoneticPr fontId="143" type="noConversion"/>
  </si>
  <si>
    <t>006-214-0007002</t>
    <phoneticPr fontId="143" type="noConversion"/>
  </si>
  <si>
    <t>住宿餐饮用地</t>
  </si>
  <si>
    <t>住宿餐饮用地</t>
    <phoneticPr fontId="143" type="noConversion"/>
  </si>
  <si>
    <t>阜国用（2014）第005624号</t>
    <phoneticPr fontId="143" type="noConversion"/>
  </si>
  <si>
    <t>006-214-0007003</t>
  </si>
  <si>
    <r>
      <rPr>
        <sz val="12"/>
        <color theme="9" tint="-0.249977111117893"/>
        <rFont val="宋体"/>
        <family val="3"/>
        <charset val="134"/>
      </rPr>
      <t>商业服用</t>
    </r>
    <r>
      <rPr>
        <sz val="12"/>
        <color theme="9" tint="-0.249977111117893"/>
        <rFont val="Arial"/>
        <family val="2"/>
      </rPr>
      <t>33.51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</si>
  <si>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阜房权证阜城字第</t>
    </r>
    <r>
      <rPr>
        <sz val="12"/>
        <color theme="9" tint="-0.249977111117893"/>
        <rFont val="Arial"/>
        <family val="2"/>
      </rPr>
      <t>00063702</t>
    </r>
    <r>
      <rPr>
        <sz val="12"/>
        <color theme="9" tint="-0.249977111117893"/>
        <rFont val="宋体"/>
        <family val="3"/>
        <charset val="134"/>
      </rPr>
      <t>号等共</t>
    </r>
    <r>
      <rPr>
        <sz val="12"/>
        <color theme="9" tint="-0.249977111117893"/>
        <rFont val="Arial"/>
        <family val="2"/>
      </rPr>
      <t>4</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</si>
  <si>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阜国用（2014）第005622号</t>
    <phoneticPr fontId="143" type="noConversion"/>
  </si>
  <si>
    <t>是</t>
  </si>
  <si>
    <t>复印件</t>
  </si>
  <si>
    <t>中国民生银行股份有限公司盐城分行</t>
    <phoneticPr fontId="6" type="noConversion"/>
  </si>
  <si>
    <r>
      <t>1000</t>
    </r>
    <r>
      <rPr>
        <sz val="10"/>
        <color theme="9" tint="-0.249977111117893"/>
        <rFont val="宋体"/>
        <family val="3"/>
        <charset val="134"/>
      </rPr>
      <t>万元整</t>
    </r>
    <phoneticPr fontId="6" type="noConversion"/>
  </si>
  <si>
    <r>
      <t>200</t>
    </r>
    <r>
      <rPr>
        <sz val="10"/>
        <color theme="9" tint="-0.249977111117893"/>
        <rFont val="宋体"/>
        <family val="3"/>
        <charset val="134"/>
      </rPr>
      <t>万元整</t>
    </r>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</si>
  <si>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阜房权证阜城字第</t>
    </r>
    <r>
      <rPr>
        <sz val="10"/>
        <color theme="9" tint="-0.249977111117893"/>
        <rFont val="Arial"/>
        <family val="2"/>
      </rPr>
      <t>00063704</t>
    </r>
    <r>
      <rPr>
        <sz val="10"/>
        <color theme="9" tint="-0.249977111117893"/>
        <rFont val="宋体"/>
        <family val="3"/>
        <charset val="134"/>
      </rPr>
      <t>号</t>
    </r>
    <r>
      <rPr>
        <sz val="10"/>
        <color theme="9" tint="-0.249977111117893"/>
        <rFont val="Arial"/>
        <family val="2"/>
      </rPr>
      <t>]</t>
    </r>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</si>
  <si>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阜房权证阜城字第</t>
    </r>
    <r>
      <rPr>
        <sz val="10"/>
        <color theme="9" tint="-0.249977111117893"/>
        <rFont val="Arial"/>
        <family val="2"/>
      </rPr>
      <t>00063706</t>
    </r>
    <r>
      <rPr>
        <sz val="10"/>
        <color theme="9" tint="-0.249977111117893"/>
        <rFont val="宋体"/>
        <family val="3"/>
        <charset val="134"/>
      </rPr>
      <t>号</t>
    </r>
    <r>
      <rPr>
        <sz val="10"/>
        <color theme="9" tint="-0.249977111117893"/>
        <rFont val="Arial"/>
        <family val="2"/>
      </rPr>
      <t>]</t>
    </r>
    <phoneticPr fontId="6" type="noConversion"/>
  </si>
  <si>
    <t>商业项目</t>
  </si>
  <si>
    <t>现房</t>
  </si>
  <si>
    <t>通路</t>
  </si>
  <si>
    <t>通电</t>
  </si>
  <si>
    <t>通讯</t>
  </si>
  <si>
    <t>通上水</t>
  </si>
  <si>
    <t>通下水</t>
  </si>
  <si>
    <t>地上</t>
  </si>
  <si>
    <t>酒店</t>
  </si>
  <si>
    <t>独栋</t>
  </si>
  <si>
    <t>独栋</t>
    <phoneticPr fontId="7" type="noConversion"/>
  </si>
  <si>
    <t>酒店</t>
    <phoneticPr fontId="7" type="noConversion"/>
  </si>
  <si>
    <t>成新度</t>
  </si>
  <si>
    <t>钢混</t>
  </si>
  <si>
    <t>非生产用房</t>
  </si>
  <si>
    <t>否</t>
  </si>
  <si>
    <t>按租金收入计税</t>
  </si>
  <si>
    <t>收益法（酒店）</t>
  </si>
  <si>
    <t>收益法（独栋）</t>
  </si>
  <si>
    <t>其他省市系数</t>
  </si>
  <si>
    <t>较规则</t>
  </si>
  <si>
    <t>较规则</t>
    <phoneticPr fontId="31" type="noConversion"/>
  </si>
  <si>
    <t>五通一平</t>
  </si>
  <si>
    <t>五通一平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</si>
  <si>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</si>
  <si>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</si>
  <si>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</si>
  <si>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</si>
  <si>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</si>
  <si>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</si>
  <si>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</si>
  <si>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</si>
  <si>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</si>
  <si>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</si>
  <si>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</si>
  <si>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</si>
  <si>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</si>
  <si>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</si>
  <si>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</si>
  <si>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</si>
  <si>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</si>
  <si>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</si>
  <si>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</si>
  <si>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</si>
  <si>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</si>
  <si>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</si>
  <si>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</si>
  <si>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</si>
  <si>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</si>
  <si>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</si>
  <si>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新沟镇西沙湖村</t>
  </si>
  <si>
    <t>盐城市</t>
  </si>
  <si>
    <t>商业/办公用地</t>
  </si>
  <si>
    <t>2018-11</t>
  </si>
  <si>
    <t>批发零售用地</t>
  </si>
  <si>
    <t>小于或等于0.2</t>
  </si>
  <si>
    <t>2018-03-21</t>
  </si>
  <si>
    <t>阜宁县挂[2018]7号</t>
  </si>
  <si>
    <t>中国石油天然气股份有限公司江苏盐城销售分公司</t>
  </si>
  <si>
    <t>40年</t>
  </si>
  <si>
    <t>新沟镇新胜居委会一、七组</t>
  </si>
  <si>
    <t>2018-9</t>
  </si>
  <si>
    <t>小于或等于3.5</t>
  </si>
  <si>
    <t>2018-03-15</t>
  </si>
  <si>
    <t>阜宁县挂[2018]6号</t>
  </si>
  <si>
    <t>2018-10</t>
  </si>
  <si>
    <t>沟墩镇柳集村</t>
  </si>
  <si>
    <t>2018-8</t>
  </si>
  <si>
    <t>小于或等于5.5</t>
  </si>
  <si>
    <t>2018-03-14</t>
  </si>
  <si>
    <t>阜宁县挂[2018]5号</t>
  </si>
  <si>
    <t>阜城街道办事处新桥村八组、缪黄村八组</t>
  </si>
  <si>
    <t>2018-5</t>
  </si>
  <si>
    <t>大于或等于0.1并且小于或等于0.5</t>
  </si>
  <si>
    <t>2018-03-08</t>
  </si>
  <si>
    <t>阜宁县挂[2018]3号</t>
  </si>
  <si>
    <t>阜宁县华联液化气有限公司</t>
  </si>
  <si>
    <t>开发区新丰居委会七组</t>
  </si>
  <si>
    <t>2018-7</t>
  </si>
  <si>
    <t>大于或等于0.1并且小于或等于0.2</t>
  </si>
  <si>
    <t>阜宁县挂[2018]4号</t>
  </si>
  <si>
    <t>阜宁东华能源有限公司</t>
  </si>
  <si>
    <t>吴滩街道办事处合利居委会二组</t>
  </si>
  <si>
    <t>2018-1</t>
  </si>
  <si>
    <t>大于或等于1并且小于或等于4</t>
  </si>
  <si>
    <t>阜宁县挂[2018]1号</t>
  </si>
  <si>
    <t>吴滩街道办事处合利居委会三组</t>
  </si>
  <si>
    <t>2018-2</t>
  </si>
  <si>
    <t>三灶镇丰墩村六组</t>
  </si>
  <si>
    <t>2017-24</t>
  </si>
  <si>
    <t>小于或等于48</t>
  </si>
  <si>
    <t>2018-01-04</t>
  </si>
  <si>
    <t>阜宁县挂[2017]14号</t>
  </si>
  <si>
    <t>益林镇益南居委会</t>
  </si>
  <si>
    <t>2017-13</t>
  </si>
  <si>
    <t>小于或等于1.95</t>
  </si>
  <si>
    <t>2017-09-27</t>
  </si>
  <si>
    <t>阜宁县挂[2017]10号</t>
  </si>
  <si>
    <t>阜宁县益林镇村镇房屋开发有限责任公司</t>
  </si>
  <si>
    <t>阜宁县东沟镇北堆村</t>
  </si>
  <si>
    <t>2017-11</t>
  </si>
  <si>
    <t>2017-08-30</t>
  </si>
  <si>
    <t>阜宁县挂[2017]9号</t>
  </si>
  <si>
    <t>2017-12</t>
  </si>
  <si>
    <t>羊寨镇单家港村</t>
  </si>
  <si>
    <t>2017-10</t>
  </si>
  <si>
    <t>小于或等于1</t>
  </si>
  <si>
    <t>2017-08-16</t>
  </si>
  <si>
    <t>阜宁县挂[2017]8号</t>
  </si>
  <si>
    <t>盐城市黄河故道桃花源生态经济区综合开发有限公司</t>
  </si>
  <si>
    <t>阜城街道办事处中岗居委会</t>
  </si>
  <si>
    <t>2017-8</t>
  </si>
  <si>
    <t>大于或等于1.8并且小于或等于2.2</t>
  </si>
  <si>
    <t>2017-07-28</t>
  </si>
  <si>
    <t>阜宁县挂[2017]6号</t>
  </si>
  <si>
    <t>阜宁县城市投资发展发限公司</t>
  </si>
  <si>
    <t>金沙湖街道办事处两合居委会</t>
  </si>
  <si>
    <t>2017-7</t>
  </si>
  <si>
    <t>大于或等于0.3并且小于或等于0.8</t>
  </si>
  <si>
    <t>2017-07-21</t>
  </si>
  <si>
    <t>阜宁县挂[2017]5号</t>
  </si>
  <si>
    <t>江苏金沙湖温泉酒店管理有限责任公司</t>
  </si>
  <si>
    <t>阜宁县开发区黄舍居委会四组、专榆居委会六组</t>
  </si>
  <si>
    <t>2017-5</t>
  </si>
  <si>
    <t>大于或等于1并且小于或等于1.4</t>
  </si>
  <si>
    <t>2017-06-16</t>
  </si>
  <si>
    <t>阜宁县挂[2017]3号</t>
  </si>
  <si>
    <t>江苏宝丰商博城置业有限公司</t>
  </si>
  <si>
    <t>板湖镇戚桥村三组</t>
  </si>
  <si>
    <t>2017-2</t>
  </si>
  <si>
    <t>小于或等于4.8</t>
  </si>
  <si>
    <t>2017-04-12</t>
  </si>
  <si>
    <t>阜宁县挂[2017]2号</t>
  </si>
  <si>
    <t>阜宁县帅钰铭实业有限公司</t>
  </si>
  <si>
    <t>板湖镇孙合村一组</t>
  </si>
  <si>
    <t>2017-3</t>
  </si>
  <si>
    <t>板湖镇板湖居委会九组</t>
  </si>
  <si>
    <t>2017-4</t>
  </si>
  <si>
    <t>2017-1</t>
  </si>
  <si>
    <t>大于或等于0.5并且小于或等于0.6</t>
  </si>
  <si>
    <t>2017-03-31</t>
  </si>
  <si>
    <t>阜宁县挂[2017]1号</t>
  </si>
  <si>
    <t>中弘恒达投资有限公司</t>
  </si>
  <si>
    <t>古河镇古河居委会二组、古颜村一组</t>
  </si>
  <si>
    <t>2016-18</t>
  </si>
  <si>
    <t>2017-02-08</t>
  </si>
  <si>
    <t>阜宁县挂[2016]13号</t>
  </si>
  <si>
    <t>阜宁县古河村镇房地产开发有限公司</t>
  </si>
  <si>
    <t>2016-19</t>
  </si>
  <si>
    <t>陈集镇陈集居委会府前路</t>
  </si>
  <si>
    <t>2016-13</t>
  </si>
  <si>
    <t>小于或等于1.6</t>
  </si>
  <si>
    <t>2016-12-01</t>
  </si>
  <si>
    <t>阜宁县挂[2016]9号</t>
  </si>
  <si>
    <t>阜宁西南建设发展有限公司</t>
  </si>
  <si>
    <t>阜城镇扬州路东、盐城路南地块</t>
  </si>
  <si>
    <t>2016-11</t>
  </si>
  <si>
    <t>大于或等于1.5并且小于或等于2.2</t>
  </si>
  <si>
    <t>2016-10-28</t>
  </si>
  <si>
    <t>阜宁县挂[2016]7号</t>
  </si>
  <si>
    <t>刘长军</t>
  </si>
  <si>
    <t>阜宁新车站东地块</t>
  </si>
  <si>
    <t>2016-10</t>
  </si>
  <si>
    <t>大于或等于1并且小于或等于1.5</t>
  </si>
  <si>
    <t>2016-08-31</t>
  </si>
  <si>
    <t>阜宁县挂[2016]6号</t>
  </si>
  <si>
    <t>戴静剑</t>
  </si>
  <si>
    <t>329省道北地块</t>
  </si>
  <si>
    <t>N0.2016-6</t>
  </si>
  <si>
    <t>大于或等于0.05并且小于或等于0.2</t>
  </si>
  <si>
    <t>2016-06-08</t>
  </si>
  <si>
    <t>阜宁县挂[2016]4号</t>
  </si>
  <si>
    <t>中国石化销售有限公司江苏盐城石油分公司</t>
  </si>
  <si>
    <t>香港路北、施陈路西地块</t>
  </si>
  <si>
    <t>N0.2016-7</t>
  </si>
  <si>
    <t>其他商服用地</t>
  </si>
  <si>
    <t>大于或等于0.1并且小于或等于0.3</t>
  </si>
  <si>
    <t>阜宁县新阜宁液化气有限公司</t>
  </si>
  <si>
    <t>长春路与射河南路交叉口西南</t>
  </si>
  <si>
    <t>N0.2016-3</t>
  </si>
  <si>
    <t>2016-02-24</t>
  </si>
  <si>
    <t>阜宁县挂[2016]2号</t>
  </si>
  <si>
    <t>阜宁县新宁加油站</t>
  </si>
  <si>
    <t>驿沙支渠北、新城大道东侧地块一</t>
  </si>
  <si>
    <t>N0.2015-26</t>
  </si>
  <si>
    <t>大于或等于1.5并且小于或等于2</t>
  </si>
  <si>
    <t>2016-01-20</t>
  </si>
  <si>
    <t>阜宁县挂[2015]17号</t>
  </si>
  <si>
    <t>阜宁澳洋工业园投资有限责任公司</t>
  </si>
  <si>
    <t>驿沙支渠北、新城大道东侧地块二</t>
  </si>
  <si>
    <t>N0.2015-27</t>
  </si>
  <si>
    <t>驿沙支渠北、新城大道东侧地块三</t>
  </si>
  <si>
    <t>N0.2015-28</t>
  </si>
  <si>
    <t>昆仑路南、希望路东地块</t>
  </si>
  <si>
    <t>N0.2015-23</t>
  </si>
  <si>
    <t>商务金融用地</t>
  </si>
  <si>
    <t>大于或等于0.5并且小于或等于0.8</t>
  </si>
  <si>
    <t>2015-12-16</t>
  </si>
  <si>
    <t>阜宁县挂[2015]14号</t>
  </si>
  <si>
    <t>肖春龙</t>
  </si>
  <si>
    <t>正常</t>
  </si>
  <si>
    <t>40</t>
    <phoneticPr fontId="31" type="noConversion"/>
  </si>
  <si>
    <t>较差</t>
  </si>
  <si>
    <t>一般</t>
  </si>
  <si>
    <t>六通</t>
  </si>
  <si>
    <t>未包含在土地购买价格中</t>
  </si>
  <si>
    <t>已包含在土地取得成本中</t>
  </si>
  <si>
    <t>成本比率</t>
  </si>
  <si>
    <t>楼面单价</t>
  </si>
  <si>
    <t>成本法</t>
  </si>
  <si>
    <t>收益法（汇总）</t>
  </si>
  <si>
    <t>项目局部</t>
  </si>
  <si>
    <t>阜国用（2014）第005621号</t>
    <phoneticPr fontId="143" type="noConversion"/>
  </si>
  <si>
    <t>006-214-0007004</t>
    <phoneticPr fontId="143" type="noConversion"/>
  </si>
  <si>
    <t>阜国用（2014）第005623号</t>
    <phoneticPr fontId="143" type="noConversion"/>
  </si>
  <si>
    <t>006-214-0007001</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</si>
  <si>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阜国用（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005621</t>
    </r>
    <r>
      <rPr>
        <sz val="12"/>
        <color theme="9" tint="-0.249977111117893"/>
        <rFont val="宋体"/>
        <family val="3"/>
        <charset val="134"/>
      </rPr>
      <t>号等共</t>
    </r>
    <r>
      <rPr>
        <sz val="12"/>
        <color theme="9" tint="-0.249977111117893"/>
        <rFont val="Arial"/>
        <family val="2"/>
      </rPr>
      <t>4</t>
    </r>
    <r>
      <rPr>
        <sz val="12"/>
        <color theme="9" tint="-0.249977111117893"/>
        <rFont val="宋体"/>
        <family val="3"/>
        <charset val="134"/>
      </rPr>
      <t>本</t>
    </r>
    <r>
      <rPr>
        <sz val="12"/>
        <color theme="9" tint="-0.249977111117893"/>
        <rFont val="Arial"/>
        <family val="2"/>
      </rPr>
      <t>]</t>
    </r>
    <phoneticPr fontId="6" type="noConversion"/>
  </si>
  <si>
    <t>证载规划用途</t>
    <phoneticPr fontId="143" type="noConversion"/>
  </si>
  <si>
    <t>土地用途</t>
    <phoneticPr fontId="143" type="noConversion"/>
  </si>
  <si>
    <t>土地终止日期</t>
    <phoneticPr fontId="143" type="noConversion"/>
  </si>
  <si>
    <t>证号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</si>
</sst>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b/>
      <sz val="10"/>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254" fillId="0" borderId="0" xfId="0" applyFont="1" applyAlignment="1">
      <alignment horizontal="left" vertical="center" wrapText="1"/>
    </xf>
    <xf numFmtId="14" fontId="254" fillId="0" borderId="0" xfId="0" applyNumberFormat="1" applyFont="1" applyAlignment="1">
      <alignment horizontal="left" vertical="center" wrapText="1"/>
    </xf>
    <xf numFmtId="0" fontId="100" fillId="5" borderId="0" xfId="0" applyFont="1" applyFill="1">
      <alignment vertical="center"/>
    </xf>
    <xf numFmtId="0" fontId="255" fillId="5" borderId="0" xfId="0" applyFont="1" applyFill="1" applyAlignment="1">
      <alignment horizontal="left" vertical="center" wrapText="1"/>
    </xf>
    <xf numFmtId="0" fontId="100" fillId="0" borderId="0" xfId="0" applyFont="1">
      <alignment vertical="center"/>
    </xf>
    <xf numFmtId="0" fontId="255" fillId="0" borderId="0" xfId="0" applyFont="1" applyAlignment="1">
      <alignment horizontal="left" vertical="center" wrapText="1"/>
    </xf>
    <xf numFmtId="14" fontId="255" fillId="5" borderId="0" xfId="0" applyNumberFormat="1" applyFont="1" applyFill="1" applyAlignment="1">
      <alignment horizontal="left" vertical="center" wrapText="1"/>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56" fillId="8" borderId="24"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3"/>
    <xf numFmtId="0" fontId="56" fillId="17" borderId="0" xfId="13" applyFill="1"/>
    <xf numFmtId="0" fontId="56" fillId="9" borderId="0" xfId="13" applyFill="1"/>
    <xf numFmtId="0" fontId="56" fillId="0" borderId="0" xfId="13"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D72" sqref="D72"/>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江苏省盐城市阜宁县阜城镇祥光路719号东方花园酒店项目局部商业服务用房房地产房地产抵押价值预评估</v>
      </c>
    </row>
    <row r="3" spans="1:2" s="1595" customFormat="1">
      <c r="A3" s="1593" t="s">
        <v>1221</v>
      </c>
      <c r="B3" s="1594" t="str">
        <f>'预评函-封皮'!B40</f>
        <v>中信信托有限责任公司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受贵公司委托，我公司对江苏省盐城市阜宁县阜城镇祥光路719号东方花园酒店项目局部商业服务用房房地产房地产抵押价值进行了预评估。</v>
      </c>
    </row>
    <row r="7" spans="1:2" s="1595" customFormat="1">
      <c r="A7" s="1593" t="s">
        <v>1264</v>
      </c>
      <c r="B7" s="1594" t="str">
        <f>'预评函-1'!A7</f>
        <v>估价对象为江苏省盐城市阜宁县阜城镇祥光路719号东方花园酒店项目局部商业服务用房房地产房地产，为阜宁县城市投资发展有限责任公司所有。根据《国有土地使用证》[阜国用（2014）第005621号等共4本]，估价对象（分摊）出让国有建设用地使用权面积为81095.31平方米。根据《房屋所有权证》[阜房权证阜城字第00063702号等共4本]、《测绘报告》[]，估价对象建筑面积为8062.31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盐城市阜宁县阜城镇祥光路719号东方花园酒店项目局部商业服务用房房地产房地产,属阜宁县城市投资发展有限责任公司开发建设的商业项目，该项目尚在开发建设中。根据《国有土地使用证》[阜国用（2014）第005621号等共4本]，估价对象（分摊）出让国有建设用地使用权面积为81095.31平方米。根据《房屋所有权证》[阜房权证阜城字第00063702号等共4本]、《测绘报告》[]，估价对象规划建筑面积为8062.31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阜宁县城市投资发展有限责任公司拟使用江苏省盐城市阜宁县阜城镇祥光路719号东方花园酒店项目局部商业服务用房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2018年10月31日（评估专业人员实地查勘之日）</v>
      </c>
    </row>
    <row r="13" spans="1:2" s="1595" customFormat="1">
      <c r="A13" s="1593" t="s">
        <v>1227</v>
      </c>
      <c r="B13" s="1594" t="str">
        <f>'预评函-1'!A18</f>
        <v>本次估价的“房地产价值”是指在正常市场情况下，在价值时点2018年10月31日，估价对象规划用途为商业服务，土地取得方式为出让，出让国有建设用地使用权剩余土地使用年限为商业服用33.51年，假定未设立法定优先受偿款下的房地产市场价值。</v>
      </c>
    </row>
    <row r="14" spans="1:2" s="1595" customFormat="1">
      <c r="A14" s="1593" t="s">
        <v>1228</v>
      </c>
      <c r="B14" s="1594" t="str">
        <f>'预评函-1'!A19</f>
        <v>其中，“出让国有建设用地使用权价值”是指估价对象用途为商业服务，实际开发程度为宗地红线外“七通”（即通路、通电、通讯、通上水、通下水、、）、红线内场地平整条件下，剩余土地使用年限为商业服用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8026</v>
      </c>
    </row>
    <row r="21" spans="1:2" s="1595" customFormat="1">
      <c r="A21" s="1593" t="s">
        <v>1235</v>
      </c>
      <c r="B21" s="1594">
        <f ca="1">'预评函-2'!D7</f>
        <v>9955</v>
      </c>
    </row>
    <row r="22" spans="1:2" s="1595" customFormat="1">
      <c r="A22" s="1593" t="s">
        <v>1236</v>
      </c>
      <c r="B22" s="1594" t="str">
        <f ca="1">'预评函-2'!D6</f>
        <v>捌仟零贰拾陆万元整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8026</v>
      </c>
    </row>
    <row r="31" spans="1:2" s="1595" customFormat="1">
      <c r="A31" s="1593" t="s">
        <v>1274</v>
      </c>
      <c r="B31" s="1594">
        <f ca="1">'预评函-2'!D15</f>
        <v>9955</v>
      </c>
    </row>
    <row r="32" spans="1:2" s="1595" customFormat="1">
      <c r="A32" s="1593" t="s">
        <v>1241</v>
      </c>
      <c r="B32" s="1594" t="str">
        <f ca="1">'预评函-2'!D14</f>
        <v>捌仟零贰拾陆万元整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江苏省盐城市阜宁县阜城镇祥光路719号东方花园酒店项目局部商业服务用房房地产房地产</v>
      </c>
    </row>
    <row r="42" spans="1:2" s="1595" customFormat="1">
      <c r="A42" s="1593" t="s">
        <v>1288</v>
      </c>
      <c r="B42" s="1594" t="str">
        <f>'预评函-3'!B2</f>
        <v>建筑面积</v>
      </c>
    </row>
    <row r="43" spans="1:2" s="1595" customFormat="1">
      <c r="A43" s="1593" t="s">
        <v>1289</v>
      </c>
      <c r="B43" s="1594">
        <f>'预评函-3'!B4</f>
        <v>8062.31</v>
      </c>
    </row>
    <row r="44" spans="1:2" s="1595" customFormat="1">
      <c r="A44" s="1593" t="s">
        <v>1273</v>
      </c>
      <c r="B44" s="1594" t="str">
        <f>'预评函-3'!C2</f>
        <v>(分摊)土地面积</v>
      </c>
    </row>
    <row r="45" spans="1:2" s="1595" customFormat="1">
      <c r="A45" s="1593" t="s">
        <v>1245</v>
      </c>
      <c r="B45" s="1594">
        <f>'预评函-3'!C4</f>
        <v>81095.31</v>
      </c>
    </row>
    <row r="46" spans="1:2" s="1595" customFormat="1">
      <c r="A46" s="1593" t="s">
        <v>1271</v>
      </c>
      <c r="B46" s="1594" t="str">
        <f>'预评函-3'!D2</f>
        <v>出让国有建设用地使用权价值</v>
      </c>
    </row>
    <row r="47" spans="1:2" s="1595" customFormat="1">
      <c r="A47" s="1593" t="s">
        <v>1246</v>
      </c>
      <c r="B47" s="1594">
        <f ca="1">'预评函-3'!D4</f>
        <v>1333</v>
      </c>
    </row>
    <row r="48" spans="1:2" s="1595" customFormat="1">
      <c r="A48" s="1593" t="s">
        <v>1247</v>
      </c>
      <c r="B48" s="1594">
        <f ca="1">'预评函-3'!E4</f>
        <v>1653</v>
      </c>
    </row>
    <row r="49" spans="1:2" s="1595" customFormat="1">
      <c r="A49" s="1593" t="s">
        <v>1248</v>
      </c>
      <c r="B49" s="1594" t="str">
        <f ca="1">'预评函-3'!D5</f>
        <v>壹仟叁佰叁拾叁万元整</v>
      </c>
    </row>
    <row r="50" spans="1:2" s="1595" customFormat="1">
      <c r="A50" s="1593" t="s">
        <v>1272</v>
      </c>
      <c r="B50" s="1594" t="str">
        <f>'预评函-3'!F2</f>
        <v>在建建筑物价值</v>
      </c>
    </row>
    <row r="51" spans="1:2" s="1595" customFormat="1">
      <c r="A51" s="1593" t="s">
        <v>1249</v>
      </c>
      <c r="B51" s="1594">
        <f ca="1">'预评函-3'!F4</f>
        <v>6693</v>
      </c>
    </row>
    <row r="52" spans="1:2" s="1595" customFormat="1">
      <c r="A52" s="1593" t="s">
        <v>1250</v>
      </c>
      <c r="B52" s="1594">
        <f ca="1">'预评函-3'!G4</f>
        <v>8302</v>
      </c>
    </row>
    <row r="53" spans="1:2" s="1595" customFormat="1">
      <c r="A53" s="1593" t="s">
        <v>1278</v>
      </c>
      <c r="B53" s="1594" t="str">
        <f ca="1">'预评函-3'!F5</f>
        <v>陆仟陆佰玖拾叁万元整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2015年1月27日，权利人为中国民生银行股份有限公司盐城分行，权利范围为《房屋所有权证》[阜房权证阜城字第00063704号]，权利价值为200万元整。</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3117</v>
      </c>
      <c r="C18" s="2017"/>
    </row>
    <row r="19" spans="1:3">
      <c r="A19" s="2016" t="s">
        <v>1768</v>
      </c>
      <c r="B19" s="2016" t="s">
        <v>3118</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阜宁县城市投资发展有限责任公司拟使用江苏省盐城市阜宁县阜城镇祥光路719号东方花园酒店项目局部商业服务用房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31日，估价对象规划用途为商业服务土地取得方式为出让，出让国有建设用地使用权剩余土地使用年限为XX年(多用途剩余年限尾数不同时，可只体现小数点后一位)，假定未设立法定优先受偿款下的房地产市场价值。</v>
      </c>
    </row>
    <row r="54" spans="1:4">
      <c r="A54" s="3016"/>
      <c r="B54" s="2024" t="s">
        <v>864</v>
      </c>
      <c r="C54" s="2021" t="s">
        <v>1281</v>
      </c>
    </row>
    <row r="55" spans="1:4">
      <c r="A55" s="3016"/>
      <c r="B55" s="2024" t="s">
        <v>865</v>
      </c>
      <c r="C55" s="2021" t="s">
        <v>1282</v>
      </c>
    </row>
    <row r="56" spans="1:4">
      <c r="A56" s="3016"/>
      <c r="B56" s="2024" t="s">
        <v>866</v>
      </c>
      <c r="C56" s="2021" t="s">
        <v>1286</v>
      </c>
    </row>
    <row r="57" spans="1:4">
      <c r="A57" s="301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24" sqref="F2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25" t="str">
        <f>IF(B10="北京市","北京市",C10)&amp;F10&amp;IF(结果表!G1="在建","出让国有建设用地使用权及在建建筑物",IF(结果表!G1="土地","出让国有建设用地使用权",))&amp;B9&amp;"预评估"</f>
        <v>江苏省盐城市阜宁县阜城镇祥光路719号东方花园酒店项目局部商业服务用房房地产房地产抵押价值预评估</v>
      </c>
      <c r="C1" s="3026"/>
      <c r="D1" s="3026"/>
      <c r="E1" s="3026"/>
      <c r="F1" s="3026"/>
      <c r="G1" s="3026"/>
      <c r="H1" s="3026"/>
      <c r="I1" s="302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江苏省盐城市阜宁县阜城镇祥光路719号东方花园酒店项目局部商业服务用房房地产房地产抵押价值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江苏省盐城市阜宁县阜城镇祥光路719号东方花园酒店项目局部商业服务用房房地产房地产</v>
      </c>
    </row>
    <row r="3" spans="1:19" ht="18" customHeight="1">
      <c r="A3" s="2037" t="s">
        <v>1778</v>
      </c>
      <c r="B3" s="2038">
        <v>43404</v>
      </c>
      <c r="C3" s="2039" t="s">
        <v>1779</v>
      </c>
      <c r="D3" s="2038">
        <f>B3</f>
        <v>43404</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1120050019</v>
      </c>
      <c r="D4" s="2041" t="s">
        <v>3048</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t="str">
        <f>B6</f>
        <v>中信信托有限责任公司</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954" t="s">
        <v>3049</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1783</v>
      </c>
      <c r="B7" s="2054" t="str">
        <f>C11</f>
        <v>阜宁县城市投资发展有限责任公司</v>
      </c>
      <c r="C7" s="2051"/>
      <c r="D7" s="2052"/>
      <c r="E7" s="2036"/>
      <c r="F7" s="2044"/>
      <c r="G7" s="2044"/>
      <c r="H7" s="2044"/>
      <c r="I7" s="2044"/>
      <c r="J7" s="2044"/>
      <c r="K7" s="2055"/>
      <c r="L7" s="2030"/>
      <c r="M7" s="2030"/>
      <c r="N7" s="2031"/>
      <c r="O7" s="2032"/>
      <c r="P7" s="2031"/>
      <c r="Q7" s="2031"/>
      <c r="R7" s="2031"/>
    </row>
    <row r="8" spans="1:19" ht="18" customHeight="1">
      <c r="A8" s="2050" t="s">
        <v>1784</v>
      </c>
      <c r="B8" s="2056" t="s">
        <v>3054</v>
      </c>
      <c r="C8" s="2057"/>
      <c r="D8" s="3028" t="s">
        <v>1785</v>
      </c>
      <c r="E8" s="2058" t="s">
        <v>3053</v>
      </c>
      <c r="F8" s="2059"/>
      <c r="G8" s="2028"/>
      <c r="H8" s="2028"/>
      <c r="I8" s="2028"/>
      <c r="J8" s="2044"/>
      <c r="K8" s="2045"/>
      <c r="L8" s="2030"/>
      <c r="M8" s="2030"/>
      <c r="N8" s="2031"/>
      <c r="O8" s="2032"/>
      <c r="P8" s="2031"/>
      <c r="Q8" s="2031"/>
      <c r="R8" s="2031"/>
    </row>
    <row r="9" spans="1:19" ht="18" customHeight="1" thickBot="1">
      <c r="A9" s="2042" t="s">
        <v>1786</v>
      </c>
      <c r="B9" s="2060" t="s">
        <v>3053</v>
      </c>
      <c r="C9" s="2061"/>
      <c r="D9" s="3029"/>
      <c r="E9" s="2060" t="s">
        <v>70</v>
      </c>
      <c r="F9" s="2062"/>
      <c r="G9" s="2063"/>
      <c r="H9" s="2063"/>
      <c r="I9" s="2063"/>
      <c r="J9" s="2044"/>
      <c r="K9" s="2055"/>
      <c r="L9" s="2030"/>
      <c r="M9" s="2030"/>
      <c r="N9" s="2031"/>
      <c r="O9" s="2032"/>
      <c r="P9" s="2031"/>
      <c r="Q9" s="2031"/>
      <c r="R9" s="2031"/>
    </row>
    <row r="10" spans="1:19" ht="18" customHeight="1" thickTop="1">
      <c r="A10" s="2064" t="s">
        <v>1787</v>
      </c>
      <c r="B10" s="2065" t="s">
        <v>3050</v>
      </c>
      <c r="C10" s="2955" t="s">
        <v>3051</v>
      </c>
      <c r="D10" s="2049"/>
      <c r="E10" s="2066" t="s">
        <v>1788</v>
      </c>
      <c r="F10" s="2067" t="s">
        <v>3052</v>
      </c>
      <c r="G10" s="2068"/>
      <c r="H10" s="2069"/>
      <c r="I10" s="2049"/>
      <c r="J10" s="2044"/>
      <c r="K10" s="2055"/>
      <c r="L10" s="2030"/>
      <c r="M10" s="2030"/>
      <c r="N10" s="2031"/>
      <c r="O10" s="2032"/>
      <c r="P10" s="2031"/>
      <c r="Q10" s="2031"/>
      <c r="R10" s="2031"/>
    </row>
    <row r="11" spans="1:19" ht="18" customHeight="1">
      <c r="A11" s="2070" t="s">
        <v>1789</v>
      </c>
      <c r="B11" s="2071" t="s">
        <v>3055</v>
      </c>
      <c r="C11" s="2956" t="s">
        <v>3057</v>
      </c>
      <c r="D11" s="2072"/>
      <c r="E11" s="2044"/>
      <c r="F11" s="2044"/>
      <c r="G11" s="2044"/>
      <c r="H11" s="2044"/>
      <c r="I11" s="2044"/>
      <c r="J11" s="2044"/>
      <c r="K11" s="2055"/>
      <c r="L11" s="2030"/>
      <c r="M11" s="2030"/>
      <c r="N11" s="2031"/>
      <c r="O11" s="2032"/>
      <c r="P11" s="2031"/>
      <c r="Q11" s="2031"/>
      <c r="R11" s="2031"/>
    </row>
    <row r="12" spans="1:19" ht="18" customHeight="1">
      <c r="A12" s="2073" t="s">
        <v>1790</v>
      </c>
      <c r="B12" s="2071" t="s">
        <v>3058</v>
      </c>
      <c r="C12" s="2074" t="s">
        <v>1791</v>
      </c>
      <c r="D12" s="2075" t="s">
        <v>1792</v>
      </c>
      <c r="E12" s="2075" t="s">
        <v>1793</v>
      </c>
      <c r="F12" s="2075" t="s">
        <v>1794</v>
      </c>
      <c r="G12" s="2075" t="s">
        <v>1795</v>
      </c>
      <c r="H12" s="2075" t="s">
        <v>1796</v>
      </c>
      <c r="I12" s="2075" t="s">
        <v>1797</v>
      </c>
      <c r="J12" s="2044"/>
      <c r="K12" s="2055"/>
      <c r="L12" s="2030"/>
      <c r="M12" s="2030"/>
      <c r="N12" s="2031"/>
      <c r="O12" s="2032"/>
      <c r="P12" s="2031"/>
      <c r="Q12" s="2031"/>
      <c r="R12" s="2031"/>
    </row>
    <row r="13" spans="1:19" ht="18" customHeight="1">
      <c r="A13" s="2076"/>
      <c r="B13" s="2077"/>
      <c r="C13" s="2078" t="s">
        <v>1798</v>
      </c>
      <c r="D13" s="2079"/>
      <c r="E13" s="2079">
        <f>抵押物清单2!H4</f>
        <v>55637</v>
      </c>
      <c r="F13" s="2079"/>
      <c r="G13" s="2079"/>
      <c r="H13" s="2079"/>
      <c r="I13" s="1050"/>
      <c r="J13" s="2044"/>
      <c r="K13" s="2055"/>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4"/>
      <c r="B15" s="2081"/>
      <c r="C15" s="2078" t="s">
        <v>1800</v>
      </c>
      <c r="D15" s="1052" t="str">
        <f>IF(B12="出让",IF(D13="","",ROUNDDOWN(MIN((D13-$D$3)/365,D14),2)),D14)</f>
        <v/>
      </c>
      <c r="E15" s="1052">
        <f>IF(B12="出让",IF(E13="","",ROUNDDOWN(MIN((E13-$D$3)/365,E14),2)),E14)</f>
        <v>33.51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6" t="s">
        <v>1801</v>
      </c>
      <c r="B16" s="3035" t="s">
        <v>3059</v>
      </c>
      <c r="C16" s="3036"/>
      <c r="D16" s="3037"/>
      <c r="E16" s="2085" t="s">
        <v>1802</v>
      </c>
      <c r="F16" s="3038" t="s">
        <v>3090</v>
      </c>
      <c r="G16" s="3039"/>
      <c r="H16" s="3039"/>
      <c r="I16" s="3040"/>
      <c r="J16" s="2031"/>
      <c r="K16" s="2082"/>
      <c r="L16" s="2083"/>
      <c r="M16" s="2083"/>
      <c r="N16" s="2084"/>
      <c r="O16" s="2083"/>
      <c r="P16" s="2084"/>
      <c r="Q16" s="2031"/>
      <c r="R16" s="2031"/>
    </row>
    <row r="17" spans="1:22" ht="18" customHeight="1">
      <c r="A17" s="2086" t="s">
        <v>1803</v>
      </c>
      <c r="B17" s="2037" t="s">
        <v>1804</v>
      </c>
      <c r="C17" s="1057">
        <f>'数据-汇总表'!E3</f>
        <v>8062.31</v>
      </c>
      <c r="D17" s="2087" t="s">
        <v>1805</v>
      </c>
      <c r="E17" s="3041" t="s">
        <v>3091</v>
      </c>
      <c r="F17" s="3042"/>
      <c r="G17" s="3042"/>
      <c r="H17" s="3042"/>
      <c r="I17" s="3043"/>
      <c r="J17" s="2031"/>
      <c r="K17" s="2088"/>
      <c r="L17" s="2083"/>
      <c r="M17" s="2083"/>
      <c r="N17" s="2084"/>
      <c r="O17" s="2083"/>
      <c r="P17" s="2084"/>
      <c r="Q17" s="2031"/>
      <c r="R17" s="2031"/>
      <c r="S17" s="2031"/>
      <c r="T17" s="2031"/>
      <c r="U17" s="2031"/>
      <c r="V17" s="2031"/>
    </row>
    <row r="18" spans="1:22" ht="36" customHeight="1" thickBot="1">
      <c r="A18" s="2089" t="s">
        <v>70</v>
      </c>
      <c r="B18" s="2040" t="s">
        <v>1806</v>
      </c>
      <c r="C18" s="1447">
        <f>'数据-汇总表'!D3</f>
        <v>81095.31</v>
      </c>
      <c r="D18" s="2090" t="s">
        <v>1805</v>
      </c>
      <c r="E18" s="3044" t="s">
        <v>3316</v>
      </c>
      <c r="F18" s="3045"/>
      <c r="G18" s="3045"/>
      <c r="H18" s="3045"/>
      <c r="I18" s="3046"/>
      <c r="J18" s="2031"/>
      <c r="K18" s="2088"/>
      <c r="L18" s="2083"/>
      <c r="M18" s="2083"/>
      <c r="N18" s="2084"/>
      <c r="O18" s="2083"/>
      <c r="P18" s="2084"/>
      <c r="Q18" s="2031"/>
      <c r="R18" s="2031"/>
      <c r="S18" s="2031"/>
      <c r="T18" s="2031"/>
      <c r="U18" s="2031"/>
      <c r="V18" s="2031"/>
    </row>
    <row r="19" spans="1:22" ht="37.5" customHeight="1" thickTop="1" thickBot="1">
      <c r="A19" s="373" t="s">
        <v>1807</v>
      </c>
      <c r="B19" s="352" t="s">
        <v>1808</v>
      </c>
      <c r="C19" s="2091" t="s">
        <v>3093</v>
      </c>
      <c r="D19" s="2092" t="s">
        <v>1809</v>
      </c>
      <c r="E19" s="2093" t="s">
        <v>3093</v>
      </c>
      <c r="F19" s="2094" t="str">
        <f>IF(AND(C19="是",E19="否"),"是否提供他项权证或相关说明","")</f>
        <v/>
      </c>
      <c r="G19" s="2095"/>
      <c r="H19" s="2044"/>
      <c r="I19" s="2044"/>
      <c r="J19" s="2044"/>
      <c r="K19" s="2055"/>
      <c r="L19" s="2030"/>
      <c r="M19" s="2030"/>
      <c r="N19" s="2084"/>
      <c r="O19" s="2083"/>
      <c r="P19" s="2084"/>
      <c r="Q19" s="2031"/>
      <c r="R19" s="2031"/>
      <c r="S19" s="2031"/>
      <c r="T19" s="2031"/>
      <c r="U19" s="2031"/>
      <c r="V19" s="2031"/>
    </row>
    <row r="20" spans="1:22" ht="18" customHeight="1">
      <c r="A20" s="2096" t="s">
        <v>1810</v>
      </c>
      <c r="B20" s="3031" t="s">
        <v>1811</v>
      </c>
      <c r="C20" s="3032"/>
      <c r="D20" s="3033" t="s">
        <v>1812</v>
      </c>
      <c r="E20" s="3034"/>
      <c r="F20" s="2097" t="s">
        <v>1813</v>
      </c>
      <c r="G20" s="2044"/>
      <c r="H20" s="2044"/>
      <c r="I20" s="2044"/>
      <c r="J20" s="2044"/>
      <c r="K20" s="3030"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1815</v>
      </c>
      <c r="C21" s="2099" t="s">
        <v>3094</v>
      </c>
      <c r="D21" s="2100" t="s">
        <v>1816</v>
      </c>
      <c r="E21" s="2101" t="s">
        <v>3094</v>
      </c>
      <c r="F21" s="2102"/>
      <c r="G21" s="2044"/>
      <c r="H21" s="2044"/>
      <c r="I21" s="2044"/>
      <c r="J21" s="2044"/>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上述抵押权设定日期为2015年1月27日，权利人为中国民生银行股份有限公司盐城分行，权利范围为《房屋所有权证》[阜房权证阜城字第00063704号]，权利价值为200万元整。</v>
      </c>
      <c r="M21" s="2030"/>
      <c r="N21" s="2084"/>
      <c r="O21" s="2083"/>
      <c r="P21" s="2084"/>
      <c r="Q21" s="2031"/>
      <c r="R21" s="2031"/>
      <c r="S21" s="2031"/>
      <c r="T21" s="2031"/>
      <c r="U21" s="2031"/>
      <c r="V21" s="2031"/>
    </row>
    <row r="22" spans="1:22" ht="24.75" customHeight="1" thickBot="1">
      <c r="A22" s="2096"/>
      <c r="B22" s="2103" t="s">
        <v>1817</v>
      </c>
      <c r="C22" s="2099" t="s">
        <v>1818</v>
      </c>
      <c r="D22" s="2028"/>
      <c r="E22" s="2028"/>
      <c r="F22" s="2104"/>
      <c r="G22" s="2044"/>
      <c r="H22" s="2044"/>
      <c r="I22" s="2044"/>
      <c r="J22" s="2044"/>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1819</v>
      </c>
      <c r="B23" s="183" t="s">
        <v>1820</v>
      </c>
      <c r="C23" s="2106">
        <v>42031</v>
      </c>
      <c r="D23" s="2107" t="s">
        <v>1820</v>
      </c>
      <c r="E23" s="2108">
        <f>C23</f>
        <v>42031</v>
      </c>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1821</v>
      </c>
      <c r="C24" s="2964" t="s">
        <v>3095</v>
      </c>
      <c r="D24" s="2105" t="s">
        <v>1821</v>
      </c>
      <c r="E24" s="2112" t="str">
        <f>C24</f>
        <v>中国民生银行股份有限公司盐城分行</v>
      </c>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1822</v>
      </c>
      <c r="C25" s="2111" t="s">
        <v>3098</v>
      </c>
      <c r="D25" s="2105" t="s">
        <v>1822</v>
      </c>
      <c r="E25" s="2112" t="s">
        <v>3099</v>
      </c>
      <c r="F25" s="2104"/>
      <c r="G25" s="2044"/>
      <c r="H25" s="2044"/>
      <c r="I25" s="2044"/>
      <c r="J25" s="2044"/>
      <c r="K25" s="2055"/>
      <c r="L25" s="2030"/>
      <c r="M25" s="2030"/>
      <c r="N25" s="2084"/>
      <c r="O25" s="2083"/>
      <c r="P25" s="2084"/>
      <c r="Q25" s="2031"/>
      <c r="R25" s="2031"/>
      <c r="S25" s="2031"/>
      <c r="T25" s="2031"/>
      <c r="U25" s="2031"/>
      <c r="V25" s="2031"/>
    </row>
    <row r="26" spans="1:22" ht="18" customHeight="1" thickBot="1">
      <c r="A26" s="2113"/>
      <c r="B26" s="2114" t="s">
        <v>1823</v>
      </c>
      <c r="C26" s="2115" t="s">
        <v>3097</v>
      </c>
      <c r="D26" s="2116" t="s">
        <v>1824</v>
      </c>
      <c r="E26" s="2117" t="s">
        <v>3096</v>
      </c>
      <c r="F26" s="2118"/>
      <c r="G26" s="2063"/>
      <c r="H26" s="2063"/>
      <c r="I26" s="2063"/>
      <c r="J26" s="2044"/>
      <c r="K26" s="2055"/>
      <c r="L26" s="2030"/>
      <c r="M26" s="2030"/>
      <c r="N26" s="2084"/>
      <c r="O26" s="2083"/>
      <c r="P26" s="2084"/>
      <c r="Q26" s="2031"/>
      <c r="R26" s="2031"/>
      <c r="S26" s="2031"/>
      <c r="T26" s="2031"/>
      <c r="U26" s="2031"/>
      <c r="V26" s="2031"/>
    </row>
    <row r="27" spans="1:22" ht="18" customHeight="1" thickTop="1">
      <c r="A27" s="3018" t="s">
        <v>1825</v>
      </c>
      <c r="B27" s="2064" t="s">
        <v>1826</v>
      </c>
      <c r="C27" s="2119" t="s">
        <v>3100</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8"/>
      <c r="B28" s="2037" t="s">
        <v>1827</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8"/>
      <c r="B29" s="2037" t="s">
        <v>1828</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19"/>
      <c r="B30" s="2037" t="s">
        <v>1829</v>
      </c>
      <c r="C30" s="3020"/>
      <c r="D30" s="302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2" t="s">
        <v>1830</v>
      </c>
      <c r="B31" s="2126" t="s">
        <v>3101</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23"/>
      <c r="B32" s="2126"/>
      <c r="C32" s="2127" t="str">
        <f>IF(B32="现房","成新及维护状况是否正常",IF(B32="在建","工程状态是否正常",IF(B32="土地","是否闲置","-")))</f>
        <v>-</v>
      </c>
      <c r="D32" s="2128"/>
      <c r="E32" s="2129"/>
      <c r="F32" s="2044"/>
      <c r="G32" s="2044"/>
      <c r="H32" s="2044"/>
      <c r="I32" s="2044"/>
      <c r="J32" s="2044"/>
      <c r="K32" s="2055"/>
      <c r="L32" s="2030"/>
      <c r="M32" s="2030"/>
      <c r="N32" s="2031"/>
      <c r="O32" s="2032"/>
      <c r="P32" s="2031"/>
      <c r="Q32" s="2031"/>
      <c r="R32" s="2031"/>
      <c r="S32" s="2031"/>
      <c r="T32" s="2031"/>
      <c r="U32" s="2031"/>
      <c r="V32" s="2031"/>
    </row>
    <row r="33" spans="1:22" ht="18" customHeight="1">
      <c r="A33" s="3023"/>
      <c r="B33" s="2130"/>
      <c r="C33" s="2070" t="str">
        <f>IF(B33="现房","成新及维护状况是否正常",IF(B33="在建","工程状态是否正常",IF(B33="土地","是否闲置","-")))</f>
        <v>-</v>
      </c>
      <c r="D33" s="2131"/>
      <c r="E33" s="2132"/>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1831</v>
      </c>
      <c r="B34" s="2133" t="s">
        <v>3102</v>
      </c>
      <c r="C34" s="2133" t="s">
        <v>3103</v>
      </c>
      <c r="D34" s="2133" t="s">
        <v>3104</v>
      </c>
      <c r="E34" s="2133" t="s">
        <v>3105</v>
      </c>
      <c r="F34" s="2133" t="s">
        <v>3106</v>
      </c>
      <c r="G34" s="2133"/>
      <c r="H34" s="2133"/>
      <c r="I34" s="2044"/>
      <c r="J34" s="2044"/>
      <c r="K34" s="1797">
        <f>COUNTIF(B34:H34,"——")</f>
        <v>0</v>
      </c>
      <c r="L34" s="2074" t="s">
        <v>1832</v>
      </c>
      <c r="M34" s="2074" t="s">
        <v>1833</v>
      </c>
      <c r="N34" s="2074" t="s">
        <v>1834</v>
      </c>
      <c r="O34" s="2074" t="s">
        <v>1835</v>
      </c>
      <c r="P34" s="2074" t="s">
        <v>1836</v>
      </c>
      <c r="Q34" s="2074" t="s">
        <v>1837</v>
      </c>
      <c r="R34" s="2074" t="s">
        <v>1838</v>
      </c>
      <c r="S34" s="3017" t="s">
        <v>1839</v>
      </c>
      <c r="T34" s="2134" t="str">
        <f>NUMBERSTRING(7-K34,1)&amp;"通"</f>
        <v>七通</v>
      </c>
      <c r="U34" s="2031"/>
      <c r="V34" s="2031"/>
    </row>
    <row r="35" spans="1:22" ht="18" customHeight="1">
      <c r="A35" s="2135"/>
      <c r="B35" s="3024" t="s">
        <v>1840</v>
      </c>
      <c r="C35" s="3024"/>
      <c r="D35" s="3024"/>
      <c r="E35" s="3024"/>
      <c r="F35" s="2136" t="str">
        <f>C10</f>
        <v>江苏省盐城市阜宁县</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7"/>
      <c r="T35" s="48" t="str">
        <f>IF(T34="一通",L35,IF(T34="二通",M35,IF(T34="三通",N35,IF(T34="四通",O35,IF(T34="五通",P35,IF(T34="六通",Q35,R35))))))</f>
        <v>通路、通电、通讯、通上水、通下水、、</v>
      </c>
      <c r="U35" s="2031"/>
      <c r="V35" s="2031"/>
    </row>
    <row r="36" spans="1:22" ht="18" customHeight="1">
      <c r="A36" s="2137"/>
      <c r="B36" s="2136" t="s">
        <v>1841</v>
      </c>
      <c r="C36" s="2136" t="s">
        <v>1842</v>
      </c>
      <c r="D36" s="2136" t="s">
        <v>1843</v>
      </c>
      <c r="E36" s="2136" t="s">
        <v>1844</v>
      </c>
      <c r="F36" s="2138"/>
      <c r="G36" s="2044"/>
      <c r="H36" s="2044"/>
      <c r="I36" s="2044"/>
      <c r="J36" s="2044"/>
      <c r="K36" s="2055"/>
      <c r="L36" s="2030"/>
      <c r="M36" s="2030"/>
      <c r="N36" s="2031"/>
      <c r="O36" s="2032"/>
      <c r="P36" s="2031"/>
      <c r="Q36" s="2031"/>
      <c r="R36" s="2031"/>
      <c r="S36" s="2031"/>
      <c r="T36" s="2031"/>
      <c r="U36" s="2031"/>
      <c r="V36" s="2031"/>
    </row>
    <row r="37" spans="1:22" ht="18" customHeight="1">
      <c r="A37" s="2139" t="s">
        <v>1845</v>
      </c>
      <c r="B37" s="2140"/>
      <c r="C37" s="2140"/>
      <c r="D37" s="2140"/>
      <c r="E37" s="2140"/>
      <c r="F37" s="2138"/>
      <c r="G37" s="2044"/>
      <c r="H37" s="2044"/>
      <c r="I37" s="2044"/>
      <c r="J37" s="2044"/>
      <c r="K37" s="2055"/>
      <c r="L37" s="2030"/>
      <c r="M37" s="2030"/>
      <c r="N37" s="2031"/>
      <c r="O37" s="2032"/>
      <c r="P37" s="2031"/>
      <c r="Q37" s="2031"/>
      <c r="R37" s="2031"/>
      <c r="S37" s="2031"/>
      <c r="T37" s="2031"/>
      <c r="U37" s="2031"/>
      <c r="V37" s="2031"/>
    </row>
    <row r="38" spans="1:22" ht="18" customHeight="1" thickBot="1">
      <c r="A38" s="2141" t="s">
        <v>1846</v>
      </c>
      <c r="B38" s="2142"/>
      <c r="C38" s="2142"/>
      <c r="D38" s="2142"/>
      <c r="E38" s="2142"/>
      <c r="F38" s="2143"/>
      <c r="G38" s="2063"/>
      <c r="H38" s="2063"/>
      <c r="I38" s="2063"/>
      <c r="J38" s="2044"/>
      <c r="K38" s="2055"/>
      <c r="L38" s="2030"/>
      <c r="M38" s="2030"/>
      <c r="N38" s="2031"/>
      <c r="O38" s="2032"/>
      <c r="P38" s="2031"/>
      <c r="Q38" s="2031"/>
      <c r="R38" s="2031"/>
      <c r="S38" s="2031"/>
      <c r="T38" s="2031"/>
      <c r="U38" s="2031"/>
      <c r="V38" s="2031"/>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1848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1849</v>
      </c>
      <c r="B42" s="1797" t="s">
        <v>1850</v>
      </c>
      <c r="C42" s="1797" t="s">
        <v>1851</v>
      </c>
      <c r="D42" s="1797" t="s">
        <v>1852</v>
      </c>
      <c r="E42" s="1797" t="s">
        <v>1853</v>
      </c>
      <c r="F42" s="1797" t="s">
        <v>1854</v>
      </c>
      <c r="G42" s="1797" t="s">
        <v>1855</v>
      </c>
      <c r="H42" s="1797" t="s">
        <v>1856</v>
      </c>
      <c r="I42" s="1797" t="s">
        <v>1857</v>
      </c>
      <c r="J42" s="2152" t="s">
        <v>1858</v>
      </c>
      <c r="K42" s="2075" t="s">
        <v>1859</v>
      </c>
      <c r="L42" s="2075" t="s">
        <v>1860</v>
      </c>
      <c r="M42" s="2075" t="s">
        <v>1861</v>
      </c>
      <c r="N42" s="1797" t="s">
        <v>1862</v>
      </c>
      <c r="O42" s="1797" t="s">
        <v>1863</v>
      </c>
      <c r="P42" s="1797" t="s">
        <v>1864</v>
      </c>
      <c r="Q42" s="2074" t="s">
        <v>1865</v>
      </c>
      <c r="R42" s="2074" t="s">
        <v>1866</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抵押物清单2!I7</f>
        <v>81095.31</v>
      </c>
      <c r="B3" s="14">
        <f>IF(C3="否",G5-AT5,G5)</f>
        <v>8062.31</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5"/>
      <c r="C5" s="1805"/>
      <c r="D5" s="1808"/>
      <c r="E5" s="16" t="s">
        <v>1</v>
      </c>
      <c r="F5" s="16">
        <f>SUM(F13:F587)</f>
        <v>0</v>
      </c>
      <c r="G5" s="16">
        <f>SUM(G13:G587)</f>
        <v>8062.31</v>
      </c>
      <c r="H5" s="16">
        <f t="shared" ref="H5:AT5" si="0">SUM(H13:H656)</f>
        <v>8062.31</v>
      </c>
      <c r="I5" s="16">
        <f t="shared" si="0"/>
        <v>5393.59</v>
      </c>
      <c r="J5" s="16">
        <f t="shared" si="0"/>
        <v>0</v>
      </c>
      <c r="K5" s="16">
        <f t="shared" si="0"/>
        <v>2668.7200000000003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8062.31</v>
      </c>
      <c r="BA5" s="18">
        <f t="shared" si="1"/>
        <v>8062.31</v>
      </c>
      <c r="BB5" s="18">
        <f t="shared" si="1"/>
        <v>5393.59</v>
      </c>
      <c r="BC5" s="18">
        <f t="shared" si="1"/>
        <v>2668.7200000000003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81095.31</v>
      </c>
      <c r="F6" s="16" t="s">
        <v>1</v>
      </c>
      <c r="G6" s="16" t="s">
        <v>2</v>
      </c>
      <c r="H6" s="20">
        <f>SUMIF(I$12:AB$12,"总值",I6:AB6)</f>
        <v>81095.31</v>
      </c>
      <c r="I6" s="16">
        <f t="shared" ref="I6:AB6" si="2">ROUND($A$3*I5/$B$3,2)</f>
        <v>54251.8</v>
      </c>
      <c r="J6" s="16">
        <f t="shared" si="2"/>
        <v>0</v>
      </c>
      <c r="K6" s="16">
        <f t="shared" si="2"/>
        <v>26843.51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81095.31</v>
      </c>
      <c r="AZ6" s="16" t="s">
        <v>3</v>
      </c>
      <c r="BA6" s="16">
        <f>ROUND($AY$6*BA5/$AZ$5,2)</f>
        <v>81095.31</v>
      </c>
      <c r="BB6" s="16">
        <f>ROUND($AY$6*BB5/$AZ$5,2)</f>
        <v>54251.8</v>
      </c>
      <c r="BC6" s="16">
        <f t="shared" ref="BC6:BH6" si="4">ROUND($AY$6*BC5/$AZ$5,2)</f>
        <v>26843.51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1885</v>
      </c>
      <c r="AV7" s="23" t="s">
        <v>1886</v>
      </c>
      <c r="AW7" s="2166" t="s">
        <v>1887</v>
      </c>
      <c r="AX7" s="23" t="s">
        <v>1880</v>
      </c>
      <c r="AY7" s="1805"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0"/>
      <c r="K8" s="1820"/>
      <c r="L8" s="1820"/>
      <c r="M8" s="1820"/>
      <c r="N8" s="1820"/>
      <c r="O8" s="1820"/>
      <c r="P8" s="1820"/>
      <c r="Q8" s="1820"/>
      <c r="R8" s="1820"/>
      <c r="S8" s="1820"/>
      <c r="T8" s="1820"/>
      <c r="U8" s="1820"/>
      <c r="V8" s="2186"/>
      <c r="W8" s="1820"/>
      <c r="X8" s="1820"/>
      <c r="Y8" s="1820"/>
      <c r="Z8" s="1820"/>
      <c r="AA8" s="2186"/>
      <c r="AB8" s="2187"/>
      <c r="AC8" s="984" t="s">
        <v>1891</v>
      </c>
      <c r="AD8" s="2188"/>
      <c r="AE8" s="2180"/>
      <c r="AF8" s="1820"/>
      <c r="AG8" s="1820"/>
      <c r="AH8" s="1820"/>
      <c r="AI8" s="1820"/>
      <c r="AJ8" s="1820"/>
      <c r="AK8" s="1820"/>
      <c r="AL8" s="1820"/>
      <c r="AM8" s="1820"/>
      <c r="AN8" s="1820"/>
      <c r="AO8" s="1820"/>
      <c r="AP8" s="1820"/>
      <c r="AQ8" s="1820"/>
      <c r="AR8" s="1820"/>
      <c r="AS8" s="1820"/>
      <c r="AT8" s="1295" t="s">
        <v>1892</v>
      </c>
      <c r="AU8" s="2182" t="s">
        <v>1893</v>
      </c>
      <c r="AV8" s="1295"/>
      <c r="AW8" s="2165"/>
      <c r="AX8" s="1295"/>
      <c r="AY8" s="2166"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1896</v>
      </c>
      <c r="I9" s="2191" t="s">
        <v>3107</v>
      </c>
      <c r="J9" s="984"/>
      <c r="K9" s="2191" t="s">
        <v>3107</v>
      </c>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1377</v>
      </c>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t="str">
        <f>K9</f>
        <v>地上</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3108</v>
      </c>
      <c r="J11" s="2203"/>
      <c r="K11" s="2202" t="s">
        <v>3109</v>
      </c>
      <c r="L11" s="2203"/>
      <c r="M11" s="2202"/>
      <c r="N11" s="2203"/>
      <c r="O11" s="2202"/>
      <c r="P11" s="2203"/>
      <c r="Q11" s="2202"/>
      <c r="R11" s="2203"/>
      <c r="S11" s="2202"/>
      <c r="T11" s="2203"/>
      <c r="U11" s="2202"/>
      <c r="V11" s="2203"/>
      <c r="W11" s="2202"/>
      <c r="X11" s="2203"/>
      <c r="Y11" s="2202"/>
      <c r="Z11" s="2203"/>
      <c r="AA11" s="2202"/>
      <c r="AB11" s="2203"/>
      <c r="AC11" s="1295"/>
      <c r="AD11" s="2204" t="s">
        <v>1906</v>
      </c>
      <c r="AE11" s="1821"/>
      <c r="AF11" s="2204" t="s">
        <v>1906</v>
      </c>
      <c r="AG11" s="1821"/>
      <c r="AH11" s="2204" t="s">
        <v>1907</v>
      </c>
      <c r="AI11" s="2205"/>
      <c r="AJ11" s="2204" t="s">
        <v>1907</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9"/>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酒店</v>
      </c>
      <c r="BC12" s="2212" t="str">
        <f>K11</f>
        <v>独栋</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3093</v>
      </c>
      <c r="E13" s="16">
        <f>IF($C$3="是",ROUND($A$3*G13/$B$3,2),ROUND($A$3*(G13-AT13)/$B$3,2))</f>
        <v>81095.31</v>
      </c>
      <c r="F13" s="32"/>
      <c r="G13" s="33">
        <f>H13+AC13+AT13</f>
        <v>8062.31</v>
      </c>
      <c r="H13" s="20">
        <f>SUMIF(I$12:AB$12,"总值",I13:AB13)</f>
        <v>8062.31</v>
      </c>
      <c r="I13" s="2214">
        <f>抵押物清单1!I16</f>
        <v>5393.59</v>
      </c>
      <c r="J13" s="2214"/>
      <c r="K13" s="2214">
        <f>抵押物清单1!I6+抵押物清单1!I10+抵押物清单1!I14</f>
        <v>2668.7200000000003</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8">
        <f>ROUND($AY$6*AZ13/$AZ$5,2)</f>
        <v>81095.31</v>
      </c>
      <c r="AZ13" s="16">
        <f>BA13+BL13</f>
        <v>8062.31</v>
      </c>
      <c r="BA13" s="16">
        <f>SUM(BB13:BK13)</f>
        <v>8062.31</v>
      </c>
      <c r="BB13" s="16">
        <f>IF($D13="是",I13-J13,0)</f>
        <v>5393.59</v>
      </c>
      <c r="BC13" s="16">
        <f>IF($D13="是",K13-L13,0)</f>
        <v>2668.7200000000003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7"/>
  <sheetViews>
    <sheetView topLeftCell="D1" workbookViewId="0">
      <selection activeCell="J15" sqref="J15"/>
    </sheetView>
  </sheetViews>
  <sheetFormatPr defaultRowHeight="16.5"/>
  <cols>
    <col min="1" max="1" width="1.875" customWidth="1"/>
    <col min="2" max="2" width="6.25" style="2957" customWidth="1"/>
    <col min="3" max="3" width="12.375" style="2957" customWidth="1"/>
    <col min="4" max="4" width="13.75" style="2957" customWidth="1"/>
    <col min="5" max="5" width="13.875" style="2957" customWidth="1"/>
    <col min="6" max="6" width="11.25" style="2957" bestFit="1" customWidth="1"/>
    <col min="7" max="7" width="12.125" style="2957" customWidth="1"/>
    <col min="8" max="8" width="7.75" style="2957" customWidth="1"/>
    <col min="9" max="9" width="11.375" style="2957" customWidth="1"/>
    <col min="10" max="10" width="6.125" style="2957" customWidth="1"/>
    <col min="11" max="13" width="14.875" customWidth="1"/>
  </cols>
  <sheetData>
    <row r="2" spans="2:15" s="2961" customFormat="1" ht="22.5" customHeight="1">
      <c r="B2" s="2962" t="s">
        <v>3061</v>
      </c>
      <c r="C2" s="2962" t="s">
        <v>3320</v>
      </c>
      <c r="D2" s="2962" t="s">
        <v>3062</v>
      </c>
      <c r="E2" s="2962" t="s">
        <v>3063</v>
      </c>
      <c r="F2" s="2962" t="s">
        <v>3064</v>
      </c>
      <c r="G2" s="2962" t="s">
        <v>3317</v>
      </c>
      <c r="H2" s="2962" t="s">
        <v>3065</v>
      </c>
      <c r="I2" s="2962" t="s">
        <v>3066</v>
      </c>
      <c r="J2" s="2962" t="s">
        <v>3067</v>
      </c>
      <c r="K2" s="2962" t="s">
        <v>3318</v>
      </c>
      <c r="L2" s="2962" t="s">
        <v>3319</v>
      </c>
      <c r="M2" s="2962" t="s">
        <v>3083</v>
      </c>
      <c r="N2" s="2962" t="s">
        <v>3320</v>
      </c>
    </row>
    <row r="3" spans="2:15" ht="37.5" customHeight="1">
      <c r="B3" s="2957">
        <v>1</v>
      </c>
      <c r="C3" s="2957" t="s">
        <v>3076</v>
      </c>
      <c r="D3" s="2957" t="s">
        <v>3068</v>
      </c>
      <c r="E3" s="2957" t="s">
        <v>3077</v>
      </c>
      <c r="F3" s="2958">
        <v>41028</v>
      </c>
      <c r="G3" s="2957" t="s">
        <v>3069</v>
      </c>
      <c r="H3" s="2957">
        <v>1</v>
      </c>
      <c r="I3" s="2957">
        <v>186.21</v>
      </c>
      <c r="J3" s="2957">
        <v>1</v>
      </c>
      <c r="K3" s="2957" t="s">
        <v>3087</v>
      </c>
      <c r="L3" s="2958">
        <v>55637</v>
      </c>
      <c r="M3" s="2957">
        <v>25001.98</v>
      </c>
      <c r="N3" s="2957" t="s">
        <v>3312</v>
      </c>
      <c r="O3" s="2957"/>
    </row>
    <row r="4" spans="2:15" ht="37.5" customHeight="1">
      <c r="H4" s="2957">
        <v>2</v>
      </c>
      <c r="I4" s="2957">
        <v>238.36</v>
      </c>
      <c r="J4" s="2957">
        <v>2</v>
      </c>
    </row>
    <row r="5" spans="2:15" ht="37.5" customHeight="1">
      <c r="H5" s="2957">
        <v>3</v>
      </c>
      <c r="I5" s="2957">
        <v>311.32</v>
      </c>
      <c r="J5" s="2957">
        <v>2</v>
      </c>
    </row>
    <row r="6" spans="2:15" s="2959" customFormat="1" ht="22.5" customHeight="1">
      <c r="B6" s="2960"/>
      <c r="C6" s="2960" t="s">
        <v>3074</v>
      </c>
      <c r="D6" s="2960"/>
      <c r="E6" s="2960"/>
      <c r="F6" s="2960"/>
      <c r="G6" s="2960"/>
      <c r="H6" s="2960"/>
      <c r="I6" s="2960">
        <f>SUM(I3:I5)</f>
        <v>735.8900000000001</v>
      </c>
      <c r="J6" s="2960"/>
      <c r="K6" s="2960"/>
      <c r="L6" s="2960"/>
      <c r="M6" s="2960">
        <f>SUM(M3:M5)</f>
        <v>25001.98</v>
      </c>
    </row>
    <row r="7" spans="2:15" ht="37.5" customHeight="1">
      <c r="B7" s="2957">
        <v>2</v>
      </c>
      <c r="C7" s="2957" t="s">
        <v>3070</v>
      </c>
      <c r="D7" s="2957" t="s">
        <v>3068</v>
      </c>
      <c r="E7" s="2957" t="s">
        <v>3077</v>
      </c>
      <c r="F7" s="2958">
        <v>41028</v>
      </c>
      <c r="G7" s="2957" t="s">
        <v>3069</v>
      </c>
      <c r="H7" s="2957">
        <v>9</v>
      </c>
      <c r="I7" s="2957">
        <v>284.93</v>
      </c>
      <c r="J7" s="2957">
        <v>2</v>
      </c>
      <c r="K7" s="2957" t="s">
        <v>3087</v>
      </c>
      <c r="L7" s="2958">
        <v>55637</v>
      </c>
      <c r="M7" s="2957">
        <v>11906.44</v>
      </c>
      <c r="N7" s="2957" t="s">
        <v>3092</v>
      </c>
    </row>
    <row r="8" spans="2:15" ht="37.5" customHeight="1">
      <c r="H8" s="2957">
        <v>10</v>
      </c>
      <c r="I8" s="2957">
        <v>357.56</v>
      </c>
      <c r="J8" s="2957">
        <v>2</v>
      </c>
    </row>
    <row r="9" spans="2:15" ht="37.5" customHeight="1">
      <c r="H9" s="2957">
        <v>11</v>
      </c>
      <c r="I9" s="2957">
        <v>351.8</v>
      </c>
      <c r="J9" s="2957">
        <v>2</v>
      </c>
    </row>
    <row r="10" spans="2:15" s="2959" customFormat="1" ht="22.5" customHeight="1">
      <c r="B10" s="2960"/>
      <c r="C10" s="2960" t="s">
        <v>3074</v>
      </c>
      <c r="D10" s="2960"/>
      <c r="E10" s="2960"/>
      <c r="F10" s="2960"/>
      <c r="G10" s="2960"/>
      <c r="H10" s="2960"/>
      <c r="I10" s="2960">
        <f>SUM(I7:I9)</f>
        <v>994.29</v>
      </c>
      <c r="J10" s="2960"/>
      <c r="K10" s="2960"/>
      <c r="L10" s="2960"/>
      <c r="M10" s="2960">
        <f>SUM(M7:M9)</f>
        <v>11906.44</v>
      </c>
    </row>
    <row r="11" spans="2:15" ht="37.5" customHeight="1">
      <c r="B11" s="2957">
        <v>3</v>
      </c>
      <c r="C11" s="2957" t="s">
        <v>3071</v>
      </c>
      <c r="D11" s="2957" t="s">
        <v>3068</v>
      </c>
      <c r="E11" s="2957" t="s">
        <v>3077</v>
      </c>
      <c r="F11" s="2958">
        <v>41028</v>
      </c>
      <c r="G11" s="2957" t="s">
        <v>3069</v>
      </c>
      <c r="H11" s="2957">
        <v>12</v>
      </c>
      <c r="I11" s="2957">
        <v>328.16</v>
      </c>
      <c r="J11" s="2957">
        <v>2</v>
      </c>
      <c r="K11" s="2957" t="s">
        <v>3087</v>
      </c>
      <c r="L11" s="2958">
        <v>55637</v>
      </c>
      <c r="M11" s="2957">
        <v>18092.47</v>
      </c>
      <c r="N11" s="2957" t="s">
        <v>3314</v>
      </c>
    </row>
    <row r="12" spans="2:15" ht="37.5" customHeight="1">
      <c r="H12" s="2957">
        <v>13</v>
      </c>
      <c r="I12" s="2957">
        <v>362.17</v>
      </c>
      <c r="J12" s="2957">
        <v>2</v>
      </c>
    </row>
    <row r="13" spans="2:15" ht="37.5" customHeight="1">
      <c r="H13" s="2957">
        <v>15</v>
      </c>
      <c r="I13" s="2957">
        <v>248.21</v>
      </c>
      <c r="J13" s="2957">
        <v>2</v>
      </c>
    </row>
    <row r="14" spans="2:15" s="2959" customFormat="1" ht="22.5" customHeight="1">
      <c r="B14" s="2960"/>
      <c r="C14" s="2960" t="s">
        <v>3074</v>
      </c>
      <c r="D14" s="2960"/>
      <c r="E14" s="2960"/>
      <c r="F14" s="2960"/>
      <c r="G14" s="2960"/>
      <c r="H14" s="2960"/>
      <c r="I14" s="2960">
        <f>SUM(I11:I13)</f>
        <v>938.54000000000008</v>
      </c>
      <c r="J14" s="2960"/>
      <c r="K14" s="2960"/>
      <c r="L14" s="2960"/>
      <c r="M14" s="2960">
        <f>SUM(M11:M13)</f>
        <v>18092.47</v>
      </c>
    </row>
    <row r="15" spans="2:15" ht="37.5" customHeight="1">
      <c r="B15" s="2957">
        <v>4</v>
      </c>
      <c r="C15" s="2957" t="s">
        <v>3073</v>
      </c>
      <c r="D15" s="2957" t="s">
        <v>3068</v>
      </c>
      <c r="E15" s="2957" t="s">
        <v>3077</v>
      </c>
      <c r="F15" s="2958">
        <v>41028</v>
      </c>
      <c r="G15" s="2957" t="s">
        <v>3069</v>
      </c>
      <c r="H15" s="2957" t="s">
        <v>3072</v>
      </c>
      <c r="I15" s="2957">
        <v>5393.59</v>
      </c>
      <c r="J15" s="2957">
        <v>4</v>
      </c>
      <c r="K15" s="2957" t="s">
        <v>3087</v>
      </c>
      <c r="L15" s="2958">
        <v>55637</v>
      </c>
      <c r="M15" s="2957">
        <v>26094.42</v>
      </c>
      <c r="N15" s="2957" t="s">
        <v>3088</v>
      </c>
    </row>
    <row r="16" spans="2:15" s="2959" customFormat="1" ht="22.5" customHeight="1">
      <c r="B16" s="2960"/>
      <c r="C16" s="2960" t="s">
        <v>3074</v>
      </c>
      <c r="D16" s="2960"/>
      <c r="E16" s="2960"/>
      <c r="F16" s="2960"/>
      <c r="G16" s="2960"/>
      <c r="H16" s="2960"/>
      <c r="I16" s="2960">
        <f>SUM(I15)</f>
        <v>5393.59</v>
      </c>
      <c r="J16" s="2960"/>
      <c r="K16" s="2960"/>
      <c r="L16" s="2960"/>
      <c r="M16" s="2960">
        <f>SUM(M15)</f>
        <v>26094.42</v>
      </c>
    </row>
    <row r="17" spans="2:13" s="2959" customFormat="1" ht="22.5" customHeight="1">
      <c r="B17" s="2960"/>
      <c r="C17" s="2960" t="s">
        <v>3075</v>
      </c>
      <c r="D17" s="2960"/>
      <c r="E17" s="2960"/>
      <c r="F17" s="2960"/>
      <c r="G17" s="2960"/>
      <c r="H17" s="2960"/>
      <c r="I17" s="2960">
        <f>I6+I10+I14+I16</f>
        <v>8062.31</v>
      </c>
      <c r="J17" s="2960"/>
      <c r="K17" s="2960"/>
      <c r="L17" s="2960"/>
      <c r="M17" s="2960">
        <f t="shared" ref="M17" si="0">M6+M10+M14+M16</f>
        <v>81095.31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G8" sqref="G8"/>
    </sheetView>
  </sheetViews>
  <sheetFormatPr defaultRowHeight="16.5"/>
  <cols>
    <col min="1" max="1" width="1.875" customWidth="1"/>
    <col min="2" max="2" width="7.75" style="2957" customWidth="1"/>
    <col min="3" max="3" width="16" style="2957" customWidth="1"/>
    <col min="4" max="4" width="15.25" style="2957" customWidth="1"/>
    <col min="5" max="5" width="13.375" style="2957" customWidth="1"/>
    <col min="6" max="6" width="16.75" style="2957" customWidth="1"/>
    <col min="7" max="9" width="13.375" style="2957" customWidth="1"/>
  </cols>
  <sheetData>
    <row r="1" spans="2:9" ht="11.25" customHeight="1"/>
    <row r="2" spans="2:9" s="2961" customFormat="1" ht="27" customHeight="1">
      <c r="B2" s="2962" t="s">
        <v>3078</v>
      </c>
      <c r="C2" s="2962" t="s">
        <v>3060</v>
      </c>
      <c r="D2" s="2962" t="s">
        <v>3079</v>
      </c>
      <c r="E2" s="2962" t="s">
        <v>3063</v>
      </c>
      <c r="F2" s="2962" t="s">
        <v>3080</v>
      </c>
      <c r="G2" s="2962" t="s">
        <v>3081</v>
      </c>
      <c r="H2" s="2962" t="s">
        <v>3082</v>
      </c>
      <c r="I2" s="2962" t="s">
        <v>3083</v>
      </c>
    </row>
    <row r="3" spans="2:9" ht="45" customHeight="1">
      <c r="B3" s="2957">
        <v>1</v>
      </c>
      <c r="C3" s="2957" t="s">
        <v>3312</v>
      </c>
      <c r="D3" s="2957" t="s">
        <v>3068</v>
      </c>
      <c r="E3" s="2957" t="s">
        <v>3084</v>
      </c>
      <c r="F3" s="2957" t="s">
        <v>3313</v>
      </c>
      <c r="G3" s="2957" t="s">
        <v>3087</v>
      </c>
      <c r="H3" s="2958">
        <v>55637</v>
      </c>
      <c r="I3" s="2957">
        <v>25001.98</v>
      </c>
    </row>
    <row r="4" spans="2:9" ht="45" customHeight="1">
      <c r="B4" s="2957">
        <v>2</v>
      </c>
      <c r="C4" s="2957" t="s">
        <v>3092</v>
      </c>
      <c r="D4" s="2957" t="s">
        <v>3068</v>
      </c>
      <c r="E4" s="2957" t="s">
        <v>3084</v>
      </c>
      <c r="F4" s="2957" t="s">
        <v>3085</v>
      </c>
      <c r="G4" s="2957" t="s">
        <v>3087</v>
      </c>
      <c r="H4" s="2958">
        <v>55637</v>
      </c>
      <c r="I4" s="2957">
        <v>11906.44</v>
      </c>
    </row>
    <row r="5" spans="2:9" ht="45" customHeight="1">
      <c r="B5" s="2957">
        <v>3</v>
      </c>
      <c r="C5" s="2957" t="s">
        <v>3314</v>
      </c>
      <c r="D5" s="2957" t="s">
        <v>3068</v>
      </c>
      <c r="E5" s="2957" t="s">
        <v>3084</v>
      </c>
      <c r="F5" s="2957" t="s">
        <v>3315</v>
      </c>
      <c r="G5" s="2957" t="s">
        <v>3087</v>
      </c>
      <c r="H5" s="2958">
        <v>55637</v>
      </c>
      <c r="I5" s="2957">
        <v>18092.47</v>
      </c>
    </row>
    <row r="6" spans="2:9" ht="45" customHeight="1">
      <c r="B6" s="2957">
        <v>4</v>
      </c>
      <c r="C6" s="2957" t="s">
        <v>3088</v>
      </c>
      <c r="D6" s="2957" t="s">
        <v>3068</v>
      </c>
      <c r="E6" s="2957" t="s">
        <v>3084</v>
      </c>
      <c r="F6" s="2957" t="s">
        <v>3089</v>
      </c>
      <c r="G6" s="2957" t="s">
        <v>3087</v>
      </c>
      <c r="H6" s="2958">
        <v>55637</v>
      </c>
      <c r="I6" s="2957">
        <v>26094.42</v>
      </c>
    </row>
    <row r="7" spans="2:9" s="2959" customFormat="1" ht="27" customHeight="1">
      <c r="B7" s="2960" t="s">
        <v>3075</v>
      </c>
      <c r="C7" s="2960"/>
      <c r="D7" s="2960"/>
      <c r="E7" s="2960"/>
      <c r="F7" s="2960"/>
      <c r="G7" s="2960"/>
      <c r="H7" s="2963"/>
      <c r="I7" s="2960">
        <f>SUM(I3:I6)</f>
        <v>81095.31</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10" sqref="A1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58" t="s">
        <v>1936</v>
      </c>
      <c r="B2" s="3058"/>
      <c r="C2" s="3058"/>
      <c r="D2" s="970" t="s">
        <v>1912</v>
      </c>
      <c r="E2" s="2227" t="s">
        <v>1913</v>
      </c>
      <c r="F2" s="1395"/>
      <c r="G2" s="2228"/>
      <c r="H2" s="2229"/>
      <c r="I2" s="2230" t="s">
        <v>1937</v>
      </c>
      <c r="J2" s="1395"/>
      <c r="K2" s="1395"/>
      <c r="L2" s="1395"/>
      <c r="M2" s="1395"/>
      <c r="N2" s="1430"/>
      <c r="O2" s="1395"/>
      <c r="P2" s="1395"/>
    </row>
    <row r="3" spans="1:16" ht="15.75" thickBot="1">
      <c r="A3" s="3059" t="s">
        <v>1910</v>
      </c>
      <c r="B3" s="3059"/>
      <c r="C3" s="3059"/>
      <c r="D3" s="46">
        <f>'数据-基础表'!AY6</f>
        <v>81095.31</v>
      </c>
      <c r="E3" s="46">
        <f>'数据-基础表'!AZ5</f>
        <v>8062.31</v>
      </c>
      <c r="F3" s="1395"/>
      <c r="G3" s="1402"/>
      <c r="H3" s="1250" t="s">
        <v>1911</v>
      </c>
      <c r="I3" s="55">
        <f>ROUND('数据-基础表'!B3/'数据-基础表'!A3,2)</f>
        <v>0.1</v>
      </c>
      <c r="J3" s="1395"/>
      <c r="K3" s="1395"/>
      <c r="L3" s="1395"/>
      <c r="M3" s="1395"/>
      <c r="N3" s="1430"/>
      <c r="O3" s="1395"/>
      <c r="P3" s="1395"/>
    </row>
    <row r="4" spans="1:16" ht="15">
      <c r="A4" s="3060"/>
      <c r="B4" s="3061"/>
      <c r="C4" s="3062"/>
      <c r="D4" s="2231" t="s">
        <v>1912</v>
      </c>
      <c r="E4" s="2232" t="s">
        <v>1913</v>
      </c>
      <c r="F4" s="1395"/>
      <c r="G4" s="2233" t="s">
        <v>1938</v>
      </c>
      <c r="H4" s="1250" t="s">
        <v>1918</v>
      </c>
      <c r="I4" s="55">
        <f>ROUND(SUMIF('数据-基础表'!I9:AS9,"地上",'数据-基础表'!I5:AS5)/'数据-基础表'!A3,2)</f>
        <v>0.1</v>
      </c>
      <c r="J4" s="1395"/>
      <c r="K4" s="1395"/>
      <c r="L4" s="1395"/>
      <c r="M4" s="1395"/>
      <c r="N4" s="1430"/>
      <c r="O4" s="1395"/>
      <c r="P4" s="1395"/>
    </row>
    <row r="5" spans="1:16">
      <c r="A5" s="47" t="s">
        <v>1914</v>
      </c>
      <c r="B5" s="3063" t="s">
        <v>1915</v>
      </c>
      <c r="C5" s="3063"/>
      <c r="D5" s="48">
        <f>ROUND($D$3*E5/$E$3,2)</f>
        <v>0</v>
      </c>
      <c r="E5" s="49">
        <f>SUMIF('数据-基础表'!$11:$11,"住宅",'数据-基础表'!$5:$5)</f>
        <v>0</v>
      </c>
      <c r="F5" s="1395"/>
      <c r="G5" s="1402"/>
      <c r="H5" s="1250" t="s">
        <v>1911</v>
      </c>
      <c r="I5" s="55">
        <f>ROUND(E31/D31,2)</f>
        <v>0.1</v>
      </c>
      <c r="J5" s="1395"/>
      <c r="K5" s="1395"/>
      <c r="L5" s="1395"/>
      <c r="M5" s="1395"/>
      <c r="N5" s="1395"/>
      <c r="O5" s="1395"/>
      <c r="P5" s="1395"/>
    </row>
    <row r="6" spans="1:16" ht="15" thickBot="1">
      <c r="A6" s="2234"/>
      <c r="B6" s="3063" t="s">
        <v>1916</v>
      </c>
      <c r="C6" s="3063"/>
      <c r="D6" s="48">
        <f>ROUND($D$3*E6/$E$3,2)</f>
        <v>81095.31</v>
      </c>
      <c r="E6" s="49">
        <f>E3-E5</f>
        <v>8062.31</v>
      </c>
      <c r="F6" s="1395"/>
      <c r="G6" s="2235" t="s">
        <v>1917</v>
      </c>
      <c r="H6" s="1402" t="s">
        <v>1918</v>
      </c>
      <c r="I6" s="942">
        <f>ROUND(F31/D31,2)</f>
        <v>0.1</v>
      </c>
      <c r="J6" s="1395"/>
      <c r="K6" s="1395"/>
      <c r="L6" s="1395"/>
      <c r="M6" s="1395"/>
      <c r="N6" s="1395"/>
      <c r="O6" s="1395"/>
      <c r="P6" s="1395"/>
    </row>
    <row r="7" spans="1:16" ht="15">
      <c r="A7" s="3055"/>
      <c r="B7" s="3056"/>
      <c r="C7" s="3057"/>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81095.31</v>
      </c>
      <c r="E8" s="51">
        <f>SUMIF('数据-基础表'!BB10:BK10,"地上",'数据-基础表'!BB5:BK5)</f>
        <v>8062.31</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81095.31</v>
      </c>
      <c r="E16" s="53">
        <f>SUM(E8:E15)</f>
        <v>8062.31</v>
      </c>
      <c r="F16" s="1395"/>
      <c r="G16" s="2237"/>
      <c r="H16" s="2240" t="s">
        <v>1940</v>
      </c>
      <c r="I16" s="2241"/>
      <c r="J16" s="1395"/>
      <c r="K16" s="3052" t="s">
        <v>1940</v>
      </c>
      <c r="L16" s="3053"/>
      <c r="M16" s="3053"/>
      <c r="N16" s="3053"/>
      <c r="O16" s="3053"/>
      <c r="P16" s="3054"/>
    </row>
    <row r="17" spans="1:19" ht="15">
      <c r="A17" s="2242" t="s">
        <v>1941</v>
      </c>
      <c r="B17" s="2243" t="s">
        <v>1942</v>
      </c>
      <c r="C17" s="2244" t="s">
        <v>1943</v>
      </c>
      <c r="D17" s="2245" t="s">
        <v>1931</v>
      </c>
      <c r="E17" s="2246" t="s">
        <v>1932</v>
      </c>
      <c r="F17" s="2247"/>
      <c r="G17" s="2248"/>
      <c r="H17" s="2249" t="s">
        <v>1944</v>
      </c>
      <c r="I17" s="2250" t="s">
        <v>1929</v>
      </c>
      <c r="J17" s="1395"/>
      <c r="K17" s="3049" t="s">
        <v>1945</v>
      </c>
      <c r="L17" s="3050"/>
      <c r="M17" s="3051"/>
      <c r="N17" s="3049" t="s">
        <v>1946</v>
      </c>
      <c r="O17" s="3050"/>
      <c r="P17" s="3051"/>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65" t="s">
        <v>3111</v>
      </c>
      <c r="D19" s="48">
        <f>ROUND($D$3*E19/$E$3,2)</f>
        <v>54251.8</v>
      </c>
      <c r="E19" s="56">
        <f t="shared" ref="E19:E26" si="1">SUM(F19:G19)</f>
        <v>5393.59</v>
      </c>
      <c r="F19" s="57">
        <f>'数据-基础表'!I13</f>
        <v>5393.59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54251.8</v>
      </c>
      <c r="S19" s="1251">
        <f t="shared" si="5"/>
        <v>5393.59</v>
      </c>
    </row>
    <row r="20" spans="1:19">
      <c r="A20" s="2263"/>
      <c r="B20" s="50" t="s">
        <v>1958</v>
      </c>
      <c r="C20" s="2965" t="s">
        <v>3110</v>
      </c>
      <c r="D20" s="48">
        <f t="shared" ref="D20:D26" si="6">ROUND($D$3*E20/$E$3,2)</f>
        <v>26843.51</v>
      </c>
      <c r="E20" s="56">
        <f t="shared" si="1"/>
        <v>2668.7200000000003</v>
      </c>
      <c r="F20" s="57">
        <f>'数据-基础表'!K13</f>
        <v>2668.7200000000003</v>
      </c>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26843.51</v>
      </c>
      <c r="S20" s="1251">
        <f t="shared" si="5"/>
        <v>2668.7200000000003</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81095.31</v>
      </c>
      <c r="E27" s="1397">
        <f>IF(SUM(E19:E26)='数据-基础表'!BA5,SUM(E19:E26),IF(F27="地上面积有误","面积有误","地下面积有误"))</f>
        <v>8062.31</v>
      </c>
      <c r="F27" s="1396">
        <f>IF(SUM(F19:F26)=E8,SUM(F19:F26),"地上面积有误")</f>
        <v>8062.31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81095.31</v>
      </c>
      <c r="S27" s="1250">
        <f>IF(SUM(S19:S26)=$E$3,SUM(S19:S26),SUM(S19:S26)&amp;"误差"&amp;ROUND(SUM(S19:S26)-E3,2))</f>
        <v>8062.31</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81095.31</v>
      </c>
      <c r="E31" s="729">
        <f>E27+E30</f>
        <v>8062.31</v>
      </c>
      <c r="F31" s="730">
        <f>F27+F30</f>
        <v>8062.31</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1966</v>
      </c>
      <c r="B2" s="1269">
        <f>项目基本情况!D3</f>
        <v>43404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3112</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酒店</v>
      </c>
      <c r="B6" s="2307" t="str">
        <f>IF(A6=0,"","经营性")</f>
        <v>经营性</v>
      </c>
      <c r="C6" s="2308" t="s">
        <v>1377</v>
      </c>
      <c r="D6" s="1054">
        <f>SUMIF(项目基本情况!D$12:I$12,C6,项目基本情况!D$14:I$14)</f>
        <v>40</v>
      </c>
      <c r="E6" s="1051">
        <f>IF(B6="","",SUMIF(项目基本情况!D$12:I$12,C6,项目基本情况!D$13:I$13))</f>
        <v>55637</v>
      </c>
      <c r="F6" s="72">
        <f>SUMIF(项目基本情况!D$12:I$12,C6,项目基本情况!D$15:I$15)</f>
        <v>33.51</v>
      </c>
      <c r="G6" s="73">
        <f>IF(ISERROR(ROUND(POWER(1+H6,D6-F6)*(POWER(1+H6,F6)-1)/(POWER(1+H6,D6)-1),3)),0,ROUND(POWER(1+H6,D6-F6)*(POWER(1+H6,F6)-1)/(POWER(1+H6,D6)-1),3))</f>
        <v>0.93799999999999994</v>
      </c>
      <c r="H6" s="802">
        <v>0.05</v>
      </c>
      <c r="I6" s="802">
        <v>0.06</v>
      </c>
      <c r="J6" s="74">
        <v>8.5000000000000006E-2</v>
      </c>
      <c r="K6" s="1254">
        <f>SUMIF('数据-汇总表'!C$19:C$33,A6,'数据-汇总表'!E$19:E$33)</f>
        <v>5393.59</v>
      </c>
      <c r="L6" s="803">
        <v>5000</v>
      </c>
      <c r="M6" s="75">
        <f t="shared" ref="M6:M14" si="0">ROUND(K6*L6/10000,0)</f>
        <v>2697</v>
      </c>
      <c r="N6" s="801">
        <f>ROUND(1-(2018-'收益法（酒店）'!J49)/60,2)</f>
        <v>0.9</v>
      </c>
      <c r="O6" s="75" t="str">
        <f>IF($N$5="成新度","——",ROUND(M6*N6,0))</f>
        <v>——</v>
      </c>
      <c r="P6" s="76" t="str">
        <f>IF($N$5="成新度","——",M6-O6)</f>
        <v>——</v>
      </c>
      <c r="Q6" s="804">
        <v>0.25</v>
      </c>
      <c r="R6" s="77">
        <f ca="1">SUMIF('数据-汇总表'!C$19:C$33,A6,'数据-汇总表'!R$19:R$27)</f>
        <v>54251.8</v>
      </c>
      <c r="S6" s="54">
        <f>IF('数据-汇总表'!$I$17="按面积比例",SUMIF('数据-汇总表'!C$19:C$33,A6,'数据-汇总表'!K$19:K$33),SUMIF('数据-汇总表'!C$19:C$33,A6,'数据-汇总表'!N$19:N$33))</f>
        <v>0</v>
      </c>
      <c r="T6" s="1446">
        <f>ROUND($L$14*S6/10000,0)</f>
        <v>0</v>
      </c>
      <c r="U6" s="78">
        <v>2.6</v>
      </c>
      <c r="V6" s="79">
        <v>0.03</v>
      </c>
      <c r="W6" s="79">
        <v>0.1</v>
      </c>
      <c r="X6" s="1264"/>
      <c r="Y6" s="80">
        <f>N6</f>
        <v>0.9</v>
      </c>
      <c r="Z6" s="81"/>
      <c r="AA6" s="74"/>
      <c r="AB6" s="74"/>
      <c r="AC6" s="1264"/>
      <c r="AD6" s="82"/>
      <c r="AE6" s="1265">
        <f ca="1">IF(AN6="",0,SUMIF(INDIRECT("'"&amp;AN6&amp;"'"&amp;"!E:E"),$AE$5,INDIRECT("'"&amp;AN6&amp;"'"&amp;"!F:F")))</f>
        <v>33.51</v>
      </c>
      <c r="AF6" s="1806"/>
      <c r="AG6" s="147">
        <f>IF(AF6="",0,AE6-AF6)</f>
        <v>0</v>
      </c>
      <c r="AH6" s="83"/>
      <c r="AI6" s="85">
        <v>365</v>
      </c>
      <c r="AJ6" s="86"/>
      <c r="AK6" s="87">
        <v>1.4999999999999999E-2</v>
      </c>
      <c r="AL6" s="88">
        <v>1.5E-3</v>
      </c>
      <c r="AM6" s="89">
        <v>0.01</v>
      </c>
      <c r="AN6" s="2309" t="s">
        <v>3117</v>
      </c>
      <c r="AO6" s="55">
        <f ca="1">SUMIF(INDIRECT("'"&amp;AN6&amp;"'"&amp;"!A:A"),"总价",INDIRECT("'"&amp;AN6&amp;"'"&amp;"!B:B"))</f>
        <v>5605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独栋</v>
      </c>
      <c r="B7" s="2307" t="str">
        <f t="shared" ref="B7:B13" si="1">IF(A7=0,"","经营性")</f>
        <v>经营性</v>
      </c>
      <c r="C7" s="2308" t="s">
        <v>1377</v>
      </c>
      <c r="D7" s="1054">
        <f>SUMIF(项目基本情况!D$12:I$12,C7,项目基本情况!D$14:I$14)</f>
        <v>40</v>
      </c>
      <c r="E7" s="1051">
        <f>IF(B7="","",SUMIF(项目基本情况!D$12:I$12,C7,项目基本情况!D$13:I$13))</f>
        <v>55637</v>
      </c>
      <c r="F7" s="72">
        <f>SUMIF(项目基本情况!D$12:I$12,C7,项目基本情况!D$15:I$15)</f>
        <v>33.51</v>
      </c>
      <c r="G7" s="73">
        <f t="shared" ref="G7:G11" si="2">IF(ISERROR(ROUND(POWER(1+H7,D7-F7)*(POWER(1+H7,F7)-1)/(POWER(1+H7,D7)-1),3)),0,ROUND(POWER(1+H7,D7-F7)*(POWER(1+H7,F7)-1)/(POWER(1+H7,D7)-1),3))</f>
        <v>0.93799999999999994</v>
      </c>
      <c r="H7" s="802">
        <v>0.05</v>
      </c>
      <c r="I7" s="802">
        <v>0.06</v>
      </c>
      <c r="J7" s="74">
        <v>8.5000000000000006E-2</v>
      </c>
      <c r="K7" s="1254">
        <f>SUMIF('数据-汇总表'!C$19:C$33,A7,'数据-汇总表'!E$19:E$33)</f>
        <v>2668.7200000000003</v>
      </c>
      <c r="L7" s="803">
        <v>5000</v>
      </c>
      <c r="M7" s="75">
        <f t="shared" si="0"/>
        <v>1334</v>
      </c>
      <c r="N7" s="801">
        <f>N6</f>
        <v>0.9</v>
      </c>
      <c r="O7" s="75" t="str">
        <f t="shared" ref="O7:O14" si="3">IF($N$5="成新度","——",ROUND(M7*N7,0))</f>
        <v>——</v>
      </c>
      <c r="P7" s="76" t="str">
        <f t="shared" ref="P7:P14" si="4">IF($N$5="成新度","——",M7-O7)</f>
        <v>——</v>
      </c>
      <c r="Q7" s="804">
        <v>0.25</v>
      </c>
      <c r="R7" s="77">
        <f ca="1">SUMIF('数据-汇总表'!C$19:C$33,A7,'数据-汇总表'!R$19:R$27)</f>
        <v>26843.51</v>
      </c>
      <c r="S7" s="54">
        <f>IF('数据-汇总表'!$I$17="按面积比例",SUMIF('数据-汇总表'!C$19:C$33,A7,'数据-汇总表'!K$19:K$33),SUMIF('数据-汇总表'!C$19:C$33,A7,'数据-汇总表'!N$19:N$33))</f>
        <v>0</v>
      </c>
      <c r="T7" s="1446">
        <f t="shared" ref="T7:T13" si="5">ROUND($L$14*S7/10000,0)</f>
        <v>0</v>
      </c>
      <c r="U7" s="78">
        <v>2.6</v>
      </c>
      <c r="V7" s="79">
        <v>0.03</v>
      </c>
      <c r="W7" s="79">
        <v>0.1</v>
      </c>
      <c r="X7" s="1264"/>
      <c r="Y7" s="80">
        <f>N7</f>
        <v>0.9</v>
      </c>
      <c r="Z7" s="81"/>
      <c r="AA7" s="74"/>
      <c r="AB7" s="74"/>
      <c r="AC7" s="1264"/>
      <c r="AD7" s="82"/>
      <c r="AE7" s="1265">
        <f t="shared" ref="AE7:AE13" ca="1" si="6">IF(AN7="",0,SUMIF(INDIRECT("'"&amp;AN7&amp;"'"&amp;"!E:E"),$AE$5,INDIRECT("'"&amp;AN7&amp;"'"&amp;"!F:F")))</f>
        <v>33.51</v>
      </c>
      <c r="AF7" s="1806"/>
      <c r="AG7" s="147">
        <f t="shared" ref="AG7:AG13" si="7">IF(AF7="",0,AE7-AF7)</f>
        <v>0</v>
      </c>
      <c r="AH7" s="83"/>
      <c r="AI7" s="85">
        <v>365</v>
      </c>
      <c r="AJ7" s="86"/>
      <c r="AK7" s="87">
        <v>1.4999999999999999E-2</v>
      </c>
      <c r="AL7" s="88">
        <v>1.5E-3</v>
      </c>
      <c r="AM7" s="89">
        <v>0.01</v>
      </c>
      <c r="AN7" s="2309" t="s">
        <v>3118</v>
      </c>
      <c r="AO7" s="55">
        <f t="shared" ref="AO7:AO13" ca="1" si="8">SUMIF(INDIRECT("'"&amp;AN7&amp;"'"&amp;"!A:A"),"总价",INDIRECT("'"&amp;AN7&amp;"'"&amp;"!B:B"))</f>
        <v>2771</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2014</v>
      </c>
      <c r="B16" s="97"/>
      <c r="C16" s="1008"/>
      <c r="D16" s="2314"/>
      <c r="E16" s="97"/>
      <c r="F16" s="97"/>
      <c r="G16" s="98">
        <f>ROUND(SUMPRODUCT(G6:G13,K6:K13)/SUMPRODUCT((G6:G13&gt;0)*(K6:K13)),3)</f>
        <v>0.93799999999999994</v>
      </c>
      <c r="H16" s="99">
        <f>ROUND(SUMPRODUCT(H6:H13,K6:K13)/SUMPRODUCT((H6:H13&gt;0)*(K6:K13)),3)</f>
        <v>0.05</v>
      </c>
      <c r="I16" s="100"/>
      <c r="J16" s="100"/>
      <c r="K16" s="101">
        <f>SUM(K6:K15)</f>
        <v>8062.31</v>
      </c>
      <c r="L16" s="102">
        <f>ROUND(M16*10000/SUM(K6:K14),0)</f>
        <v>5000</v>
      </c>
      <c r="M16" s="102">
        <f>SUM(M6:M14)</f>
        <v>4031</v>
      </c>
      <c r="N16" s="103">
        <f>ROUND(SUMPRODUCT(M6:M14,N6:N14)/M16,3)</f>
        <v>0.9</v>
      </c>
      <c r="O16" s="102">
        <f>SUM(O6:O14)</f>
        <v>0</v>
      </c>
      <c r="P16" s="102">
        <f>SUM(P6:P14)</f>
        <v>0</v>
      </c>
      <c r="Q16" s="104">
        <f>ROUND(SUMPRODUCT(Q6:Q13,K6:K13)/SUMPRODUCT((Q6:Q13&gt;0)*(K6:K13)),2)</f>
        <v>0.25</v>
      </c>
      <c r="R16" s="1258">
        <f ca="1">SUM(R6:R13)</f>
        <v>81095.31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2016</v>
      </c>
      <c r="B19" s="112">
        <v>0</v>
      </c>
      <c r="C19" s="2277" t="s">
        <v>2017</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2018</v>
      </c>
      <c r="B20" s="113">
        <v>2</v>
      </c>
      <c r="C20" s="2277" t="s">
        <v>2019</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2020</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2021</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2022</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2023</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2024</v>
      </c>
      <c r="B26" s="2320" t="s">
        <v>2025</v>
      </c>
      <c r="C26" s="2321" t="s">
        <v>2026</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2027</v>
      </c>
      <c r="B27" s="116">
        <v>90</v>
      </c>
      <c r="C27" s="1766" t="s">
        <v>2028</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90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ROUND(K16*B28/10000,0)</f>
        <v>73</v>
      </c>
      <c r="C29" s="1766" t="s">
        <v>2031</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0.05</v>
      </c>
      <c r="C33" s="1765" t="s">
        <v>2036</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5" t="s">
        <v>2038</v>
      </c>
      <c r="D34" s="2278" t="s">
        <v>2039</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500</v>
      </c>
      <c r="C35" s="1765" t="s">
        <v>2041</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5" t="s">
        <v>2043</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2044</v>
      </c>
      <c r="B37" s="124">
        <v>0.03</v>
      </c>
      <c r="C37" s="1765" t="s">
        <v>2045</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2046</v>
      </c>
      <c r="B38" s="122">
        <v>0.05</v>
      </c>
      <c r="C38" s="1765" t="s">
        <v>2045</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2047</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2048</v>
      </c>
      <c r="B40" s="1303">
        <f ca="1">存贷款利率!G1</f>
        <v>4.7500000000000001E-2</v>
      </c>
      <c r="C40" s="1765" t="s">
        <v>2049</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2050</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2051</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2052</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2053</v>
      </c>
      <c r="B44" s="128">
        <v>0.05</v>
      </c>
      <c r="C44" s="1765" t="s">
        <v>2054</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2055</v>
      </c>
      <c r="B45" s="126">
        <v>0.03</v>
      </c>
      <c r="C45" s="1766" t="s">
        <v>2056</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2057</v>
      </c>
      <c r="B46" s="126">
        <v>0.02</v>
      </c>
      <c r="C46" s="1766" t="s">
        <v>2058</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2059</v>
      </c>
      <c r="B47" s="129">
        <v>0</v>
      </c>
      <c r="C47" s="1766" t="s">
        <v>2060</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2061</v>
      </c>
      <c r="B48" s="130">
        <v>0.03</v>
      </c>
      <c r="C48" s="1773" t="s">
        <v>2062</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2063</v>
      </c>
      <c r="B49" s="126">
        <v>5.0000000000000001E-4</v>
      </c>
      <c r="C49" s="1773" t="s">
        <v>2064</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2065</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2066</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2067</v>
      </c>
      <c r="B52" s="133">
        <f>SUMIF(A54:A63,B53,B54:B63)</f>
        <v>6</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2068</v>
      </c>
      <c r="B53" s="2336" t="s">
        <v>212</v>
      </c>
      <c r="C53" s="1430" t="s">
        <v>2069</v>
      </c>
      <c r="D53" s="2337" t="s">
        <v>2070</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2071</v>
      </c>
      <c r="B54" s="84">
        <v>6</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2072</v>
      </c>
      <c r="B55" s="84"/>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2073</v>
      </c>
      <c r="B56" s="84"/>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2074</v>
      </c>
      <c r="B57" s="84"/>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2075</v>
      </c>
      <c r="B58" s="84"/>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2076</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2077</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2078</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2079</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2080</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4" t="s">
        <v>2081</v>
      </c>
      <c r="B1" s="3065"/>
      <c r="C1" s="3065"/>
      <c r="D1" s="3065"/>
      <c r="E1" s="3065"/>
      <c r="F1" s="3065"/>
      <c r="G1" s="306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7"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54">
      <c r="A6" s="431"/>
      <c r="B6" s="1797" t="s">
        <v>2097</v>
      </c>
      <c r="C6" s="2376" t="s">
        <v>2092</v>
      </c>
      <c r="D6" s="2371"/>
      <c r="E6" s="2375"/>
      <c r="F6" s="1797" t="s">
        <v>2098</v>
      </c>
      <c r="G6" s="2376" t="s">
        <v>2099</v>
      </c>
      <c r="H6" s="2368"/>
      <c r="I6" s="2368"/>
      <c r="J6" s="2368"/>
      <c r="K6" s="2368"/>
      <c r="L6" s="2368"/>
      <c r="M6" s="2368"/>
      <c r="N6" s="2368"/>
      <c r="O6" s="2368"/>
      <c r="P6" s="2368"/>
      <c r="Q6" s="2368"/>
      <c r="R6" s="2368"/>
    </row>
    <row r="7" spans="1:29" ht="41.25" thickBot="1">
      <c r="A7" s="431"/>
      <c r="B7" s="1797"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7" t="s">
        <v>2098</v>
      </c>
      <c r="C8" s="2376" t="s">
        <v>2099</v>
      </c>
      <c r="D8" s="2377"/>
      <c r="E8" s="2377"/>
      <c r="F8" s="1136"/>
      <c r="G8" s="1136"/>
      <c r="H8" s="2368"/>
      <c r="I8" s="2368"/>
      <c r="J8" s="2368"/>
      <c r="K8" s="2368"/>
      <c r="L8" s="2368"/>
      <c r="M8" s="2368"/>
      <c r="N8" s="2368"/>
      <c r="O8" s="2368"/>
      <c r="P8" s="2368"/>
      <c r="Q8" s="2368"/>
      <c r="R8" s="2368"/>
    </row>
    <row r="9" spans="1:29" ht="27">
      <c r="A9" s="431"/>
      <c r="B9" s="1797"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1"/>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1"/>
      <c r="D19" s="2371"/>
      <c r="E19" s="2407"/>
      <c r="F19" s="1797"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7" t="s">
        <v>2114</v>
      </c>
      <c r="G20" s="136" t="str">
        <f>G6</f>
        <v>估价对象所在区域基础设施水平</v>
      </c>
    </row>
    <row r="21" spans="1:18" ht="28.5">
      <c r="A21" s="645"/>
      <c r="B21" s="1797" t="s">
        <v>2095</v>
      </c>
      <c r="C21" s="136" t="str">
        <f>C7</f>
        <v>估价对象所在区域公共配套设施齐备情况</v>
      </c>
      <c r="D21" s="2371"/>
      <c r="E21" s="2407"/>
      <c r="F21" s="2408" t="s">
        <v>2115</v>
      </c>
      <c r="G21" s="2409"/>
    </row>
    <row r="22" spans="1:18" ht="13.5" customHeight="1">
      <c r="A22" s="645"/>
      <c r="B22" s="1797" t="s">
        <v>2098</v>
      </c>
      <c r="C22" s="136" t="str">
        <f>C8</f>
        <v>估价对象所在区域基础设施水平</v>
      </c>
      <c r="D22" s="2371"/>
      <c r="E22" s="2407"/>
      <c r="F22" s="2408" t="s">
        <v>2104</v>
      </c>
      <c r="G22" s="1571"/>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8062.31</v>
      </c>
      <c r="C1" s="1744"/>
      <c r="D1" s="1744"/>
      <c r="E1" s="1744"/>
      <c r="F1" s="1744"/>
      <c r="G1" s="1742"/>
    </row>
    <row r="2" spans="1:10" ht="16.5">
      <c r="A2" s="1745" t="s">
        <v>1353</v>
      </c>
      <c r="B2" s="1745">
        <f>SUM(C14:C23)</f>
        <v>81095.31</v>
      </c>
      <c r="C2" s="1744"/>
      <c r="D2" s="1744"/>
      <c r="E2" s="1744"/>
      <c r="F2" s="1744"/>
      <c r="G2" s="1742"/>
    </row>
    <row r="3" spans="1:10" ht="16.5">
      <c r="A3" s="1745" t="s">
        <v>1362</v>
      </c>
      <c r="B3" s="1746">
        <f>项目基本情况!D3</f>
        <v>43404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8026</v>
      </c>
      <c r="C5" s="1745">
        <f ca="1">ROUND(B5*10000/$B$1,0)</f>
        <v>9955</v>
      </c>
      <c r="D5" s="1745">
        <f ca="1">ROUND(B5*10000/$B$2,0)</f>
        <v>990</v>
      </c>
      <c r="E5" s="1744"/>
      <c r="F5" s="1742"/>
      <c r="G5" s="1742"/>
    </row>
    <row r="6" spans="1:10" ht="16.5">
      <c r="A6" s="1745" t="s">
        <v>1356</v>
      </c>
      <c r="B6" s="1745">
        <f ca="1">SUM(G14:G23)</f>
        <v>8026</v>
      </c>
      <c r="C6" s="1745">
        <f ca="1">ROUND(B6*10000/$B$1,0)</f>
        <v>9955</v>
      </c>
      <c r="D6" s="1745">
        <f ca="1">ROUND(B6*10000/$B$2,0)</f>
        <v>990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8062.31</v>
      </c>
      <c r="C14" s="1743">
        <f>结果表!C118</f>
        <v>81095.31</v>
      </c>
      <c r="D14" s="1743">
        <f ca="1">结果表!H118</f>
        <v>8026</v>
      </c>
      <c r="E14" s="1743">
        <f ca="1">ROUND(D14*10000/B14,0)</f>
        <v>9955</v>
      </c>
      <c r="F14" s="1743">
        <f ca="1">ROUND(D14*10000/C14,0)</f>
        <v>990</v>
      </c>
      <c r="G14" s="1743">
        <f ca="1">结果表!D122</f>
        <v>8026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江苏省盐城市阜宁县阜城镇祥光路719号东方花园酒店项目局部商业服务用房房地产房地产抵押价值预评估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4" t="str">
        <f>项目基本情况!B5</f>
        <v>中信信托有限责任公司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9" sqref="A19:H2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1" t="s">
        <v>3101</v>
      </c>
      <c r="H1" s="2422" t="str">
        <f>IF(G1="现房","——","估价对象范围")</f>
        <v>——</v>
      </c>
      <c r="I1" s="2423" t="s">
        <v>3311</v>
      </c>
    </row>
    <row r="2" spans="1:12" ht="21.75" customHeight="1" thickBot="1">
      <c r="A2" s="3099" t="str">
        <f>项目基本情况!S2</f>
        <v>江苏省盐城市阜宁县阜城镇祥光路719号东方花园酒店项目局部商业服务用房房地产房地产</v>
      </c>
      <c r="B2" s="3100"/>
      <c r="C2" s="3100"/>
      <c r="D2" s="3100"/>
      <c r="E2" s="3100"/>
      <c r="F2" s="3100"/>
      <c r="G2" s="3100"/>
      <c r="H2" s="3100"/>
      <c r="I2" s="3101"/>
    </row>
    <row r="3" spans="1:12" ht="12.75">
      <c r="A3" s="3103" t="s">
        <v>2120</v>
      </c>
      <c r="B3" s="3104"/>
      <c r="C3" s="3104"/>
      <c r="D3" s="3104"/>
      <c r="E3" s="3104"/>
      <c r="F3" s="3104"/>
      <c r="G3" s="3104"/>
      <c r="H3" s="3104"/>
      <c r="I3" s="3104"/>
    </row>
    <row r="4" spans="1:12" ht="14.25">
      <c r="A4" s="2426" t="s">
        <v>2121</v>
      </c>
      <c r="B4" s="2427" t="s">
        <v>2122</v>
      </c>
      <c r="C4" s="2428" t="s">
        <v>3309</v>
      </c>
      <c r="D4" s="2428" t="s">
        <v>3310</v>
      </c>
      <c r="E4" s="3096" t="s">
        <v>2123</v>
      </c>
      <c r="F4" s="3097"/>
      <c r="G4" s="3097"/>
      <c r="H4" s="3097"/>
      <c r="I4" s="310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2124</v>
      </c>
      <c r="B5" s="3017">
        <v>25</v>
      </c>
      <c r="C5" s="3082"/>
      <c r="D5" s="3102"/>
      <c r="E5" s="140" t="s">
        <v>2125</v>
      </c>
      <c r="F5" s="2430"/>
      <c r="G5" s="2430"/>
      <c r="H5" s="2430"/>
      <c r="I5" s="1833"/>
    </row>
    <row r="6" spans="1:12" ht="12.75">
      <c r="A6" s="3079"/>
      <c r="B6" s="3017"/>
      <c r="C6" s="3083"/>
      <c r="D6" s="3102"/>
      <c r="E6" s="140" t="s">
        <v>2126</v>
      </c>
      <c r="F6" s="2430"/>
      <c r="G6" s="2430"/>
      <c r="H6" s="2430"/>
      <c r="I6" s="1833"/>
    </row>
    <row r="7" spans="1:12" ht="12.75">
      <c r="A7" s="3079"/>
      <c r="B7" s="3017"/>
      <c r="C7" s="3084"/>
      <c r="D7" s="3102"/>
      <c r="E7" s="140" t="s">
        <v>2127</v>
      </c>
      <c r="F7" s="2430"/>
      <c r="G7" s="2430"/>
      <c r="H7" s="2430"/>
      <c r="I7" s="1833"/>
    </row>
    <row r="8" spans="1:12" ht="12.75">
      <c r="A8" s="3079" t="s">
        <v>2128</v>
      </c>
      <c r="B8" s="3017">
        <v>15</v>
      </c>
      <c r="C8" s="3082"/>
      <c r="D8" s="3102"/>
      <c r="E8" s="140" t="s">
        <v>2129</v>
      </c>
      <c r="F8" s="2430"/>
      <c r="G8" s="2430"/>
      <c r="H8" s="2430"/>
      <c r="I8" s="1833"/>
    </row>
    <row r="9" spans="1:12" ht="12.75">
      <c r="A9" s="3079"/>
      <c r="B9" s="3017"/>
      <c r="C9" s="3084"/>
      <c r="D9" s="3102"/>
      <c r="E9" s="140" t="s">
        <v>2130</v>
      </c>
      <c r="F9" s="2430"/>
      <c r="G9" s="2430"/>
      <c r="H9" s="2430"/>
      <c r="I9" s="1833"/>
    </row>
    <row r="10" spans="1:12" ht="12.75">
      <c r="A10" s="3079" t="s">
        <v>2131</v>
      </c>
      <c r="B10" s="3017">
        <v>15</v>
      </c>
      <c r="C10" s="3082"/>
      <c r="D10" s="3102"/>
      <c r="E10" s="140" t="s">
        <v>2132</v>
      </c>
      <c r="F10" s="2430"/>
      <c r="G10" s="2430"/>
      <c r="H10" s="2430"/>
      <c r="I10" s="1833"/>
    </row>
    <row r="11" spans="1:12" ht="12.75">
      <c r="A11" s="3079"/>
      <c r="B11" s="3017"/>
      <c r="C11" s="3084"/>
      <c r="D11" s="3102"/>
      <c r="E11" s="140" t="s">
        <v>2133</v>
      </c>
      <c r="F11" s="2430"/>
      <c r="G11" s="2430"/>
      <c r="H11" s="2430"/>
      <c r="I11" s="1833"/>
    </row>
    <row r="12" spans="1:12" ht="12.75">
      <c r="A12" s="3079" t="s">
        <v>2134</v>
      </c>
      <c r="B12" s="3017">
        <v>15</v>
      </c>
      <c r="C12" s="3082"/>
      <c r="D12" s="3102"/>
      <c r="E12" s="140" t="s">
        <v>2135</v>
      </c>
      <c r="F12" s="2430"/>
      <c r="G12" s="2430"/>
      <c r="H12" s="2430"/>
      <c r="I12" s="1833"/>
    </row>
    <row r="13" spans="1:12" ht="12.75">
      <c r="A13" s="3079"/>
      <c r="B13" s="3017"/>
      <c r="C13" s="3084"/>
      <c r="D13" s="3102"/>
      <c r="E13" s="140" t="s">
        <v>2136</v>
      </c>
      <c r="F13" s="2430"/>
      <c r="G13" s="2430"/>
      <c r="H13" s="2430"/>
      <c r="I13" s="1833"/>
    </row>
    <row r="14" spans="1:12" ht="12.75">
      <c r="A14" s="3079" t="s">
        <v>2137</v>
      </c>
      <c r="B14" s="3017">
        <v>30</v>
      </c>
      <c r="C14" s="3082">
        <v>5</v>
      </c>
      <c r="D14" s="3102">
        <v>5</v>
      </c>
      <c r="E14" s="140" t="s">
        <v>2138</v>
      </c>
      <c r="F14" s="2430"/>
      <c r="G14" s="2430"/>
      <c r="H14" s="2430"/>
      <c r="I14" s="1833"/>
    </row>
    <row r="15" spans="1:12" ht="12.75">
      <c r="A15" s="3079"/>
      <c r="B15" s="3017"/>
      <c r="C15" s="3083"/>
      <c r="D15" s="3102"/>
      <c r="E15" s="140" t="s">
        <v>2139</v>
      </c>
      <c r="F15" s="2430"/>
      <c r="G15" s="2430"/>
      <c r="H15" s="2430"/>
      <c r="I15" s="1833"/>
    </row>
    <row r="16" spans="1:12" ht="12.75">
      <c r="A16" s="3079"/>
      <c r="B16" s="3017"/>
      <c r="C16" s="3084"/>
      <c r="D16" s="3102"/>
      <c r="E16" s="140" t="s">
        <v>2140</v>
      </c>
      <c r="F16" s="2430"/>
      <c r="G16" s="2430"/>
      <c r="H16" s="2430"/>
      <c r="I16" s="1833"/>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8062.31</v>
      </c>
      <c r="M18" s="2429">
        <f>IF(C1="",'数据-汇总表'!E3,SUMIF(项目类型,C1,'数据-汇总表'!E17:E26))</f>
        <v>8062.31</v>
      </c>
    </row>
    <row r="19" spans="1:35" ht="15">
      <c r="A19" s="2435" t="s">
        <v>2146</v>
      </c>
      <c r="B19" s="2436" t="s">
        <v>2147</v>
      </c>
      <c r="C19" s="143">
        <f ca="1">SUMIF(INDIRECT("'"&amp;C4&amp;"'"&amp;"!A:A"),结果表!B19,INDIRECT("'"&amp;C4&amp;"'"&amp;"!B:B"))</f>
        <v>7675</v>
      </c>
      <c r="D19" s="144">
        <f ca="1">SUMIF(INDIRECT("'"&amp;D4&amp;"'"&amp;"!A:A"),结果表!B19,INDIRECT("'"&amp;D4&amp;"'"&amp;"!B:B"))</f>
        <v>8376</v>
      </c>
      <c r="E19" s="2435" t="s">
        <v>2148</v>
      </c>
      <c r="F19" s="2436" t="s">
        <v>2147</v>
      </c>
      <c r="G19" s="145">
        <f ca="1">ROUND(C19*$C$18+D19*$D$18,0)</f>
        <v>8026</v>
      </c>
      <c r="H19" s="2437" t="s">
        <v>2149</v>
      </c>
      <c r="I19" s="138"/>
      <c r="K19" s="2429" t="s">
        <v>2150</v>
      </c>
      <c r="L19" s="2429">
        <f>IF(C1="",'数据-汇总表'!D3,SUMIF(项目类型,C1,'数据-汇总表'!D17:D26)+SUMIF(项目类型,C1,'数据-汇总表'!H17:H27))</f>
        <v>81095.31</v>
      </c>
      <c r="M19" s="2429">
        <f>IF(C1="",'数据-汇总表'!D3,SUMIF(项目类型,C1,'数据-汇总表'!D17:D26))</f>
        <v>81095.31</v>
      </c>
    </row>
    <row r="20" spans="1:35" ht="15">
      <c r="A20" s="2438"/>
      <c r="B20" s="1250" t="s">
        <v>2151</v>
      </c>
      <c r="C20" s="146">
        <f ca="1">SUMIF(INDIRECT("'"&amp;C4&amp;"'"&amp;"!A:A"),结果表!B20,INDIRECT("'"&amp;C4&amp;"'"&amp;"!B:B"))</f>
        <v>9520</v>
      </c>
      <c r="D20" s="147">
        <f ca="1">SUMIF(INDIRECT("'"&amp;D4&amp;"'"&amp;"!A:A"),结果表!B20,INDIRECT("'"&amp;D4&amp;"'"&amp;"!B:B"))</f>
        <v>10389</v>
      </c>
      <c r="E20" s="2438"/>
      <c r="F20" s="1250" t="s">
        <v>2151</v>
      </c>
      <c r="G20" s="148">
        <f ca="1">ROUND(C20*$C$18+D20*$D$18,0)</f>
        <v>9955</v>
      </c>
      <c r="H20" s="983" t="s">
        <v>2152</v>
      </c>
      <c r="I20" s="138"/>
    </row>
    <row r="21" spans="1:35" ht="15" customHeight="1" thickBot="1">
      <c r="A21" s="1003"/>
      <c r="B21" s="2439" t="s">
        <v>2153</v>
      </c>
      <c r="C21" s="789">
        <f ca="1">ROUND(C19*10000/L19,0)</f>
        <v>946</v>
      </c>
      <c r="D21" s="790">
        <f ca="1">ROUND(D19*10000/L19,0)</f>
        <v>1033</v>
      </c>
      <c r="E21" s="1003"/>
      <c r="F21" s="2439" t="s">
        <v>2153</v>
      </c>
      <c r="G21" s="149">
        <f ca="1">ROUND(G19*10000/L19,0)</f>
        <v>990</v>
      </c>
      <c r="H21" s="2440" t="s">
        <v>2152</v>
      </c>
      <c r="I21" s="138"/>
    </row>
    <row r="22" spans="1:35" ht="15" thickBot="1">
      <c r="A22" s="2281" t="s">
        <v>2154</v>
      </c>
      <c r="B22" s="2441"/>
      <c r="C22" s="2442"/>
      <c r="D22" s="791">
        <f ca="1">IF(C19&lt;D19,D19/C19-1,C19/D19-1)</f>
        <v>9.1335504885993402E-2</v>
      </c>
      <c r="E22" s="138"/>
      <c r="F22" s="138"/>
      <c r="G22" s="138"/>
      <c r="H22" s="138"/>
      <c r="I22" s="138"/>
    </row>
    <row r="23" spans="1:35" ht="13.5" thickBot="1">
      <c r="A23" s="2419"/>
      <c r="B23" s="2419"/>
      <c r="C23" s="2419"/>
      <c r="D23" s="2419"/>
      <c r="E23" s="138"/>
      <c r="F23" s="138"/>
      <c r="G23" s="138"/>
      <c r="H23" s="138"/>
      <c r="I23" s="138"/>
    </row>
    <row r="24" spans="1:35" ht="14.25">
      <c r="A24" s="3073" t="s">
        <v>2155</v>
      </c>
      <c r="B24" s="2436" t="s">
        <v>2147</v>
      </c>
      <c r="C24" s="145">
        <f>IF(B30=0,0,D30)</f>
        <v>0</v>
      </c>
      <c r="D24" s="2443"/>
      <c r="E24" s="138"/>
      <c r="F24" s="138"/>
      <c r="G24" s="138"/>
      <c r="H24" s="138"/>
      <c r="I24" s="138"/>
    </row>
    <row r="25" spans="1:35" ht="14.25">
      <c r="A25" s="3074"/>
      <c r="B25" s="1250"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9955</v>
      </c>
      <c r="D32" s="2450" t="s">
        <v>3308</v>
      </c>
      <c r="E32" s="138"/>
      <c r="F32" s="138"/>
      <c r="G32" s="138"/>
      <c r="H32" s="138"/>
      <c r="I32" s="138"/>
    </row>
    <row r="33" spans="1:15" ht="15">
      <c r="A33" s="960" t="s">
        <v>2162</v>
      </c>
      <c r="B33" s="2451"/>
      <c r="C33" s="2452" t="s">
        <v>3307</v>
      </c>
      <c r="D33" s="2453" t="s">
        <v>3309</v>
      </c>
      <c r="E33" s="2454" t="s">
        <v>2163</v>
      </c>
      <c r="F33" s="2455" t="str">
        <f>IF(D32="楼面单价","取值（单价）","取值（总价）")</f>
        <v>取值（单价）</v>
      </c>
      <c r="G33" s="138"/>
      <c r="H33" s="138"/>
      <c r="I33" s="138"/>
    </row>
    <row r="34" spans="1:15" ht="15">
      <c r="A34" s="2456"/>
      <c r="B34" s="2457" t="s">
        <v>2164</v>
      </c>
      <c r="C34" s="157">
        <f ca="1">IF(C33="自定义",F34,C32-C35)</f>
        <v>1653</v>
      </c>
      <c r="D34" s="1058">
        <f ca="1">IF(C33="自定义",ROUND(C34/C32,3),IF(C33="收益比率",SUMIF(INDIRECT("'"&amp;D33&amp;"'"&amp;"!b:b"),"土地收益比率",INDIRECT("'"&amp;D33&amp;"'"&amp;"!c:c")),SUMIF(INDIRECT("'"&amp;D33&amp;"'"&amp;"!b:b"),"土地成本比率",INDIRECT("'"&amp;D33&amp;"'"&amp;"!c:c"))))</f>
        <v>0.16600000000000004</v>
      </c>
      <c r="E34" s="2458" t="s">
        <v>2165</v>
      </c>
      <c r="F34" s="1738"/>
      <c r="G34" s="138"/>
      <c r="H34" s="138"/>
      <c r="I34" s="138"/>
    </row>
    <row r="35" spans="1:15" ht="15.75" thickBot="1">
      <c r="A35" s="2459"/>
      <c r="B35" s="2460" t="s">
        <v>2166</v>
      </c>
      <c r="C35" s="1444">
        <f ca="1">IF(C33="自定义",F35,ROUND(C32*D35,0))</f>
        <v>8302</v>
      </c>
      <c r="D35" s="1445">
        <f ca="1">IF(C33="自定义",ROUND(C35/C32,3),IF(C33="收益比率",SUMIF(INDIRECT("'"&amp;D33&amp;"'"&amp;"!b:b"),"建筑物收益比率",INDIRECT("'"&amp;D33&amp;"'"&amp;"!c:c")),SUMIF(INDIRECT("'"&amp;D33&amp;"'"&amp;"!b:b"),"建筑物成本比率",INDIRECT("'"&amp;D33&amp;"'"&amp;"!c:c"))))</f>
        <v>0.83399999999999996</v>
      </c>
      <c r="E35" s="2461" t="s">
        <v>2167</v>
      </c>
      <c r="F35" s="163"/>
      <c r="G35" s="138"/>
      <c r="H35" s="138"/>
      <c r="I35" s="138"/>
    </row>
    <row r="36" spans="1:15" ht="15.75" thickBot="1">
      <c r="A36" s="3091" t="s">
        <v>2168</v>
      </c>
      <c r="B36" s="2462" t="s">
        <v>2169</v>
      </c>
      <c r="C36" s="154"/>
      <c r="D36" s="2463"/>
      <c r="E36" s="2464"/>
      <c r="F36" s="2465"/>
      <c r="G36" s="138"/>
      <c r="H36" s="138"/>
      <c r="I36" s="138"/>
    </row>
    <row r="37" spans="1:15" ht="15.75" thickBot="1">
      <c r="A37" s="3092"/>
      <c r="B37" s="2267" t="s">
        <v>2170</v>
      </c>
      <c r="C37" s="156"/>
      <c r="D37" s="1395"/>
      <c r="E37" s="1395"/>
      <c r="F37" s="2465"/>
      <c r="G37" s="138"/>
      <c r="H37" s="138"/>
      <c r="I37" s="138"/>
    </row>
    <row r="38" spans="1:15" ht="15.75" thickBot="1">
      <c r="A38" s="3093"/>
      <c r="B38" s="2466" t="s">
        <v>2171</v>
      </c>
      <c r="C38" s="727"/>
      <c r="D38" s="2467" t="s">
        <v>2172</v>
      </c>
      <c r="E38" s="1395"/>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70" t="s">
        <v>2182</v>
      </c>
      <c r="B45" s="3071"/>
      <c r="C45" s="3072"/>
      <c r="D45" s="164">
        <f ca="1">ROUND(H101*F45,0)</f>
        <v>8026</v>
      </c>
      <c r="E45" s="165" t="s">
        <v>2183</v>
      </c>
      <c r="F45" s="166">
        <v>1</v>
      </c>
      <c r="G45" s="167" t="s">
        <v>2184</v>
      </c>
      <c r="H45" s="138"/>
      <c r="I45" s="138"/>
      <c r="J45" s="3130" t="s">
        <v>2185</v>
      </c>
      <c r="K45" s="3130"/>
      <c r="L45" s="3130"/>
      <c r="M45" s="3130"/>
      <c r="N45" s="3130"/>
      <c r="O45" s="3130"/>
    </row>
    <row r="46" spans="1:15" ht="14.25" customHeight="1">
      <c r="A46" s="3067" t="s">
        <v>2186</v>
      </c>
      <c r="B46" s="3068"/>
      <c r="C46" s="3068"/>
      <c r="D46" s="3068"/>
      <c r="E46" s="3068"/>
      <c r="F46" s="3068"/>
      <c r="G46" s="3069"/>
      <c r="H46" s="2481"/>
      <c r="I46" s="168"/>
      <c r="J46" s="1811">
        <v>1</v>
      </c>
      <c r="K46" s="3130" t="s">
        <v>2187</v>
      </c>
      <c r="L46" s="3130"/>
      <c r="M46" s="3150"/>
      <c r="N46" s="3150"/>
      <c r="O46" s="3150"/>
    </row>
    <row r="47" spans="1:15" ht="12" customHeight="1">
      <c r="A47" s="169" t="s">
        <v>2188</v>
      </c>
      <c r="B47" s="170"/>
      <c r="C47" s="171"/>
      <c r="D47" s="172" t="s">
        <v>2189</v>
      </c>
      <c r="E47" s="24" t="s">
        <v>2190</v>
      </c>
      <c r="F47" s="173" t="s">
        <v>2191</v>
      </c>
      <c r="G47" s="174" t="s">
        <v>2192</v>
      </c>
      <c r="H47" s="2481"/>
      <c r="I47" s="168"/>
      <c r="J47" s="1811">
        <v>2</v>
      </c>
      <c r="K47" s="3130" t="s">
        <v>2193</v>
      </c>
      <c r="L47" s="3130"/>
      <c r="M47" s="3151">
        <f>'数据-取费表'!B2</f>
        <v>43404</v>
      </c>
      <c r="N47" s="3151"/>
      <c r="O47" s="3151"/>
    </row>
    <row r="48" spans="1:15" ht="25.5">
      <c r="A48" s="3098" t="s">
        <v>2194</v>
      </c>
      <c r="B48" s="3081"/>
      <c r="C48" s="3081"/>
      <c r="D48" s="140">
        <f>IF(H48="情况1",0,IF(H48="情况2",D52,IF(H48="情况3",D53,IF(H48="情况4",D54))))</f>
        <v>0</v>
      </c>
      <c r="E48" s="1800" t="str">
        <f>IF(H48="情况4","(销售额-原购置价)×税（费）率","销售额×税（费）率")</f>
        <v>销售额×税（费）率</v>
      </c>
      <c r="F48" s="175" t="str">
        <f>IF(H48="情况1","免征",'数据-取费表'!B41)</f>
        <v>免征</v>
      </c>
      <c r="G48" s="2482" t="s">
        <v>2195</v>
      </c>
      <c r="H48" s="2483" t="s">
        <v>2196</v>
      </c>
      <c r="I48" s="2481"/>
      <c r="J48" s="1811">
        <v>3</v>
      </c>
      <c r="K48" s="3130" t="s">
        <v>2197</v>
      </c>
      <c r="L48" s="3130"/>
      <c r="M48" s="3152">
        <f ca="1">H101</f>
        <v>8026</v>
      </c>
      <c r="N48" s="3152"/>
      <c r="O48" s="3152"/>
    </row>
    <row r="49" spans="1:35" ht="25.5" customHeight="1">
      <c r="A49" s="176" t="s">
        <v>2198</v>
      </c>
      <c r="B49" s="3066" t="s">
        <v>2199</v>
      </c>
      <c r="C49" s="3066"/>
      <c r="D49" s="177">
        <v>0</v>
      </c>
      <c r="E49" s="23" t="s">
        <v>2200</v>
      </c>
      <c r="F49" s="28" t="s">
        <v>34</v>
      </c>
      <c r="G49" s="3136"/>
      <c r="H49" s="138"/>
      <c r="I49" s="2484"/>
      <c r="J49" s="1811">
        <v>4</v>
      </c>
      <c r="K49" s="3130" t="str">
        <f>IF(项目基本情况!E8="房地产抵押价值","房地产抵押价值","抵押担保权已注销时的房地产抵押价值")</f>
        <v>房地产抵押价值</v>
      </c>
      <c r="L49" s="3130"/>
      <c r="M49" s="3152">
        <f ca="1">IF(项目基本情况!E8="房地产抵押价值",H107,H109)</f>
        <v>8026</v>
      </c>
      <c r="N49" s="3152"/>
      <c r="O49" s="3152"/>
    </row>
    <row r="50" spans="1:35" ht="25.5" customHeight="1">
      <c r="A50" s="178"/>
      <c r="B50" s="3066" t="s">
        <v>2201</v>
      </c>
      <c r="C50" s="3066"/>
      <c r="D50" s="179"/>
      <c r="E50" s="31"/>
      <c r="F50" s="180"/>
      <c r="G50" s="3137"/>
      <c r="H50" s="138"/>
      <c r="I50" s="2484"/>
      <c r="J50" s="3130" t="s">
        <v>2202</v>
      </c>
      <c r="K50" s="3130"/>
      <c r="L50" s="3130"/>
      <c r="M50" s="3130"/>
      <c r="N50" s="3130"/>
      <c r="O50" s="3130"/>
    </row>
    <row r="51" spans="1:35" ht="12" customHeight="1">
      <c r="A51" s="181"/>
      <c r="B51" s="3066" t="s">
        <v>2203</v>
      </c>
      <c r="C51" s="3066"/>
      <c r="D51" s="182"/>
      <c r="E51" s="30"/>
      <c r="F51" s="180"/>
      <c r="G51" s="3138"/>
      <c r="H51" s="138"/>
      <c r="I51" s="2484"/>
      <c r="J51" s="2485" t="s">
        <v>2204</v>
      </c>
      <c r="K51" s="3130" t="s">
        <v>2205</v>
      </c>
      <c r="L51" s="3130"/>
      <c r="M51" s="2485" t="s">
        <v>2206</v>
      </c>
      <c r="N51" s="2485" t="s">
        <v>2207</v>
      </c>
      <c r="O51" s="2485" t="s">
        <v>2208</v>
      </c>
    </row>
    <row r="52" spans="1:35" ht="24" customHeight="1">
      <c r="A52" s="183" t="s">
        <v>2209</v>
      </c>
      <c r="B52" s="3066" t="s">
        <v>2210</v>
      </c>
      <c r="C52" s="3066"/>
      <c r="D52" s="182">
        <f ca="1">ROUND(D45*'数据-取费表'!B41/(1+'数据-取费表'!C42),0)</f>
        <v>420</v>
      </c>
      <c r="E52" s="11" t="s">
        <v>2211</v>
      </c>
      <c r="F52" s="184">
        <f>'数据-取费表'!B41</f>
        <v>5.5000000000000007E-2</v>
      </c>
      <c r="G52" s="2486"/>
      <c r="H52" s="138"/>
      <c r="I52" s="2484"/>
      <c r="J52" s="1811">
        <v>1</v>
      </c>
      <c r="K52" s="3131" t="s">
        <v>2212</v>
      </c>
      <c r="L52" s="3131"/>
      <c r="M52" s="1753">
        <f>D48</f>
        <v>0</v>
      </c>
      <c r="N52" s="1811" t="str">
        <f>E48</f>
        <v>销售额×税（费）率</v>
      </c>
      <c r="O52" s="1754" t="str">
        <f>F48</f>
        <v>免征</v>
      </c>
    </row>
    <row r="53" spans="1:35" ht="12" customHeight="1">
      <c r="A53" s="183" t="s">
        <v>2213</v>
      </c>
      <c r="B53" s="3089" t="s">
        <v>2214</v>
      </c>
      <c r="C53" s="3090"/>
      <c r="D53" s="182">
        <f ca="1">ROUND(D45*'数据-取费表'!B41/(1+'数据-取费表'!C42),0)</f>
        <v>420</v>
      </c>
      <c r="E53" s="11" t="s">
        <v>2211</v>
      </c>
      <c r="F53" s="184">
        <f>'数据-取费表'!B41</f>
        <v>5.5000000000000007E-2</v>
      </c>
      <c r="G53" s="2486"/>
      <c r="H53" s="138"/>
      <c r="I53" s="2484"/>
      <c r="J53" s="1811">
        <v>2</v>
      </c>
      <c r="K53" s="3131" t="s">
        <v>2215</v>
      </c>
      <c r="L53" s="3131"/>
      <c r="M53" s="1753">
        <f t="shared" ref="M53:O54" ca="1" si="0">D55</f>
        <v>4</v>
      </c>
      <c r="N53" s="1811" t="str">
        <f t="shared" si="0"/>
        <v>销售额×税（费）率</v>
      </c>
      <c r="O53" s="1754">
        <f t="shared" si="0"/>
        <v>5.0000000000000001E-4</v>
      </c>
    </row>
    <row r="54" spans="1:35" ht="12" customHeight="1">
      <c r="A54" s="183" t="s">
        <v>2216</v>
      </c>
      <c r="B54" s="3089" t="s">
        <v>2217</v>
      </c>
      <c r="C54" s="3090"/>
      <c r="D54" s="182">
        <f ca="1">C68</f>
        <v>420</v>
      </c>
      <c r="E54" s="30" t="s">
        <v>2218</v>
      </c>
      <c r="F54" s="184">
        <f>'数据-取费表'!B41</f>
        <v>5.5000000000000007E-2</v>
      </c>
      <c r="G54" s="2486"/>
      <c r="H54" s="2487"/>
      <c r="I54" s="2484"/>
      <c r="J54" s="1811">
        <v>3</v>
      </c>
      <c r="K54" s="3131" t="s">
        <v>2219</v>
      </c>
      <c r="L54" s="3131"/>
      <c r="M54" s="1753">
        <f t="shared" ca="1" si="0"/>
        <v>4550</v>
      </c>
      <c r="N54" s="1811" t="str">
        <f t="shared" si="0"/>
        <v>增值额×税（费）率</v>
      </c>
      <c r="O54" s="1755" t="str">
        <f t="shared" si="0"/>
        <v>——</v>
      </c>
    </row>
    <row r="55" spans="1:35" ht="24" customHeight="1">
      <c r="A55" s="3080" t="s">
        <v>2220</v>
      </c>
      <c r="B55" s="3081"/>
      <c r="C55" s="3081"/>
      <c r="D55" s="185">
        <f ca="1">IF(H55="个人住宅",0,ROUND(D45*I55,0))</f>
        <v>4</v>
      </c>
      <c r="E55" s="11" t="s">
        <v>2221</v>
      </c>
      <c r="F55" s="184">
        <f>IF(H55="正常",I55,"免征")</f>
        <v>5.0000000000000001E-4</v>
      </c>
      <c r="G55" s="2486"/>
      <c r="H55" s="2483" t="s">
        <v>2222</v>
      </c>
      <c r="I55" s="186">
        <f>'数据-取费表'!B49</f>
        <v>5.0000000000000001E-4</v>
      </c>
      <c r="J55" s="1811" t="str">
        <f>IF(H59="非个人房产","",4)</f>
        <v/>
      </c>
      <c r="K55" s="3131" t="str">
        <f>IF(H59="非个人房产","——","个人所得税")</f>
        <v>——</v>
      </c>
      <c r="L55" s="3131"/>
      <c r="M55" s="1756" t="str">
        <f>D59</f>
        <v>——</v>
      </c>
      <c r="N55" s="1809" t="str">
        <f>E59</f>
        <v>——</v>
      </c>
      <c r="O55" s="1757" t="str">
        <f>F59</f>
        <v>——</v>
      </c>
    </row>
    <row r="56" spans="1:35" ht="24.75">
      <c r="A56" s="3080" t="s">
        <v>2223</v>
      </c>
      <c r="B56" s="3081"/>
      <c r="C56" s="3081"/>
      <c r="D56" s="185">
        <f ca="1">IF(H56="个人住宅",D57,D58)</f>
        <v>4550</v>
      </c>
      <c r="E56" s="11" t="s">
        <v>2224</v>
      </c>
      <c r="F56" s="184" t="str">
        <f>IF(H56="正常",F58,"免征")</f>
        <v>——</v>
      </c>
      <c r="G56" s="2488" t="s">
        <v>2225</v>
      </c>
      <c r="H56" s="2489" t="s">
        <v>2222</v>
      </c>
      <c r="I56" s="2490"/>
      <c r="J56" s="1811" t="str">
        <f>IF(项目基本情况!K6="上海银行",IF(J55="",4,J55+1),"")</f>
        <v/>
      </c>
      <c r="K56" s="3154" t="str">
        <f>IF(项目基本情况!K6="上海银行","其他处置费用","")</f>
        <v/>
      </c>
      <c r="L56" s="3155"/>
      <c r="M56" s="1753" t="str">
        <f>IF(项目基本情况!K6="上海银行",M69,"")</f>
        <v/>
      </c>
      <c r="N56" s="3157" t="str">
        <f>IF(项目基本情况!K6="上海银行","包含处置中涉及的律师、诉讼、拍卖、评估等费用","")</f>
        <v/>
      </c>
      <c r="O56" s="3158"/>
    </row>
    <row r="57" spans="1:35" ht="12.75">
      <c r="A57" s="183" t="s">
        <v>2198</v>
      </c>
      <c r="B57" s="3096" t="s">
        <v>2226</v>
      </c>
      <c r="C57" s="3105"/>
      <c r="D57" s="187">
        <v>0</v>
      </c>
      <c r="E57" s="23" t="s">
        <v>2200</v>
      </c>
      <c r="F57" s="155"/>
      <c r="G57" s="2486"/>
      <c r="H57" s="2490"/>
      <c r="I57" s="2490"/>
      <c r="J57" s="3131">
        <f>IF(AND(J55="",J56=""),4,IF(项目基本情况!K6="上海银行",结果表!J56+1,结果表!J55+1))</f>
        <v>4</v>
      </c>
      <c r="K57" s="3131" t="s">
        <v>2227</v>
      </c>
      <c r="L57" s="2491" t="s">
        <v>2228</v>
      </c>
      <c r="M57" s="1758"/>
      <c r="N57" s="1759">
        <f ca="1">SUMIF(M52:M56,"&lt;9e307")</f>
        <v>4554</v>
      </c>
      <c r="O57" s="2492"/>
      <c r="P57" s="1752">
        <f ca="1">N57/M49</f>
        <v>0.56740593072514334</v>
      </c>
    </row>
    <row r="58" spans="1:35" ht="24.75">
      <c r="A58" s="183" t="s">
        <v>2209</v>
      </c>
      <c r="B58" s="3096" t="s">
        <v>2229</v>
      </c>
      <c r="C58" s="3097"/>
      <c r="D58" s="185">
        <f ca="1">IF(H58="转让取得",C81,C97)</f>
        <v>4550</v>
      </c>
      <c r="E58" s="11" t="s">
        <v>2224</v>
      </c>
      <c r="F58" s="24" t="s">
        <v>34</v>
      </c>
      <c r="G58" s="2486"/>
      <c r="H58" s="2489" t="s">
        <v>2230</v>
      </c>
      <c r="I58" s="2490"/>
      <c r="J58" s="3131"/>
      <c r="K58" s="3131"/>
      <c r="L58" s="2491" t="s">
        <v>2231</v>
      </c>
      <c r="M58" s="1760"/>
      <c r="N58" s="2493" t="str">
        <f ca="1">NUMBERSTRING(INT(N57*10000),2)&amp;"元整"</f>
        <v>肆仟伍佰伍拾肆万元整</v>
      </c>
      <c r="O58" s="2494"/>
    </row>
    <row r="59" spans="1:35" ht="24.75" thickBot="1">
      <c r="A59" s="3134" t="s">
        <v>2232</v>
      </c>
      <c r="B59" s="3135"/>
      <c r="C59" s="3135"/>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32">
        <f>J57+1</f>
        <v>5</v>
      </c>
      <c r="K59" s="3131" t="s">
        <v>2234</v>
      </c>
      <c r="L59" s="1811" t="s">
        <v>2228</v>
      </c>
      <c r="M59" s="1761"/>
      <c r="N59" s="1762">
        <f ca="1">M49-N57</f>
        <v>3472</v>
      </c>
      <c r="O59" s="2496"/>
    </row>
    <row r="60" spans="1:35" ht="12" customHeight="1">
      <c r="A60" s="2497"/>
      <c r="B60" s="2419"/>
      <c r="C60" s="2419"/>
      <c r="D60" s="2419"/>
      <c r="E60" s="2166"/>
      <c r="F60" s="2490"/>
      <c r="G60" s="2490"/>
      <c r="H60" s="2498"/>
      <c r="I60" s="138"/>
      <c r="J60" s="3133"/>
      <c r="K60" s="3131"/>
      <c r="L60" s="2491" t="s">
        <v>2231</v>
      </c>
      <c r="M60" s="1760"/>
      <c r="N60" s="2493" t="str">
        <f ca="1">NUMBERSTRING(INT(N59*10000),2)&amp;"元整"</f>
        <v>叁仟肆佰柒拾贰万元整</v>
      </c>
      <c r="O60" s="2494"/>
    </row>
    <row r="61" spans="1:35" ht="13.5" thickBot="1">
      <c r="A61" s="3078" t="s">
        <v>2235</v>
      </c>
      <c r="B61" s="3078"/>
      <c r="C61" s="3078"/>
      <c r="D61" s="3078"/>
      <c r="E61" s="3078"/>
      <c r="F61" s="2490"/>
      <c r="G61" s="2490"/>
      <c r="H61" s="2498"/>
      <c r="I61" s="138"/>
      <c r="J61" s="1811">
        <f>J59+1</f>
        <v>6</v>
      </c>
      <c r="K61" s="3131" t="s">
        <v>2236</v>
      </c>
      <c r="L61" s="3131"/>
      <c r="M61" s="1763"/>
      <c r="N61" s="1764">
        <f ca="1">ROUND(N59*10000/'数据-汇总表'!E3,0)</f>
        <v>4306</v>
      </c>
      <c r="O61" s="2499"/>
    </row>
    <row r="62" spans="1:35" ht="12.75">
      <c r="A62" s="3094" t="s">
        <v>2237</v>
      </c>
      <c r="B62" s="3095"/>
      <c r="C62" s="1803"/>
      <c r="D62" s="1803" t="s">
        <v>2238</v>
      </c>
      <c r="E62" s="192" t="s">
        <v>2239</v>
      </c>
      <c r="F62" s="2490"/>
      <c r="G62" s="2490"/>
      <c r="H62" s="2498"/>
      <c r="I62" s="138"/>
    </row>
    <row r="63" spans="1:35" ht="12.75">
      <c r="A63" s="203" t="s">
        <v>775</v>
      </c>
      <c r="B63" s="193" t="s">
        <v>2240</v>
      </c>
      <c r="C63" s="194">
        <f ca="1">ROUND((C64+C65)/(1+'数据-取费表'!C42),0)</f>
        <v>7644</v>
      </c>
      <c r="D63" s="195"/>
      <c r="E63" s="196"/>
      <c r="F63" s="2490"/>
      <c r="G63" s="2490"/>
      <c r="H63" s="2498"/>
      <c r="I63" s="138"/>
      <c r="J63" s="3156" t="s">
        <v>2241</v>
      </c>
      <c r="K63" s="2500" t="s">
        <v>2242</v>
      </c>
      <c r="L63" s="1751">
        <f ca="1">IF(M49&gt;10000,M49*0.5%,IF(AND(M49&gt;1000,M49&lt;=10000),M49*1%,IF(AND(M49&gt;100,M49&lt;=1000),M49*3%,IF(AND(M49&gt;10,M49&lt;=100),M49*5%,M49*8%))))</f>
        <v>80.260000000000005</v>
      </c>
      <c r="M63" s="24">
        <f ca="1">ROUND(L63,1)</f>
        <v>80.3</v>
      </c>
      <c r="Z63" s="2424"/>
      <c r="AI63" s="2425"/>
    </row>
    <row r="64" spans="1:35" ht="14.25" customHeight="1">
      <c r="A64" s="197" t="s">
        <v>770</v>
      </c>
      <c r="B64" s="198" t="s">
        <v>2243</v>
      </c>
      <c r="C64" s="199">
        <f ca="1">D45</f>
        <v>8026</v>
      </c>
      <c r="D64" s="200" t="s">
        <v>32</v>
      </c>
      <c r="E64" s="201"/>
      <c r="F64" s="2490"/>
      <c r="G64" s="2490"/>
      <c r="H64" s="2498"/>
      <c r="I64" s="138"/>
      <c r="J64" s="3156"/>
      <c r="K64" s="2500" t="s">
        <v>2244</v>
      </c>
      <c r="L64" s="1751">
        <f ca="1">IF(M49&gt;2000,M49*0.5%,IF(AND(M49&gt;1000,M49&lt;=2000),M49*0.6%,IF(AND(M49&gt;500,M49&lt;=1000),M49*0.7%,IF(AND(M49&gt;200,M49&lt;=500),M49*0.8%,IF(AND(M49&gt;100,M49&lt;=200),M49*0.9%,IF(AND(M49&gt;50,M49&lt;=100),M49*1%,IF(AND(M49&gt;20,M49&lt;=50),M49*1.5%,IF(AND(M49&gt;10,M49&lt;=20),M49*2%,IF(AND(M49&gt;1,M49&lt;=10),M49*2.5%)))))))))</f>
        <v>40.130000000000003</v>
      </c>
      <c r="M64" s="24">
        <f t="shared" ref="M64:M65" ca="1" si="1">ROUND(L64,1)</f>
        <v>40.1</v>
      </c>
      <c r="N64" s="138" t="s">
        <v>2245</v>
      </c>
      <c r="Z64" s="2424"/>
      <c r="AI64" s="2425"/>
    </row>
    <row r="65" spans="1:35" ht="14.25" customHeight="1">
      <c r="A65" s="197" t="s">
        <v>771</v>
      </c>
      <c r="B65" s="198" t="s">
        <v>2246</v>
      </c>
      <c r="C65" s="202"/>
      <c r="D65" s="200"/>
      <c r="E65" s="201"/>
      <c r="F65" s="2490"/>
      <c r="G65" s="2490"/>
      <c r="H65" s="2498"/>
      <c r="I65" s="138"/>
      <c r="J65" s="3156"/>
      <c r="K65" s="2500" t="s">
        <v>2247</v>
      </c>
      <c r="L65" s="1751">
        <f ca="1">IF(M49&gt;1000,M49*0.1%,IF(AND(M49&gt;500,M49&lt;=1000),M49*0.5%,IF(AND(M49&gt;50,M49&lt;=500),M49*1%,IF(AND(M49&gt;1,M49&lt;=50),M49*1.5%))))</f>
        <v>8.0259999999999998</v>
      </c>
      <c r="M65" s="24">
        <f t="shared" ca="1" si="1"/>
        <v>8</v>
      </c>
      <c r="N65" s="138" t="s">
        <v>2245</v>
      </c>
      <c r="Z65" s="2424"/>
      <c r="AI65" s="2425"/>
    </row>
    <row r="66" spans="1:35" ht="14.25" customHeight="1">
      <c r="A66" s="203" t="s">
        <v>772</v>
      </c>
      <c r="B66" s="204" t="s">
        <v>2248</v>
      </c>
      <c r="C66" s="205"/>
      <c r="D66" s="206" t="s">
        <v>32</v>
      </c>
      <c r="E66" s="1775" t="s">
        <v>1371</v>
      </c>
      <c r="F66" s="2490"/>
      <c r="G66" s="2490"/>
      <c r="H66" s="2498"/>
      <c r="I66" s="138"/>
      <c r="J66" s="3156"/>
      <c r="K66" s="2500" t="s">
        <v>2249</v>
      </c>
      <c r="L66" s="1751">
        <f ca="1">M49*0.5%</f>
        <v>40.130000000000003</v>
      </c>
      <c r="M66" s="24">
        <f ca="1">IF(L66&gt;0.5,0.5,ROUND(L66,0))</f>
        <v>0.5</v>
      </c>
      <c r="N66" s="138" t="s">
        <v>2250</v>
      </c>
      <c r="Z66" s="2424"/>
      <c r="AI66" s="2425"/>
    </row>
    <row r="67" spans="1:35" ht="14.25" customHeight="1">
      <c r="A67" s="203" t="s">
        <v>773</v>
      </c>
      <c r="B67" s="204" t="s">
        <v>2251</v>
      </c>
      <c r="C67" s="207">
        <f ca="1">C63-C66</f>
        <v>7644</v>
      </c>
      <c r="D67" s="200" t="s">
        <v>32</v>
      </c>
      <c r="E67" s="201"/>
      <c r="F67" s="2490"/>
      <c r="G67" s="2490"/>
      <c r="H67" s="2498"/>
      <c r="I67" s="138"/>
      <c r="J67" s="3156"/>
      <c r="K67" s="2500" t="s">
        <v>2252</v>
      </c>
      <c r="L67" s="1751">
        <f ca="1">IF(M49&gt;=10000,(8.25+(M49-10000)*0.01%),IF(AND(M49&gt;=8000,M49&lt;10000),(7.85+(M49-8000)*0.02%),IF(AND(M49&gt;=5000,M49&lt;8000),(6.65+(M49-5000)*0.04%),IF(AND(M49&gt;=2000,M49&lt;5000),(4.25+(PM49-2000)*0.08%),IF(AND(M49&gt;=1000,M49&lt;2000),(2.75+(M49-1000)*0.15%),IF(AND(M49&gt;=100,M49&lt;1000),(0.5+(M49-100)*0.25%),IF(AND(M49&gt;0,M49&lt;100),M49*0.5%)))))))</f>
        <v>7.8552</v>
      </c>
      <c r="M67" s="24">
        <f ca="1">ROUND(L67*0.9,1)</f>
        <v>7.1</v>
      </c>
      <c r="Z67" s="2424"/>
      <c r="AI67" s="2425"/>
    </row>
    <row r="68" spans="1:35" ht="14.25" customHeight="1" thickBot="1">
      <c r="A68" s="208" t="s">
        <v>774</v>
      </c>
      <c r="B68" s="209" t="s">
        <v>2253</v>
      </c>
      <c r="C68" s="210">
        <f ca="1">IF(C67&lt;=0,0,ROUND(C67*D68,0))</f>
        <v>420</v>
      </c>
      <c r="D68" s="211">
        <f>'数据-取费表'!B41</f>
        <v>5.5000000000000007E-2</v>
      </c>
      <c r="E68" s="212"/>
      <c r="F68" s="2490"/>
      <c r="G68" s="2490"/>
      <c r="H68" s="2498"/>
      <c r="I68" s="138"/>
      <c r="J68" s="3156"/>
      <c r="K68" s="2500" t="s">
        <v>2254</v>
      </c>
      <c r="L68" s="1751">
        <f ca="1">IF(M49&gt;10000,M49*0.5%,IF(AND(M49&gt;5000,M49&lt;=10000),M49*1%,IF(AND(M49&gt;1000,M49&lt;=5000),M49*2%,IF(AND(M49&gt;200,M49&lt;=1000),M49*3%,M49*5%))))</f>
        <v>80.260000000000005</v>
      </c>
      <c r="M68" s="24">
        <f ca="1">ROUND(L68,1)</f>
        <v>80.3</v>
      </c>
      <c r="Z68" s="2424"/>
      <c r="AI68" s="2425"/>
    </row>
    <row r="69" spans="1:35" s="2447" customFormat="1" ht="16.5" customHeight="1">
      <c r="A69" s="2501"/>
      <c r="B69" s="2502"/>
      <c r="C69" s="2503"/>
      <c r="D69" s="2504"/>
      <c r="E69" s="2505"/>
      <c r="F69" s="2166"/>
      <c r="G69" s="2166"/>
      <c r="H69" s="2165"/>
      <c r="I69" s="2419"/>
      <c r="J69" s="3156"/>
      <c r="K69" s="2500" t="s">
        <v>2255</v>
      </c>
      <c r="L69" s="2506"/>
      <c r="M69" s="24">
        <f ca="1">ROUND(SUM(M63:M68),0)</f>
        <v>216</v>
      </c>
      <c r="N69" s="1752">
        <f ca="1">M69/M49</f>
        <v>2.6912534263643161E-2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5" t="s">
        <v>2256</v>
      </c>
      <c r="B70" s="3116"/>
      <c r="C70" s="3116"/>
      <c r="D70" s="3116"/>
      <c r="E70" s="3116"/>
      <c r="F70" s="3116"/>
      <c r="G70" s="3116"/>
      <c r="H70" s="311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2237</v>
      </c>
      <c r="B71" s="3095"/>
      <c r="C71" s="1803"/>
      <c r="D71" s="1803"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7644</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38</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89" t="s">
        <v>2265</v>
      </c>
      <c r="F76" s="3066"/>
      <c r="G76" s="3066"/>
      <c r="H76" s="311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38</v>
      </c>
      <c r="D78" s="226">
        <f>'数据-取费表'!B43</f>
        <v>5.000000000000001E-3</v>
      </c>
      <c r="E78" s="3075" t="s">
        <v>2270</v>
      </c>
      <c r="F78" s="3076"/>
      <c r="G78" s="3076"/>
      <c r="H78" s="308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7606</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200.15789473684211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4550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5" t="s">
        <v>2274</v>
      </c>
      <c r="B83" s="3116"/>
      <c r="C83" s="3116"/>
      <c r="D83" s="3116"/>
      <c r="E83" s="3116"/>
      <c r="F83" s="3116"/>
      <c r="G83" s="3116"/>
      <c r="H83" s="311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2237</v>
      </c>
      <c r="B84" s="3095"/>
      <c r="C84" s="1803"/>
      <c r="D84" s="1803"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7644</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38</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9"/>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75" t="s">
        <v>2283</v>
      </c>
      <c r="F91" s="3076"/>
      <c r="G91" s="3076"/>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75" t="s">
        <v>2287</v>
      </c>
      <c r="F92" s="3076"/>
      <c r="G92" s="3076"/>
      <c r="H92" s="308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38</v>
      </c>
      <c r="D93" s="226">
        <f>'数据-取费表'!B43</f>
        <v>5.000000000000001E-3</v>
      </c>
      <c r="E93" s="3075" t="s">
        <v>2270</v>
      </c>
      <c r="F93" s="3076"/>
      <c r="G93" s="3076"/>
      <c r="H93" s="308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086" t="s">
        <v>2291</v>
      </c>
      <c r="F94" s="3087"/>
      <c r="G94" s="3087"/>
      <c r="H94" s="308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7606</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200.15789473684211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4550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60" t="s">
        <v>2293</v>
      </c>
      <c r="B100" s="3061"/>
      <c r="C100" s="3061"/>
      <c r="D100" s="3077"/>
      <c r="E100" s="3061" t="s">
        <v>2294</v>
      </c>
      <c r="F100" s="3061"/>
      <c r="G100" s="3061"/>
      <c r="H100" s="3077"/>
      <c r="I100" s="138"/>
    </row>
    <row r="101" spans="1:35" ht="18.75" customHeight="1">
      <c r="A101" s="3139" t="s">
        <v>2295</v>
      </c>
      <c r="B101" s="3140"/>
      <c r="C101" s="736" t="str">
        <f>C4</f>
        <v>成本法</v>
      </c>
      <c r="D101" s="737" t="str">
        <f>D4</f>
        <v>收益法（汇总）</v>
      </c>
      <c r="E101" s="3153" t="s">
        <v>2296</v>
      </c>
      <c r="F101" s="3107"/>
      <c r="G101" s="2521" t="s">
        <v>2297</v>
      </c>
      <c r="H101" s="1048">
        <f ca="1">H118</f>
        <v>8026</v>
      </c>
      <c r="I101" s="138"/>
    </row>
    <row r="102" spans="1:35" ht="18.75" customHeight="1">
      <c r="A102" s="3109" t="s">
        <v>2298</v>
      </c>
      <c r="B102" s="2521" t="s">
        <v>2297</v>
      </c>
      <c r="C102" s="736">
        <f ca="1">C19</f>
        <v>7675</v>
      </c>
      <c r="D102" s="737">
        <f ca="1">D19</f>
        <v>8376</v>
      </c>
      <c r="E102" s="3153"/>
      <c r="F102" s="3107"/>
      <c r="G102" s="2521" t="s">
        <v>2299</v>
      </c>
      <c r="H102" s="371">
        <f ca="1">I118</f>
        <v>9955</v>
      </c>
      <c r="I102" s="138"/>
    </row>
    <row r="103" spans="1:35" ht="42.75" customHeight="1">
      <c r="A103" s="3109"/>
      <c r="B103" s="2521" t="s">
        <v>2299</v>
      </c>
      <c r="C103" s="738">
        <f ca="1">C20</f>
        <v>9520</v>
      </c>
      <c r="D103" s="739">
        <f ca="1">D20</f>
        <v>10389</v>
      </c>
      <c r="E103" s="3148" t="s">
        <v>2300</v>
      </c>
      <c r="F103" s="3149"/>
      <c r="G103" s="2522" t="s">
        <v>2301</v>
      </c>
      <c r="H103" s="1048">
        <f>IF(D36="正常操作",H104+H105+H106,H105+H106)</f>
        <v>0</v>
      </c>
      <c r="I103" s="138"/>
    </row>
    <row r="104" spans="1:35" ht="18.75" customHeight="1">
      <c r="A104" s="3109" t="s">
        <v>2302</v>
      </c>
      <c r="B104" s="2523" t="s">
        <v>2297</v>
      </c>
      <c r="C104" s="740">
        <f ca="1">H118</f>
        <v>8026</v>
      </c>
      <c r="D104" s="741"/>
      <c r="E104" s="2267" t="s">
        <v>2303</v>
      </c>
      <c r="F104" s="2258"/>
      <c r="G104" s="2522" t="s">
        <v>2301</v>
      </c>
      <c r="H104" s="1049">
        <f>IF(D36="同一抵押权人同一抵押物续贷",C36&amp;"（未扣减，详见特别提示）",C36)</f>
        <v>0</v>
      </c>
      <c r="I104" s="138"/>
    </row>
    <row r="105" spans="1:35" ht="18.75" customHeight="1" thickBot="1">
      <c r="A105" s="3110"/>
      <c r="B105" s="2524" t="s">
        <v>2299</v>
      </c>
      <c r="C105" s="742">
        <f ca="1">I118</f>
        <v>9955</v>
      </c>
      <c r="D105" s="743"/>
      <c r="E105" s="2267" t="s">
        <v>2304</v>
      </c>
      <c r="F105" s="2258"/>
      <c r="G105" s="2522" t="s">
        <v>2301</v>
      </c>
      <c r="H105" s="1049">
        <f>C37</f>
        <v>0</v>
      </c>
      <c r="I105" s="138"/>
    </row>
    <row r="106" spans="1:35" ht="18.75" customHeight="1">
      <c r="A106" s="2419" t="s">
        <v>2305</v>
      </c>
      <c r="B106" s="2419"/>
      <c r="C106" s="2419"/>
      <c r="D106" s="2419"/>
      <c r="E106" s="2525" t="s">
        <v>2306</v>
      </c>
      <c r="F106" s="2258"/>
      <c r="G106" s="2522" t="s">
        <v>2301</v>
      </c>
      <c r="H106" s="1049">
        <f>C38</f>
        <v>0</v>
      </c>
      <c r="I106" s="138"/>
    </row>
    <row r="107" spans="1:35" ht="18.75" customHeight="1">
      <c r="A107" s="138"/>
      <c r="B107" s="138"/>
      <c r="C107" s="138"/>
      <c r="D107" s="138"/>
      <c r="E107" s="3106" t="str">
        <f>IF(项目基本情况!E8="已注销","——","3.房地产抵押价值")</f>
        <v>3.房地产抵押价值</v>
      </c>
      <c r="F107" s="3107"/>
      <c r="G107" s="2521" t="s">
        <v>2297</v>
      </c>
      <c r="H107" s="1048">
        <f ca="1">IF(E107="——","——",H101-H103)</f>
        <v>8026</v>
      </c>
      <c r="I107" s="138"/>
    </row>
    <row r="108" spans="1:35" ht="18.75" customHeight="1">
      <c r="A108" s="138"/>
      <c r="B108" s="138"/>
      <c r="C108" s="138"/>
      <c r="D108" s="138"/>
      <c r="E108" s="3106"/>
      <c r="F108" s="3107"/>
      <c r="G108" s="2521" t="s">
        <v>2299</v>
      </c>
      <c r="H108" s="371">
        <f ca="1">ROUND(H107*10000/'数据-汇总表'!E3,0)</f>
        <v>9955</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1" t="s">
        <v>2297</v>
      </c>
      <c r="H109" s="348" t="str">
        <f>IF(E109="——","——",H101-H105-H106)</f>
        <v>——</v>
      </c>
      <c r="I109" s="138"/>
    </row>
    <row r="110" spans="1:35" ht="18.75" customHeight="1">
      <c r="A110" s="138"/>
      <c r="B110" s="138"/>
      <c r="C110" s="138"/>
      <c r="D110" s="138"/>
      <c r="E110" s="3106"/>
      <c r="F110" s="3107"/>
      <c r="G110" s="2521" t="s">
        <v>2299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1" t="s">
        <v>2297</v>
      </c>
      <c r="H111" s="1048" t="str">
        <f>IF(E111="——","——",N59)</f>
        <v>——</v>
      </c>
      <c r="I111" s="138"/>
    </row>
    <row r="112" spans="1:35" ht="18.75" customHeight="1" thickBot="1">
      <c r="A112" s="138"/>
      <c r="B112" s="138"/>
      <c r="C112" s="138"/>
      <c r="D112" s="138"/>
      <c r="E112" s="3143"/>
      <c r="F112" s="3144"/>
      <c r="G112" s="2526" t="s">
        <v>2299</v>
      </c>
      <c r="H112" s="790" t="str">
        <f>IF(E111="——","——",N61)</f>
        <v>——</v>
      </c>
      <c r="I112" s="138"/>
    </row>
    <row r="113" spans="1:11" ht="18.75" customHeight="1">
      <c r="A113" s="138"/>
      <c r="B113" s="138"/>
      <c r="C113" s="138"/>
      <c r="D113" s="138"/>
      <c r="E113" s="3111" t="s">
        <v>2305</v>
      </c>
      <c r="F113" s="3111"/>
      <c r="G113" s="3111"/>
      <c r="H113" s="3111"/>
      <c r="I113" s="138"/>
    </row>
    <row r="114" spans="1:11" ht="3.75" customHeight="1">
      <c r="A114" s="2419"/>
      <c r="B114" s="2419"/>
      <c r="C114" s="2419"/>
      <c r="D114" s="2419"/>
      <c r="E114" s="2497"/>
      <c r="F114" s="2497"/>
      <c r="G114" s="2497"/>
      <c r="H114" s="2497"/>
      <c r="I114" s="2419"/>
    </row>
    <row r="115" spans="1:11" ht="18.75" customHeight="1">
      <c r="A115" s="3124" t="s">
        <v>2307</v>
      </c>
      <c r="B115" s="3125"/>
      <c r="C115" s="3125"/>
      <c r="D115" s="3125"/>
      <c r="E115" s="3125"/>
      <c r="F115" s="3125"/>
      <c r="G115" s="3125"/>
      <c r="H115" s="3125"/>
      <c r="I115" s="3126"/>
    </row>
    <row r="116" spans="1:11" ht="27" customHeight="1">
      <c r="A116" s="3017" t="s">
        <v>2308</v>
      </c>
      <c r="B116" s="3112" t="s">
        <v>2309</v>
      </c>
      <c r="C116" s="3112" t="s">
        <v>2310</v>
      </c>
      <c r="D116" s="3128" t="s">
        <v>2311</v>
      </c>
      <c r="E116" s="3129"/>
      <c r="F116" s="3120" t="s">
        <v>2312</v>
      </c>
      <c r="G116" s="3120"/>
      <c r="H116" s="3017" t="s">
        <v>2313</v>
      </c>
      <c r="I116" s="3017"/>
    </row>
    <row r="117" spans="1:11" ht="18.75" customHeight="1">
      <c r="A117" s="3017"/>
      <c r="B117" s="3113"/>
      <c r="C117" s="3113"/>
      <c r="D117" s="1797" t="s">
        <v>2314</v>
      </c>
      <c r="E117" s="1797" t="s">
        <v>2315</v>
      </c>
      <c r="F117" s="1797" t="s">
        <v>2314</v>
      </c>
      <c r="G117" s="1797" t="s">
        <v>2316</v>
      </c>
      <c r="H117" s="1797" t="s">
        <v>2314</v>
      </c>
      <c r="I117" s="1797" t="s">
        <v>2316</v>
      </c>
    </row>
    <row r="118" spans="1:11" ht="24.75" customHeight="1">
      <c r="A118" s="2527" t="str">
        <f>项目基本情况!S2</f>
        <v>江苏省盐城市阜宁县阜城镇祥光路719号东方花园酒店项目局部商业服务用房房地产房地产</v>
      </c>
      <c r="B118" s="1797">
        <f>M18</f>
        <v>8062.31</v>
      </c>
      <c r="C118" s="1797">
        <f>M19</f>
        <v>81095.31</v>
      </c>
      <c r="D118" s="1797">
        <f ca="1">ROUND(IF(D32="总价",C34,E118*B118/10000),0)</f>
        <v>1333</v>
      </c>
      <c r="E118" s="1797">
        <f ca="1">ROUND(IF(C33="自定义",IF(D32="楼面单价",C34,D118*10000/B118),I118-G118),0)</f>
        <v>1653</v>
      </c>
      <c r="F118" s="1797">
        <f ca="1">ROUND(IF(D32="总价",C35,G118*B118/10000),0)</f>
        <v>6693</v>
      </c>
      <c r="G118" s="1797">
        <f ca="1">ROUND(IF(D32="楼面单价",C35,F118*10000/B118),0)</f>
        <v>8302</v>
      </c>
      <c r="H118" s="1797">
        <f ca="1">ROUND(IF(D32="总价",C32,I118*B118/10000),0)</f>
        <v>8026</v>
      </c>
      <c r="I118" s="1797">
        <f ca="1">ROUND(IF(D32="楼面单价",C32,H118*10000/B118),0)</f>
        <v>9955</v>
      </c>
    </row>
    <row r="119" spans="1:11" ht="18.75" customHeight="1">
      <c r="A119" s="3017" t="s">
        <v>2317</v>
      </c>
      <c r="B119" s="3017"/>
      <c r="C119" s="3017"/>
      <c r="D119" s="3117" t="str">
        <f ca="1">NUMBERSTRING(INT(D118*10000),2)&amp;"元整"</f>
        <v>壹仟叁佰叁拾叁万元整</v>
      </c>
      <c r="E119" s="3119"/>
      <c r="F119" s="3117" t="str">
        <f ca="1">NUMBERSTRING(INT(F118*10000),2)&amp;"元整"</f>
        <v>陆仟陆佰玖拾叁万元整</v>
      </c>
      <c r="G119" s="3119"/>
      <c r="H119" s="3117" t="str">
        <f ca="1">NUMBERSTRING(INT(H118*10000),2)&amp;"元整"</f>
        <v>捌仟零贰拾陆万元整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4" t="str">
        <f>IF(D120=0,"故，本次评估不存在"&amp;A120,"故，本次评估"&amp;A120&amp;"为人民币"&amp;D120&amp;"万元整。")</f>
        <v>故，本次评估不存在估价师知悉的法定优先受偿款</v>
      </c>
    </row>
    <row r="121" spans="1:11" ht="18.75" customHeight="1">
      <c r="A121" s="3121" t="s">
        <v>2317</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8026</v>
      </c>
      <c r="E122" s="3146"/>
      <c r="F122" s="3146"/>
      <c r="G122" s="3146"/>
      <c r="H122" s="3146"/>
      <c r="I122" s="3147"/>
    </row>
    <row r="123" spans="1:11" ht="18.75" customHeight="1">
      <c r="A123" s="3017" t="s">
        <v>2317</v>
      </c>
      <c r="B123" s="3017"/>
      <c r="C123" s="3017"/>
      <c r="D123" s="3117" t="str">
        <f ca="1">NUMBERSTRING(INT(D122*10000),2)&amp;"元整"</f>
        <v>捌仟零贰拾陆万元整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2317</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2317</v>
      </c>
      <c r="B127" s="3017"/>
      <c r="C127" s="3017"/>
      <c r="D127" s="3117" t="e">
        <f>NUMBERSTRING(INT(D126*10000),2)&amp;"元整"</f>
        <v>#VALUE!</v>
      </c>
      <c r="E127" s="3118"/>
      <c r="F127" s="3118"/>
      <c r="G127" s="3118"/>
      <c r="H127" s="3118"/>
      <c r="I127" s="3119"/>
    </row>
    <row r="128" spans="1:11" ht="21.75" customHeight="1">
      <c r="A128" s="3127" t="s">
        <v>2318</v>
      </c>
      <c r="B128" s="3127"/>
      <c r="C128" s="3127"/>
      <c r="D128" s="3127"/>
      <c r="E128" s="3127"/>
      <c r="F128" s="3127"/>
      <c r="G128" s="3127"/>
      <c r="H128" s="3127"/>
      <c r="I128" s="3127"/>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38" sqref="G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2">
        <f>MATCH(B1,'数据-取费表'!A6:A16,0)+5</f>
        <v>8</v>
      </c>
    </row>
    <row r="2" spans="1:9" s="244" customFormat="1" ht="18" customHeight="1">
      <c r="A2" s="245" t="s">
        <v>2327</v>
      </c>
      <c r="B2" s="246">
        <f ca="1">IF(D2="——",C52,C52-E2)</f>
        <v>7675</v>
      </c>
      <c r="C2" s="243" t="s">
        <v>2328</v>
      </c>
      <c r="D2" s="2550" t="s">
        <v>70</v>
      </c>
      <c r="E2" s="1443"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9520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813</v>
      </c>
      <c r="D5" s="255" t="s">
        <v>2334</v>
      </c>
      <c r="E5" s="256" t="s">
        <v>2335</v>
      </c>
      <c r="F5" s="256" t="s">
        <v>2336</v>
      </c>
      <c r="G5" s="257"/>
    </row>
    <row r="6" spans="1:9" s="258" customFormat="1" ht="13.5" customHeight="1">
      <c r="A6" s="952" t="s">
        <v>2337</v>
      </c>
      <c r="B6" s="259" t="s">
        <v>2338</v>
      </c>
      <c r="C6" s="260">
        <f>'土地比较法-住宅、综合'!B2</f>
        <v>718</v>
      </c>
      <c r="D6" s="261"/>
      <c r="E6" s="262"/>
      <c r="F6" s="262"/>
      <c r="G6" s="263"/>
    </row>
    <row r="7" spans="1:9" s="258" customFormat="1" ht="13.5" customHeight="1">
      <c r="A7" s="952" t="s">
        <v>2339</v>
      </c>
      <c r="B7" s="259" t="s">
        <v>2340</v>
      </c>
      <c r="C7" s="264">
        <f>ROUND(C6*F7,0)</f>
        <v>22</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73</v>
      </c>
      <c r="D8" s="266"/>
      <c r="E8" s="264"/>
      <c r="F8" s="265"/>
      <c r="G8" s="2553" t="s">
        <v>3305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90</v>
      </c>
      <c r="F9" s="265"/>
      <c r="G9" s="2554"/>
      <c r="H9" s="1393"/>
      <c r="I9" s="2555" t="s">
        <v>2344</v>
      </c>
    </row>
    <row r="10" spans="1:9" s="258" customFormat="1" ht="13.5" customHeight="1">
      <c r="A10" s="953" t="s">
        <v>801</v>
      </c>
      <c r="B10" s="268" t="s">
        <v>2345</v>
      </c>
      <c r="C10" s="269">
        <f ca="1">ROUND(D10*E10/10000,0)</f>
        <v>73</v>
      </c>
      <c r="D10" s="1035">
        <f ca="1">IF(B1="",'数据-汇总表'!E6,IF(INDIRECT("'数据-取费表'!c"&amp;$G$1)="住宅",INDIRECT("'数据-取费表'!s"&amp;$G$1),INDIRECT("'数据-取费表'!k"&amp;$G$1)+INDIRECT("'数据-取费表'!s"&amp;$G$1)))</f>
        <v>8062.31</v>
      </c>
      <c r="E10" s="269">
        <f>'数据-取费表'!B28</f>
        <v>90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8062.31</v>
      </c>
      <c r="E19" s="255">
        <f>'数据-取费表'!B31</f>
        <v>200</v>
      </c>
      <c r="F19" s="275"/>
      <c r="G19" s="2553" t="s">
        <v>3306</v>
      </c>
    </row>
    <row r="20" spans="1:7" s="258" customFormat="1" ht="13.5" customHeight="1">
      <c r="A20" s="299" t="s">
        <v>2358</v>
      </c>
      <c r="B20" s="254" t="s">
        <v>2359</v>
      </c>
      <c r="C20" s="276">
        <f>ROUND((C5+C19)*F20,0)</f>
        <v>24</v>
      </c>
      <c r="D20" s="276"/>
      <c r="E20" s="276"/>
      <c r="F20" s="277">
        <f>'数据-取费表'!B37</f>
        <v>0.03</v>
      </c>
      <c r="G20" s="278" t="s">
        <v>2360</v>
      </c>
    </row>
    <row r="21" spans="1:7" s="258" customFormat="1" ht="13.5" customHeight="1">
      <c r="A21" s="299" t="s">
        <v>2361</v>
      </c>
      <c r="B21" s="254" t="s">
        <v>2362</v>
      </c>
      <c r="C21" s="279">
        <f>F21</f>
        <v>0.05</v>
      </c>
      <c r="D21" s="280" t="s">
        <v>2363</v>
      </c>
      <c r="E21" s="276"/>
      <c r="F21" s="277">
        <f>'数据-取费表'!B38</f>
        <v>0.05</v>
      </c>
      <c r="G21" s="278" t="s">
        <v>2364</v>
      </c>
    </row>
    <row r="22" spans="1:7" s="258" customFormat="1" ht="13.5" customHeight="1">
      <c r="A22" s="299" t="s">
        <v>2365</v>
      </c>
      <c r="B22" s="254" t="s">
        <v>2366</v>
      </c>
      <c r="C22" s="1357">
        <f ca="1">ROUND(SUM(C23:C25),0)</f>
        <v>80</v>
      </c>
      <c r="D22" s="279">
        <f ca="1">C26</f>
        <v>2.3999999999999998E-3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79</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v>
      </c>
      <c r="D25" s="282"/>
      <c r="E25" s="285"/>
      <c r="F25" s="283"/>
      <c r="G25" s="286" t="s">
        <v>2375</v>
      </c>
    </row>
    <row r="26" spans="1:7" s="258" customFormat="1">
      <c r="A26" s="954" t="s">
        <v>795</v>
      </c>
      <c r="B26" s="259" t="s">
        <v>2376</v>
      </c>
      <c r="C26" s="282">
        <f ca="1">ROUND(IF('数据-取费表'!B22&lt;=1,F21*F22*'数据-取费表'!B23/2,F21*(POWER((1+F22),'数据-取费表'!B23/2)-1)),4)</f>
        <v>2.3999999999999998E-3</v>
      </c>
      <c r="D26" s="282"/>
      <c r="E26" s="285"/>
      <c r="F26" s="283"/>
      <c r="G26" s="287"/>
    </row>
    <row r="27" spans="1:7" s="258" customFormat="1" ht="24.75">
      <c r="A27" s="299" t="s">
        <v>2377</v>
      </c>
      <c r="B27" s="288" t="s">
        <v>2378</v>
      </c>
      <c r="C27" s="289">
        <f ca="1">C28</f>
        <v>209</v>
      </c>
      <c r="D27" s="279">
        <f ca="1">C29</f>
        <v>1.2500000000000001E-2</v>
      </c>
      <c r="E27" s="280" t="s">
        <v>2379</v>
      </c>
      <c r="F27" s="290">
        <f ca="1">IF(B1="",'数据-取费表'!Q16,INDIRECT("'数据-取费表'!q"&amp;$G$1))</f>
        <v>0.25</v>
      </c>
      <c r="G27" s="291" t="s">
        <v>2380</v>
      </c>
    </row>
    <row r="28" spans="1:7" s="258" customFormat="1" ht="13.5" customHeight="1">
      <c r="A28" s="954" t="s">
        <v>791</v>
      </c>
      <c r="B28" s="292" t="s">
        <v>2381</v>
      </c>
      <c r="C28" s="293">
        <f ca="1">ROUND((C5+C19+C20)*F27*'数据-取费表'!B21/'数据-取费表'!B20,0)</f>
        <v>209</v>
      </c>
      <c r="D28" s="279"/>
      <c r="E28" s="280"/>
      <c r="F28" s="290"/>
      <c r="G28" s="291"/>
    </row>
    <row r="29" spans="1:7" s="258" customFormat="1" ht="13.5" customHeight="1">
      <c r="A29" s="954" t="s">
        <v>792</v>
      </c>
      <c r="B29" s="292" t="s">
        <v>2382</v>
      </c>
      <c r="C29" s="282">
        <f ca="1">ROUND(C21*F27*'数据-取费表'!B21/'数据-取费表'!B20,4)</f>
        <v>1.2500000000000001E-2</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1276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4696</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4031</v>
      </c>
      <c r="D34" s="261"/>
      <c r="E34" s="264"/>
      <c r="F34" s="301">
        <f ca="1">IF('数据-取费表'!B24=0,1,IF(B1="",'数据-取费表'!N16,INDIRECT("'数据-取费表'!n"&amp;$G$1)))</f>
        <v>1</v>
      </c>
      <c r="G34" s="263" t="s">
        <v>2391</v>
      </c>
    </row>
    <row r="35" spans="1:7" ht="13.5" customHeight="1">
      <c r="A35" s="954" t="s">
        <v>796</v>
      </c>
      <c r="B35" s="259" t="s">
        <v>2392</v>
      </c>
      <c r="C35" s="264">
        <f ca="1">ROUND(C34*F35,0)</f>
        <v>202</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403</v>
      </c>
      <c r="D37" s="261">
        <f ca="1">D19</f>
        <v>8062.31</v>
      </c>
      <c r="E37" s="293">
        <f>'数据-取费表'!B35</f>
        <v>500</v>
      </c>
      <c r="F37" s="303"/>
      <c r="G37" s="305" t="s">
        <v>2397</v>
      </c>
    </row>
    <row r="38" spans="1:7" ht="13.5" customHeight="1">
      <c r="A38" s="954" t="s">
        <v>799</v>
      </c>
      <c r="B38" s="259" t="s">
        <v>2398</v>
      </c>
      <c r="C38" s="264">
        <f ca="1">ROUND(C34*F38,0)</f>
        <v>60</v>
      </c>
      <c r="D38" s="264"/>
      <c r="E38" s="264"/>
      <c r="F38" s="303">
        <f>'数据-取费表'!B36</f>
        <v>1.4999999999999999E-2</v>
      </c>
      <c r="G38" s="263" t="s">
        <v>2393</v>
      </c>
    </row>
    <row r="39" spans="1:7" s="258" customFormat="1" ht="13.5" customHeight="1">
      <c r="A39" s="299" t="s">
        <v>2399</v>
      </c>
      <c r="B39" s="254" t="s">
        <v>2400</v>
      </c>
      <c r="C39" s="276">
        <f ca="1">ROUND(C33*F20,0)</f>
        <v>141</v>
      </c>
      <c r="D39" s="276"/>
      <c r="E39" s="276"/>
      <c r="F39" s="277"/>
      <c r="G39" s="278" t="s">
        <v>2401</v>
      </c>
    </row>
    <row r="40" spans="1:7" s="258" customFormat="1" ht="13.5" customHeight="1">
      <c r="A40" s="299" t="s">
        <v>2402</v>
      </c>
      <c r="B40" s="254" t="s">
        <v>2403</v>
      </c>
      <c r="C40" s="1730">
        <f>F21</f>
        <v>0.05</v>
      </c>
      <c r="D40" s="280" t="s">
        <v>2404</v>
      </c>
      <c r="E40" s="276"/>
      <c r="F40" s="277"/>
      <c r="G40" s="278" t="s">
        <v>2405</v>
      </c>
    </row>
    <row r="41" spans="1:7" s="258" customFormat="1" ht="13.5" customHeight="1">
      <c r="A41" s="299" t="s">
        <v>2406</v>
      </c>
      <c r="B41" s="254" t="s">
        <v>2407</v>
      </c>
      <c r="C41" s="276">
        <f ca="1">ROUND(SUM(C42:C43),0)</f>
        <v>230</v>
      </c>
      <c r="D41" s="279">
        <f ca="1">C44</f>
        <v>2.3999999999999998E-3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223</v>
      </c>
      <c r="D42" s="282"/>
      <c r="E42" s="282"/>
      <c r="F42" s="283"/>
      <c r="G42" s="3159" t="s">
        <v>2409</v>
      </c>
    </row>
    <row r="43" spans="1:7" ht="13.5" customHeight="1">
      <c r="A43" s="954" t="s">
        <v>792</v>
      </c>
      <c r="B43" s="259" t="s">
        <v>2410</v>
      </c>
      <c r="C43" s="282">
        <f ca="1">ROUND(IF('数据-取费表'!B22&lt;=1,C39*F22*'数据-取费表'!B21/2,C39*(POWER((1+F22),'数据-取费表'!B21/2)-1)),0)</f>
        <v>7</v>
      </c>
      <c r="D43" s="282"/>
      <c r="E43" s="282"/>
      <c r="F43" s="283"/>
      <c r="G43" s="3160"/>
    </row>
    <row r="44" spans="1:7" ht="13.5" customHeight="1">
      <c r="A44" s="954" t="s">
        <v>793</v>
      </c>
      <c r="B44" s="259" t="s">
        <v>2411</v>
      </c>
      <c r="C44" s="282">
        <f ca="1">ROUND(IF('数据-取费表'!B22&lt;=1,C40*F22*'数据-取费表'!B21/2,C40*(POWER((1+F22),'数据-取费表'!B21/2)-1)),4)</f>
        <v>2.3999999999999998E-3</v>
      </c>
      <c r="D44" s="282"/>
      <c r="E44" s="282"/>
      <c r="F44" s="283"/>
      <c r="G44" s="3161"/>
    </row>
    <row r="45" spans="1:7" s="258" customFormat="1" ht="13.5" customHeight="1">
      <c r="A45" s="299" t="s">
        <v>2412</v>
      </c>
      <c r="B45" s="288" t="s">
        <v>2378</v>
      </c>
      <c r="C45" s="289">
        <f ca="1">C46</f>
        <v>1209</v>
      </c>
      <c r="D45" s="279">
        <f ca="1">C47</f>
        <v>1.2500000000000001E-2</v>
      </c>
      <c r="E45" s="280" t="s">
        <v>2404</v>
      </c>
      <c r="F45" s="290"/>
      <c r="G45" s="291" t="s">
        <v>2413</v>
      </c>
    </row>
    <row r="46" spans="1:7" s="258" customFormat="1" ht="13.5" customHeight="1">
      <c r="A46" s="954" t="s">
        <v>791</v>
      </c>
      <c r="B46" s="292" t="s">
        <v>2414</v>
      </c>
      <c r="C46" s="293">
        <f ca="1">ROUND((C33+C39)*F27,0)</f>
        <v>1209</v>
      </c>
      <c r="D46" s="307"/>
      <c r="E46" s="280"/>
      <c r="F46" s="290"/>
      <c r="G46" s="291"/>
    </row>
    <row r="47" spans="1:7" s="258" customFormat="1" ht="13.5" customHeight="1">
      <c r="A47" s="954" t="s">
        <v>792</v>
      </c>
      <c r="B47" s="292" t="s">
        <v>2415</v>
      </c>
      <c r="C47" s="282">
        <f ca="1">ROUND(C40*F27,4)</f>
        <v>1.2500000000000001E-2</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7110</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6399</v>
      </c>
      <c r="D51" s="276"/>
      <c r="E51" s="276"/>
      <c r="F51" s="308"/>
      <c r="G51" s="278" t="s">
        <v>2425</v>
      </c>
    </row>
    <row r="52" spans="1:7" s="252" customFormat="1" ht="16.5" thickBot="1">
      <c r="A52" s="309" t="s">
        <v>2426</v>
      </c>
      <c r="B52" s="310"/>
      <c r="C52" s="311">
        <f ca="1">C31+C51</f>
        <v>7675</v>
      </c>
      <c r="D52" s="310"/>
      <c r="E52" s="310"/>
      <c r="F52" s="310"/>
      <c r="G52" s="312"/>
    </row>
    <row r="55" spans="1:7" ht="15">
      <c r="B55" s="314" t="s">
        <v>2427</v>
      </c>
      <c r="C55" s="315"/>
    </row>
    <row r="56" spans="1:7">
      <c r="B56" s="317" t="s">
        <v>1513</v>
      </c>
      <c r="C56" s="319">
        <f ca="1">1-C57</f>
        <v>0.16600000000000004</v>
      </c>
    </row>
    <row r="57" spans="1:7">
      <c r="B57" s="317" t="s">
        <v>1514</v>
      </c>
      <c r="C57" s="318">
        <f ca="1">ROUND(C51/C52,3)</f>
        <v>0.83399999999999996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 sqref="F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6" t="s">
        <v>2428</v>
      </c>
      <c r="D1" s="242"/>
      <c r="E1" s="242"/>
      <c r="F1" s="242"/>
      <c r="G1" s="1382">
        <f>MATCH(B1,'数据-取费表'!A6:A16,0)+5</f>
        <v>8</v>
      </c>
      <c r="H1" s="1285" t="str">
        <f>IF(ISERROR(FIND("住宅",B1)),"非住宅","住宅")</f>
        <v>非住宅</v>
      </c>
    </row>
    <row r="2" spans="1:8" s="244" customFormat="1" ht="18" customHeight="1">
      <c r="A2" s="245" t="s">
        <v>2327</v>
      </c>
      <c r="B2" s="246">
        <f ca="1">ROUND(IF(D2="——",C52/10000,C52/10000-E2),0)</f>
        <v>6766</v>
      </c>
      <c r="C2" s="243" t="s">
        <v>2328</v>
      </c>
      <c r="D2" s="2550" t="s">
        <v>70</v>
      </c>
      <c r="E2" s="1443"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8392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725608</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725608</v>
      </c>
      <c r="D8" s="266"/>
      <c r="E8" s="264"/>
      <c r="F8" s="265"/>
      <c r="G8" s="2553"/>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2345</v>
      </c>
      <c r="C10" s="269">
        <f ca="1">ROUND(D10*E10,0)</f>
        <v>725608</v>
      </c>
      <c r="D10" s="1035">
        <f ca="1">IF(B1="",'数据-汇总表'!E6,IF(INDIRECT("'数据-取费表'!c"&amp;$G$1)="住宅",INDIRECT("'数据-取费表'!s"&amp;$G$1),INDIRECT("'数据-取费表'!k"&amp;$G$1)+INDIRECT("'数据-取费表'!s"&amp;$G$1)))</f>
        <v>8062.31</v>
      </c>
      <c r="E10" s="269">
        <f>'数据-取费表'!B28</f>
        <v>90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1612462</v>
      </c>
      <c r="D19" s="1039">
        <f ca="1">D9+D10</f>
        <v>8062.31</v>
      </c>
      <c r="E19" s="255">
        <f>'数据-取费表'!B31</f>
        <v>200</v>
      </c>
      <c r="F19" s="275"/>
      <c r="G19" s="2553"/>
    </row>
    <row r="20" spans="1:7" s="258" customFormat="1" ht="13.5" customHeight="1">
      <c r="A20" s="299" t="s">
        <v>2439</v>
      </c>
      <c r="B20" s="254" t="s">
        <v>2440</v>
      </c>
      <c r="C20" s="276">
        <f ca="1">ROUND((C5+C19)*F20,0)</f>
        <v>70142</v>
      </c>
      <c r="D20" s="276"/>
      <c r="E20" s="276"/>
      <c r="F20" s="277">
        <f>'数据-取费表'!B37</f>
        <v>0.03</v>
      </c>
      <c r="G20" s="278" t="s">
        <v>2441</v>
      </c>
    </row>
    <row r="21" spans="1:7" s="258" customFormat="1" ht="13.5" customHeight="1">
      <c r="A21" s="299" t="s">
        <v>2442</v>
      </c>
      <c r="B21" s="254" t="s">
        <v>2443</v>
      </c>
      <c r="C21" s="279">
        <f>F21</f>
        <v>0.05</v>
      </c>
      <c r="D21" s="280" t="s">
        <v>2444</v>
      </c>
      <c r="E21" s="276"/>
      <c r="F21" s="277">
        <f>'数据-取费表'!B38</f>
        <v>0.05</v>
      </c>
      <c r="G21" s="278" t="s">
        <v>2445</v>
      </c>
    </row>
    <row r="22" spans="1:7" s="258" customFormat="1" ht="13.5" customHeight="1">
      <c r="A22" s="299" t="s">
        <v>2446</v>
      </c>
      <c r="B22" s="254" t="s">
        <v>2447</v>
      </c>
      <c r="C22" s="1383">
        <f ca="1">ROUND(SUM(C23:C25),0)</f>
        <v>230724</v>
      </c>
      <c r="D22" s="279">
        <f ca="1">C26</f>
        <v>2.3999999999999998E-3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70570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156822</v>
      </c>
      <c r="D24" s="282"/>
      <c r="E24" s="282"/>
      <c r="F24" s="283"/>
      <c r="G24" s="284" t="s">
        <v>2451</v>
      </c>
    </row>
    <row r="25" spans="1:7" s="258" customFormat="1" ht="24">
      <c r="A25" s="954" t="s">
        <v>2341</v>
      </c>
      <c r="B25" s="259" t="s">
        <v>2452</v>
      </c>
      <c r="C25" s="1384">
        <f ca="1">ROUND(IF('数据-取费表'!B22&lt;=1,C20*F22*'数据-取费表'!B22/2,C20*(POWER((1+F22),'数据-取费表'!B22/2)-1)),0)</f>
        <v>3332</v>
      </c>
      <c r="D25" s="282"/>
      <c r="E25" s="285"/>
      <c r="F25" s="283"/>
      <c r="G25" s="286" t="s">
        <v>2453</v>
      </c>
    </row>
    <row r="26" spans="1:7" s="258" customFormat="1">
      <c r="A26" s="954" t="s">
        <v>795</v>
      </c>
      <c r="B26" s="259" t="s">
        <v>2376</v>
      </c>
      <c r="C26" s="282">
        <f ca="1">ROUND(IF('数据-取费表'!B22&lt;=1,F21*F22*'数据-取费表'!B22/2,F21*(POWER((1+F22),'数据-取费表'!B22/2)-1)),4)</f>
        <v>2.3999999999999998E-3</v>
      </c>
      <c r="D26" s="282"/>
      <c r="E26" s="285"/>
      <c r="F26" s="283"/>
      <c r="G26" s="287"/>
    </row>
    <row r="27" spans="1:7" s="258" customFormat="1" ht="24.75">
      <c r="A27" s="299" t="s">
        <v>2377</v>
      </c>
      <c r="B27" s="288" t="s">
        <v>2378</v>
      </c>
      <c r="C27" s="289">
        <f ca="1">C28</f>
        <v>602053</v>
      </c>
      <c r="D27" s="279">
        <f ca="1">C29</f>
        <v>1.2500000000000001E-2</v>
      </c>
      <c r="E27" s="280" t="s">
        <v>2379</v>
      </c>
      <c r="F27" s="290">
        <f ca="1">IF(B1="",'数据-取费表'!Q16,INDIRECT("'数据-取费表'!q"&amp;$G$1))</f>
        <v>0.25</v>
      </c>
      <c r="G27" s="291" t="s">
        <v>2380</v>
      </c>
    </row>
    <row r="28" spans="1:7" s="258" customFormat="1" ht="13.5" customHeight="1">
      <c r="A28" s="954" t="s">
        <v>791</v>
      </c>
      <c r="B28" s="292" t="s">
        <v>2381</v>
      </c>
      <c r="C28" s="293">
        <f ca="1">ROUND((C5+C19+C20)*F27,0)</f>
        <v>602053</v>
      </c>
      <c r="D28" s="279"/>
      <c r="E28" s="280"/>
      <c r="F28" s="290"/>
      <c r="G28" s="291"/>
    </row>
    <row r="29" spans="1:7" s="258" customFormat="1" ht="13.5" customHeight="1">
      <c r="A29" s="954" t="s">
        <v>792</v>
      </c>
      <c r="B29" s="292" t="s">
        <v>2382</v>
      </c>
      <c r="C29" s="282">
        <f ca="1">ROUND(C21*F27,4)</f>
        <v>1.2500000000000001E-2</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3671677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46962956</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40311550</v>
      </c>
      <c r="D34" s="261"/>
      <c r="E34" s="264"/>
      <c r="F34" s="301"/>
      <c r="G34" s="263"/>
    </row>
    <row r="35" spans="1:7" ht="13.5" customHeight="1">
      <c r="A35" s="954" t="s">
        <v>796</v>
      </c>
      <c r="B35" s="259" t="s">
        <v>2392</v>
      </c>
      <c r="C35" s="264">
        <f ca="1">ROUND(C34*F35,0)</f>
        <v>2015578</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4031155</v>
      </c>
      <c r="D37" s="261">
        <f ca="1">D19</f>
        <v>8062.31</v>
      </c>
      <c r="E37" s="293">
        <f>'数据-取费表'!B35</f>
        <v>500</v>
      </c>
      <c r="F37" s="303"/>
      <c r="G37" s="305"/>
    </row>
    <row r="38" spans="1:7" ht="13.5" customHeight="1">
      <c r="A38" s="954" t="s">
        <v>799</v>
      </c>
      <c r="B38" s="259" t="s">
        <v>2398</v>
      </c>
      <c r="C38" s="264">
        <f ca="1">ROUND(C34*F38,0)</f>
        <v>604673</v>
      </c>
      <c r="D38" s="264"/>
      <c r="E38" s="264"/>
      <c r="F38" s="303">
        <f>'数据-取费表'!B36</f>
        <v>1.4999999999999999E-2</v>
      </c>
      <c r="G38" s="263" t="s">
        <v>2393</v>
      </c>
    </row>
    <row r="39" spans="1:7" s="258" customFormat="1" ht="13.5" customHeight="1">
      <c r="A39" s="299" t="s">
        <v>2399</v>
      </c>
      <c r="B39" s="254" t="s">
        <v>2400</v>
      </c>
      <c r="C39" s="276">
        <f ca="1">ROUND(C33*F20,0)</f>
        <v>1408889</v>
      </c>
      <c r="D39" s="276"/>
      <c r="E39" s="276"/>
      <c r="F39" s="277"/>
      <c r="G39" s="278" t="s">
        <v>2401</v>
      </c>
    </row>
    <row r="40" spans="1:7" s="258" customFormat="1" ht="13.5" customHeight="1">
      <c r="A40" s="299" t="s">
        <v>2402</v>
      </c>
      <c r="B40" s="254" t="s">
        <v>2403</v>
      </c>
      <c r="C40" s="1730">
        <f>F21</f>
        <v>0.05</v>
      </c>
      <c r="D40" s="280" t="s">
        <v>2404</v>
      </c>
      <c r="E40" s="276"/>
      <c r="F40" s="277"/>
      <c r="G40" s="278" t="s">
        <v>2405</v>
      </c>
    </row>
    <row r="41" spans="1:7" s="258" customFormat="1" ht="13.5" customHeight="1">
      <c r="A41" s="299" t="s">
        <v>2406</v>
      </c>
      <c r="B41" s="254" t="s">
        <v>2407</v>
      </c>
      <c r="C41" s="276">
        <f ca="1">ROUND(SUM(C42:C43),0)</f>
        <v>2297662</v>
      </c>
      <c r="D41" s="279">
        <f ca="1">C44</f>
        <v>2.3999999999999998E-3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2230740</v>
      </c>
      <c r="D42" s="282"/>
      <c r="E42" s="282"/>
      <c r="F42" s="283"/>
      <c r="G42" s="3159" t="s">
        <v>2456</v>
      </c>
    </row>
    <row r="43" spans="1:7" ht="13.5" customHeight="1">
      <c r="A43" s="954" t="s">
        <v>792</v>
      </c>
      <c r="B43" s="259" t="s">
        <v>2410</v>
      </c>
      <c r="C43" s="282">
        <f ca="1">ROUND(IF('数据-取费表'!B22&lt;=1,C39*F22*'数据-取费表'!B20/2,C39*(POWER((1+F22),'数据-取费表'!B20/2)-1)),0)</f>
        <v>66922</v>
      </c>
      <c r="D43" s="282"/>
      <c r="E43" s="282"/>
      <c r="F43" s="283"/>
      <c r="G43" s="3160"/>
    </row>
    <row r="44" spans="1:7" ht="13.5" customHeight="1">
      <c r="A44" s="954" t="s">
        <v>793</v>
      </c>
      <c r="B44" s="259" t="s">
        <v>2411</v>
      </c>
      <c r="C44" s="282">
        <f ca="1">ROUND(IF('数据-取费表'!B22&lt;=1,C40*F22*'数据-取费表'!B20/2,C40*(POWER((1+F22),'数据-取费表'!B20/2)-1)),4)</f>
        <v>2.3999999999999998E-3</v>
      </c>
      <c r="D44" s="282"/>
      <c r="E44" s="282"/>
      <c r="F44" s="283"/>
      <c r="G44" s="3161"/>
    </row>
    <row r="45" spans="1:7" s="258" customFormat="1" ht="13.5" customHeight="1">
      <c r="A45" s="299" t="s">
        <v>2412</v>
      </c>
      <c r="B45" s="288" t="s">
        <v>2378</v>
      </c>
      <c r="C45" s="289">
        <f ca="1">C46</f>
        <v>12092961</v>
      </c>
      <c r="D45" s="279">
        <f ca="1">C47</f>
        <v>1.2500000000000001E-2</v>
      </c>
      <c r="E45" s="280" t="s">
        <v>2404</v>
      </c>
      <c r="F45" s="290"/>
      <c r="G45" s="291" t="s">
        <v>2413</v>
      </c>
    </row>
    <row r="46" spans="1:7" s="258" customFormat="1" ht="13.5" customHeight="1">
      <c r="A46" s="954" t="s">
        <v>791</v>
      </c>
      <c r="B46" s="292" t="s">
        <v>2414</v>
      </c>
      <c r="C46" s="293">
        <f ca="1">ROUND((C33+C39)*F27,0)</f>
        <v>12092961</v>
      </c>
      <c r="D46" s="307"/>
      <c r="E46" s="280"/>
      <c r="F46" s="290"/>
      <c r="G46" s="291"/>
    </row>
    <row r="47" spans="1:7" s="258" customFormat="1" ht="13.5" customHeight="1">
      <c r="A47" s="954" t="s">
        <v>792</v>
      </c>
      <c r="B47" s="292" t="s">
        <v>2415</v>
      </c>
      <c r="C47" s="282">
        <f ca="1">ROUND(C40*F27,4)</f>
        <v>1.2500000000000001E-2</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71102830</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63992547</v>
      </c>
      <c r="D51" s="276"/>
      <c r="E51" s="276"/>
      <c r="F51" s="308"/>
      <c r="G51" s="278" t="s">
        <v>2425</v>
      </c>
    </row>
    <row r="52" spans="1:7" s="252" customFormat="1" ht="16.5" thickBot="1">
      <c r="A52" s="309" t="s">
        <v>2426</v>
      </c>
      <c r="B52" s="310"/>
      <c r="C52" s="311">
        <f ca="1">C31+C51</f>
        <v>67664224</v>
      </c>
      <c r="D52" s="310"/>
      <c r="E52" s="310"/>
      <c r="F52" s="310"/>
      <c r="G52" s="312"/>
    </row>
    <row r="55" spans="1:7" ht="15">
      <c r="B55" s="314" t="s">
        <v>2427</v>
      </c>
      <c r="C55" s="315"/>
    </row>
    <row r="56" spans="1:7">
      <c r="B56" s="317" t="s">
        <v>1513</v>
      </c>
      <c r="C56" s="319">
        <f ca="1">1-C57</f>
        <v>5.4000000000000048E-2</v>
      </c>
    </row>
    <row r="57" spans="1:7">
      <c r="B57" s="317" t="s">
        <v>1514</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 sqref="F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3"/>
      <c r="C1" s="1584"/>
      <c r="D1" s="1582"/>
      <c r="E1" s="320"/>
      <c r="F1" s="320"/>
      <c r="G1" s="1583"/>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7" t="s">
        <v>2465</v>
      </c>
      <c r="D5" s="2557" t="s">
        <v>2466</v>
      </c>
      <c r="E5" s="2557" t="s">
        <v>2467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0.05</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8062.31</v>
      </c>
      <c r="E14" s="24">
        <f>'数据-取费表'!B35</f>
        <v>500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8062.31</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59"/>
      <c r="H18" s="1579"/>
      <c r="I18" s="2560"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90</v>
      </c>
      <c r="F19" s="979"/>
      <c r="G19" s="15"/>
      <c r="H19" s="1581"/>
      <c r="I19" s="984"/>
      <c r="J19" s="984"/>
      <c r="K19" s="985"/>
    </row>
    <row r="20" spans="1:33" s="978" customFormat="1" ht="13.5" customHeight="1">
      <c r="A20" s="974" t="s">
        <v>806</v>
      </c>
      <c r="B20" s="975" t="s">
        <v>2495</v>
      </c>
      <c r="C20" s="24">
        <f ca="1">ROUND(D20*E20/10000,0)</f>
        <v>73</v>
      </c>
      <c r="D20" s="1036">
        <f ca="1">IF(C1="",'数据-汇总表'!E6,IF(INDIRECT("'数据-取费表'!c"&amp;$K$1)="住宅",INDIRECT("'数据-取费表'!s"&amp;$K$1),INDIRECT("'数据-取费表'!k"&amp;$K$1)+INDIRECT("'数据-取费表'!s"&amp;$K$1)))</f>
        <v>8062.31</v>
      </c>
      <c r="E20" s="24">
        <f>'数据-取费表'!B28</f>
        <v>90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0.03</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0.05</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2509</v>
      </c>
      <c r="B28" s="2562" t="s">
        <v>2510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3"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8" zoomScale="80" zoomScaleNormal="80" workbookViewId="0">
      <selection activeCell="C11" sqref="C11"/>
    </sheetView>
  </sheetViews>
  <sheetFormatPr defaultRowHeight="14.25"/>
  <cols>
    <col min="1" max="1" width="14.375" style="403" customWidth="1"/>
    <col min="2" max="2" width="15.75" style="403" customWidth="1"/>
    <col min="3" max="3" width="15.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718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891</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7" t="s">
        <v>2648</v>
      </c>
      <c r="AC4" s="3176" t="s">
        <v>2649</v>
      </c>
    </row>
    <row r="5" spans="1:30" ht="15">
      <c r="A5" s="404"/>
      <c r="B5" s="405"/>
      <c r="C5" s="3196" t="s">
        <v>2542</v>
      </c>
      <c r="D5" s="3197"/>
      <c r="E5" s="3203" t="str">
        <f>土地案例!A16</f>
        <v>金沙湖街道办事处两合居委会</v>
      </c>
      <c r="F5" s="3204"/>
      <c r="G5" s="3196" t="str">
        <f>土地案例!A17</f>
        <v>阜宁县开发区黄舍居委会四组、专榆居委会六组</v>
      </c>
      <c r="H5" s="3197"/>
      <c r="I5" s="3196" t="str">
        <f>土地案例!A21</f>
        <v>新沟镇西沙湖村</v>
      </c>
      <c r="J5" s="3197"/>
      <c r="K5" s="610"/>
      <c r="L5" s="1133"/>
      <c r="M5" s="1134"/>
      <c r="N5" s="1134"/>
      <c r="O5" s="1134"/>
      <c r="P5" s="3184"/>
      <c r="Q5" s="3185"/>
      <c r="R5" s="3190"/>
      <c r="S5" s="3191"/>
      <c r="T5" s="3190"/>
      <c r="U5" s="3191"/>
      <c r="V5" s="3175"/>
      <c r="W5" s="3175"/>
      <c r="X5" s="1815"/>
      <c r="Y5" s="3190"/>
      <c r="Z5" s="3191"/>
      <c r="AA5" s="3177"/>
      <c r="AB5" s="3177"/>
      <c r="AC5" s="3177"/>
    </row>
    <row r="6" spans="1:30" ht="15.75" thickBot="1">
      <c r="A6" s="406"/>
      <c r="B6" s="407"/>
      <c r="C6" s="3194" t="s">
        <v>2546</v>
      </c>
      <c r="D6" s="3195"/>
      <c r="E6" s="3201" t="s">
        <v>2546</v>
      </c>
      <c r="F6" s="3202"/>
      <c r="G6" s="3194" t="s">
        <v>2546</v>
      </c>
      <c r="H6" s="3195"/>
      <c r="I6" s="3194" t="s">
        <v>2546</v>
      </c>
      <c r="J6" s="3195"/>
      <c r="K6" s="610" t="s">
        <v>2547</v>
      </c>
      <c r="L6" s="1133"/>
      <c r="M6" s="1134"/>
      <c r="N6" s="1134"/>
      <c r="O6" s="1134"/>
      <c r="P6" s="3186"/>
      <c r="Q6" s="3187"/>
      <c r="R6" s="3190"/>
      <c r="S6" s="3191"/>
      <c r="T6" s="3192"/>
      <c r="U6" s="3193"/>
      <c r="V6" s="3175"/>
      <c r="W6" s="3175"/>
      <c r="X6" s="1815"/>
      <c r="Y6" s="3192"/>
      <c r="Z6" s="3193"/>
      <c r="AA6" s="3178"/>
      <c r="AB6" s="3178"/>
      <c r="AC6" s="3178"/>
    </row>
    <row r="7" spans="1:30" s="117" customFormat="1" ht="15.75" thickBot="1">
      <c r="A7" s="408" t="s">
        <v>2548</v>
      </c>
      <c r="B7" s="409"/>
      <c r="C7" s="410">
        <f>'数据-取费表'!B2</f>
        <v>43404</v>
      </c>
      <c r="D7" s="411">
        <v>100</v>
      </c>
      <c r="E7" s="412" t="str">
        <f>土地案例!K16</f>
        <v>2017-07-21</v>
      </c>
      <c r="F7" s="413">
        <f>SUMIF(70:70,YEAR(E7)&amp;"-"&amp;INT((MONTH(E7)+2)/3),71:71)</f>
        <v>97.5</v>
      </c>
      <c r="G7" s="2699" t="str">
        <f>土地案例!K17</f>
        <v>2017-06-16</v>
      </c>
      <c r="H7" s="411">
        <f>SUMIF(70:70,YEAR(G7)&amp;"-"&amp;INT((MONTH(G7)+2)/3),71:71)</f>
        <v>97</v>
      </c>
      <c r="I7" s="2699" t="str">
        <f>土地案例!K21</f>
        <v>2017-03-31</v>
      </c>
      <c r="J7" s="411">
        <f>SUMIF(70:70,YEAR(I7)&amp;"-"&amp;INT((MONTH(I7)+2)/3),71:71)</f>
        <v>96.5</v>
      </c>
      <c r="K7" s="611"/>
      <c r="L7" s="1135"/>
      <c r="M7" s="1136"/>
      <c r="N7" s="1136"/>
      <c r="O7" s="1136"/>
      <c r="P7" s="3198" t="s">
        <v>2549</v>
      </c>
      <c r="Q7" s="3200"/>
      <c r="R7" s="770" t="s">
        <v>17</v>
      </c>
      <c r="S7" s="771">
        <f t="shared" ref="S7:S15" si="0">F7</f>
        <v>97.5</v>
      </c>
      <c r="T7" s="770" t="s">
        <v>17</v>
      </c>
      <c r="U7" s="771">
        <f t="shared" ref="U7:U15" si="1">H7</f>
        <v>97</v>
      </c>
      <c r="V7" s="770" t="s">
        <v>17</v>
      </c>
      <c r="W7" s="771">
        <f t="shared" ref="W7:W15" si="2">J7</f>
        <v>96.5</v>
      </c>
      <c r="X7" s="772"/>
      <c r="Y7" s="3198" t="s">
        <v>2549</v>
      </c>
      <c r="Z7" s="3199"/>
      <c r="AA7" s="773">
        <f>D7/F7</f>
        <v>1.0256410256410255</v>
      </c>
      <c r="AB7" s="773">
        <f>D7/H7</f>
        <v>1.0309278350515463</v>
      </c>
      <c r="AC7" s="773">
        <f>D7/J7</f>
        <v>1.0362694300518134</v>
      </c>
    </row>
    <row r="8" spans="1:30" s="117" customFormat="1" ht="15.75" thickBot="1">
      <c r="A8" s="408" t="s">
        <v>2550</v>
      </c>
      <c r="B8" s="409"/>
      <c r="C8" s="414" t="s">
        <v>2551</v>
      </c>
      <c r="D8" s="411">
        <v>100</v>
      </c>
      <c r="E8" s="414" t="s">
        <v>3300</v>
      </c>
      <c r="F8" s="413">
        <f>SUMIF(73:73,E8,74:74)-SUMIF(73:73,C8,74:74)+100</f>
        <v>100</v>
      </c>
      <c r="G8" s="414" t="s">
        <v>3300</v>
      </c>
      <c r="H8" s="411">
        <f>SUMIF(73:73,G8,74:74)-SUMIF(73:73,C8,74:74)+100</f>
        <v>100</v>
      </c>
      <c r="I8" s="414" t="s">
        <v>3300</v>
      </c>
      <c r="J8" s="411">
        <f>SUMIF(73:73,I8,74:74)-SUMIF(73:73,C8,74:74)+100</f>
        <v>100</v>
      </c>
      <c r="K8" s="611"/>
      <c r="L8" s="1135"/>
      <c r="M8" s="1136"/>
      <c r="N8" s="1136"/>
      <c r="O8" s="1136"/>
      <c r="P8" s="3198" t="s">
        <v>2552</v>
      </c>
      <c r="Q8" s="3199"/>
      <c r="R8" s="770" t="s">
        <v>17</v>
      </c>
      <c r="S8" s="771">
        <f t="shared" si="0"/>
        <v>100</v>
      </c>
      <c r="T8" s="770" t="s">
        <v>17</v>
      </c>
      <c r="U8" s="771">
        <f t="shared" si="1"/>
        <v>100</v>
      </c>
      <c r="V8" s="770" t="s">
        <v>17</v>
      </c>
      <c r="W8" s="771">
        <f t="shared" si="2"/>
        <v>100</v>
      </c>
      <c r="X8" s="772"/>
      <c r="Y8" s="3198" t="s">
        <v>2552</v>
      </c>
      <c r="Z8" s="3199"/>
      <c r="AA8" s="773">
        <f t="shared" ref="AA8:AA45" si="3">D8/F8</f>
        <v>1</v>
      </c>
      <c r="AB8" s="773">
        <f t="shared" ref="AB8:AB45" si="4">D8/H8</f>
        <v>1</v>
      </c>
      <c r="AC8" s="773">
        <f t="shared" ref="AC8:AC45" si="5">D8/J8</f>
        <v>1</v>
      </c>
    </row>
    <row r="9" spans="1:30" s="117" customFormat="1">
      <c r="A9" s="415" t="s">
        <v>2553</v>
      </c>
      <c r="B9" s="71" t="s">
        <v>2554</v>
      </c>
      <c r="C9" s="2702" t="s">
        <v>3086</v>
      </c>
      <c r="D9" s="135">
        <v>100</v>
      </c>
      <c r="E9" s="2702" t="s">
        <v>3154</v>
      </c>
      <c r="F9" s="135">
        <f>SUMIF(75:75,E9,76:76)-SUMIF(75:75,C9,76:76)+100</f>
        <v>100</v>
      </c>
      <c r="G9" s="2702" t="s">
        <v>3154</v>
      </c>
      <c r="H9" s="135">
        <f>SUMIF(75:75,G9,76:76)-SUMIF(75:75,C9,76:76)+100</f>
        <v>100</v>
      </c>
      <c r="I9" s="2702" t="s">
        <v>3154</v>
      </c>
      <c r="J9" s="135">
        <f>SUMIF(75:75,I9,76:76)-SUMIF(75:75,C9,76:76)+100</f>
        <v>100</v>
      </c>
      <c r="K9" s="611"/>
      <c r="L9" s="1135"/>
      <c r="M9" s="1136"/>
      <c r="N9" s="1136"/>
      <c r="O9" s="1137"/>
      <c r="P9" s="3169"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30" s="427" customFormat="1" ht="27">
      <c r="A10" s="421"/>
      <c r="B10" s="422" t="s">
        <v>2557</v>
      </c>
      <c r="C10" s="432">
        <f>项目基本情况!E15</f>
        <v>33.51</v>
      </c>
      <c r="D10" s="136">
        <v>100</v>
      </c>
      <c r="E10" s="465" t="s">
        <v>3301</v>
      </c>
      <c r="F10" s="136">
        <f>ROUND(100/'数据-取费表'!G16,0)</f>
        <v>107</v>
      </c>
      <c r="G10" s="463" t="s">
        <v>3301</v>
      </c>
      <c r="H10" s="136">
        <f>ROUND(100/'数据-取费表'!G16,0)</f>
        <v>107</v>
      </c>
      <c r="I10" s="463" t="s">
        <v>3301</v>
      </c>
      <c r="J10" s="136">
        <f>ROUND(100/'数据-取费表'!G16,0)</f>
        <v>107</v>
      </c>
      <c r="K10" s="672"/>
      <c r="L10" s="1138"/>
      <c r="M10" s="1139"/>
      <c r="N10" s="1139"/>
      <c r="O10" s="1140"/>
      <c r="P10" s="3169"/>
      <c r="Q10" s="1797" t="str">
        <f t="shared" si="6"/>
        <v>土地使用年限（年）</v>
      </c>
      <c r="R10" s="770" t="s">
        <v>17</v>
      </c>
      <c r="S10" s="771">
        <f t="shared" si="0"/>
        <v>107</v>
      </c>
      <c r="T10" s="770" t="s">
        <v>17</v>
      </c>
      <c r="U10" s="771">
        <f t="shared" si="1"/>
        <v>107</v>
      </c>
      <c r="V10" s="770" t="s">
        <v>17</v>
      </c>
      <c r="W10" s="771">
        <f t="shared" si="2"/>
        <v>107</v>
      </c>
      <c r="X10" s="772"/>
      <c r="Y10" s="3017"/>
      <c r="Z10" s="55" t="str">
        <f t="shared" si="7"/>
        <v>土地使用年限（年）</v>
      </c>
      <c r="AA10" s="773">
        <f t="shared" si="3"/>
        <v>0.93457943925233644</v>
      </c>
      <c r="AB10" s="773">
        <f t="shared" si="4"/>
        <v>0.93457943925233644</v>
      </c>
      <c r="AC10" s="773">
        <f t="shared" si="5"/>
        <v>0.93457943925233644</v>
      </c>
    </row>
    <row r="11" spans="1:30" ht="15.75" thickBot="1">
      <c r="A11" s="428"/>
      <c r="B11" s="422" t="s">
        <v>2558</v>
      </c>
      <c r="C11" s="429">
        <f>'数据-汇总表'!I6</f>
        <v>0.1</v>
      </c>
      <c r="D11" s="136">
        <v>100</v>
      </c>
      <c r="E11" s="429">
        <v>0.8</v>
      </c>
      <c r="F11" s="136">
        <f>LOOKUP(E11,80:80,81:81)-LOOKUP(C11,80:80,81:81)+100</f>
        <v>90</v>
      </c>
      <c r="G11" s="430">
        <v>1.4</v>
      </c>
      <c r="H11" s="136">
        <f>LOOKUP(G11,80:80,81:81)-LOOKUP(C11,80:80,81:81)+100</f>
        <v>80</v>
      </c>
      <c r="I11" s="429">
        <v>0.6</v>
      </c>
      <c r="J11" s="136">
        <f>LOOKUP(I11,80:80,81:81)-LOOKUP(C11,80:80,81:81)+100</f>
        <v>90</v>
      </c>
      <c r="K11" s="673">
        <v>5</v>
      </c>
      <c r="L11" s="1141"/>
      <c r="M11" s="1134"/>
      <c r="N11" s="1134"/>
      <c r="O11" s="1142"/>
      <c r="P11" s="3169"/>
      <c r="Q11" s="1797" t="str">
        <f t="shared" si="6"/>
        <v>容积率</v>
      </c>
      <c r="R11" s="770" t="s">
        <v>17</v>
      </c>
      <c r="S11" s="771">
        <f t="shared" si="0"/>
        <v>90</v>
      </c>
      <c r="T11" s="770" t="s">
        <v>17</v>
      </c>
      <c r="U11" s="771">
        <f t="shared" si="1"/>
        <v>80</v>
      </c>
      <c r="V11" s="770" t="s">
        <v>17</v>
      </c>
      <c r="W11" s="771">
        <f t="shared" si="2"/>
        <v>90</v>
      </c>
      <c r="X11" s="772"/>
      <c r="Y11" s="3017"/>
      <c r="Z11" s="55" t="str">
        <f t="shared" si="7"/>
        <v>容积率</v>
      </c>
      <c r="AA11" s="773">
        <f t="shared" si="3"/>
        <v>1.1111111111111112</v>
      </c>
      <c r="AB11" s="773">
        <f t="shared" si="4"/>
        <v>1.25</v>
      </c>
      <c r="AC11" s="773">
        <f t="shared" si="5"/>
        <v>1.1111111111111112</v>
      </c>
    </row>
    <row r="12" spans="1:30" s="117" customFormat="1" ht="15" hidden="1">
      <c r="A12" s="431"/>
      <c r="B12" s="2603"/>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7">
        <f t="shared" si="6"/>
        <v>0</v>
      </c>
      <c r="R12" s="770" t="s">
        <v>17</v>
      </c>
      <c r="S12" s="771">
        <f t="shared" si="0"/>
        <v>100</v>
      </c>
      <c r="T12" s="770" t="s">
        <v>17</v>
      </c>
      <c r="U12" s="771">
        <f t="shared" si="1"/>
        <v>100</v>
      </c>
      <c r="V12" s="770" t="s">
        <v>17</v>
      </c>
      <c r="W12" s="771">
        <f t="shared" si="2"/>
        <v>100</v>
      </c>
      <c r="X12" s="772"/>
      <c r="Y12" s="3017"/>
      <c r="Z12" s="55">
        <f t="shared" si="7"/>
        <v>0</v>
      </c>
      <c r="AA12" s="773">
        <f>D12/F12</f>
        <v>1</v>
      </c>
      <c r="AB12" s="773">
        <f>D12/H12</f>
        <v>1</v>
      </c>
      <c r="AC12" s="773">
        <f>D12/J12</f>
        <v>1</v>
      </c>
    </row>
    <row r="13" spans="1:30" ht="15" hidden="1">
      <c r="A13" s="428"/>
      <c r="B13" s="2603"/>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7">
        <f t="shared" si="6"/>
        <v>0</v>
      </c>
      <c r="R13" s="770" t="s">
        <v>17</v>
      </c>
      <c r="S13" s="771">
        <f t="shared" si="0"/>
        <v>100</v>
      </c>
      <c r="T13" s="770" t="s">
        <v>17</v>
      </c>
      <c r="U13" s="771">
        <f t="shared" si="1"/>
        <v>100</v>
      </c>
      <c r="V13" s="770" t="s">
        <v>17</v>
      </c>
      <c r="W13" s="771">
        <f t="shared" si="2"/>
        <v>100</v>
      </c>
      <c r="X13" s="772"/>
      <c r="Y13" s="3017"/>
      <c r="Z13" s="55">
        <f t="shared" si="7"/>
        <v>0</v>
      </c>
      <c r="AA13" s="773">
        <f>D13/F13</f>
        <v>1</v>
      </c>
      <c r="AB13" s="773">
        <f>D13/H13</f>
        <v>1</v>
      </c>
      <c r="AC13" s="773">
        <f>D13/J13</f>
        <v>1</v>
      </c>
    </row>
    <row r="14" spans="1:30" ht="15.75" hidden="1" thickBot="1">
      <c r="A14" s="436"/>
      <c r="B14" s="2605"/>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7">
        <f t="shared" si="6"/>
        <v>0</v>
      </c>
      <c r="R14" s="770" t="s">
        <v>17</v>
      </c>
      <c r="S14" s="771">
        <f t="shared" si="0"/>
        <v>100</v>
      </c>
      <c r="T14" s="770" t="s">
        <v>17</v>
      </c>
      <c r="U14" s="771">
        <f t="shared" si="1"/>
        <v>100</v>
      </c>
      <c r="V14" s="770" t="s">
        <v>17</v>
      </c>
      <c r="W14" s="771">
        <f t="shared" si="2"/>
        <v>100</v>
      </c>
      <c r="X14" s="772"/>
      <c r="Y14" s="3017"/>
      <c r="Z14" s="55">
        <f t="shared" si="7"/>
        <v>0</v>
      </c>
      <c r="AA14" s="773">
        <f>D14/F14</f>
        <v>1</v>
      </c>
      <c r="AB14" s="773">
        <f>D14/H14</f>
        <v>1</v>
      </c>
      <c r="AC14" s="773">
        <f>D14/J14</f>
        <v>1</v>
      </c>
    </row>
    <row r="15" spans="1:30" ht="99.75">
      <c r="A15" s="440" t="s">
        <v>2559</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2560</v>
      </c>
      <c r="Q15" s="1812" t="str">
        <f t="shared" si="6"/>
        <v>居住社区成熟度</v>
      </c>
      <c r="R15" s="774" t="s">
        <v>17</v>
      </c>
      <c r="S15" s="775">
        <f t="shared" si="0"/>
        <v>100</v>
      </c>
      <c r="T15" s="774" t="s">
        <v>17</v>
      </c>
      <c r="U15" s="775">
        <f t="shared" si="1"/>
        <v>100</v>
      </c>
      <c r="V15" s="774" t="s">
        <v>17</v>
      </c>
      <c r="W15" s="775">
        <f t="shared" si="2"/>
        <v>100</v>
      </c>
      <c r="X15" s="1815"/>
      <c r="Y15" s="3171" t="s">
        <v>2560</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3"/>
      <c r="M16" s="1134"/>
      <c r="N16" s="1134"/>
      <c r="O16" s="1142"/>
      <c r="P16" s="3172"/>
      <c r="Q16" s="1812"/>
      <c r="R16" s="774"/>
      <c r="S16" s="775"/>
      <c r="T16" s="774"/>
      <c r="U16" s="775"/>
      <c r="V16" s="774"/>
      <c r="W16" s="775"/>
      <c r="X16" s="1815"/>
      <c r="Y16" s="3172"/>
      <c r="Z16" s="1816"/>
      <c r="AA16" s="1813">
        <v>1</v>
      </c>
      <c r="AB16" s="1813">
        <v>1</v>
      </c>
      <c r="AC16" s="1813">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172"/>
      <c r="Q17" s="1812" t="str">
        <f>B17</f>
        <v>商业繁华度</v>
      </c>
      <c r="R17" s="774" t="s">
        <v>17</v>
      </c>
      <c r="S17" s="775">
        <f>F17</f>
        <v>100</v>
      </c>
      <c r="T17" s="774" t="s">
        <v>17</v>
      </c>
      <c r="U17" s="775">
        <f>H17</f>
        <v>100</v>
      </c>
      <c r="V17" s="774" t="s">
        <v>17</v>
      </c>
      <c r="W17" s="775">
        <f>J17</f>
        <v>100</v>
      </c>
      <c r="X17" s="1815"/>
      <c r="Y17" s="3172"/>
      <c r="Z17" s="1816" t="str">
        <f>Q17</f>
        <v>商业繁华度</v>
      </c>
      <c r="AA17" s="1813">
        <f t="shared" si="3"/>
        <v>1</v>
      </c>
      <c r="AB17" s="1813">
        <f t="shared" si="4"/>
        <v>1</v>
      </c>
      <c r="AC17" s="1813">
        <f t="shared" si="5"/>
        <v>1</v>
      </c>
    </row>
    <row r="18" spans="1:29" ht="15">
      <c r="A18" s="428"/>
      <c r="B18" s="456"/>
      <c r="C18" s="2611" t="s">
        <v>3303</v>
      </c>
      <c r="D18" s="450"/>
      <c r="E18" s="2611" t="s">
        <v>3303</v>
      </c>
      <c r="F18" s="450"/>
      <c r="G18" s="2611" t="s">
        <v>3303</v>
      </c>
      <c r="H18" s="448"/>
      <c r="I18" s="2611" t="s">
        <v>3303</v>
      </c>
      <c r="J18" s="448"/>
      <c r="K18" s="672"/>
      <c r="L18" s="1143"/>
      <c r="M18" s="1134"/>
      <c r="N18" s="1134"/>
      <c r="O18" s="1142"/>
      <c r="P18" s="3172"/>
      <c r="Q18" s="1812"/>
      <c r="R18" s="774"/>
      <c r="S18" s="775"/>
      <c r="T18" s="774"/>
      <c r="U18" s="775"/>
      <c r="V18" s="774"/>
      <c r="W18" s="775"/>
      <c r="X18" s="1815"/>
      <c r="Y18" s="3172"/>
      <c r="Z18" s="1816"/>
      <c r="AA18" s="1813">
        <v>1</v>
      </c>
      <c r="AB18" s="1813">
        <v>1</v>
      </c>
      <c r="AC18" s="1813">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2"/>
      <c r="Q19" s="1812" t="str">
        <f>B19</f>
        <v>办公集聚程度</v>
      </c>
      <c r="R19" s="774" t="s">
        <v>17</v>
      </c>
      <c r="S19" s="775">
        <f>F19</f>
        <v>100</v>
      </c>
      <c r="T19" s="774" t="s">
        <v>17</v>
      </c>
      <c r="U19" s="775">
        <f>H19</f>
        <v>100</v>
      </c>
      <c r="V19" s="774" t="s">
        <v>17</v>
      </c>
      <c r="W19" s="775">
        <f>J19</f>
        <v>100</v>
      </c>
      <c r="X19" s="1815"/>
      <c r="Y19" s="3172"/>
      <c r="Z19" s="1816" t="str">
        <f>Q19</f>
        <v>办公集聚程度</v>
      </c>
      <c r="AA19" s="1813">
        <f t="shared" si="3"/>
        <v>1</v>
      </c>
      <c r="AB19" s="1813">
        <f t="shared" si="4"/>
        <v>1</v>
      </c>
      <c r="AC19" s="1813">
        <f t="shared" si="5"/>
        <v>1</v>
      </c>
    </row>
    <row r="20" spans="1:29" ht="15">
      <c r="A20" s="428"/>
      <c r="B20" s="456"/>
      <c r="C20" s="447" t="s">
        <v>3302</v>
      </c>
      <c r="D20" s="448"/>
      <c r="E20" s="447" t="s">
        <v>3302</v>
      </c>
      <c r="F20" s="448"/>
      <c r="G20" s="447" t="s">
        <v>3302</v>
      </c>
      <c r="H20" s="448"/>
      <c r="I20" s="447" t="s">
        <v>3302</v>
      </c>
      <c r="J20" s="448"/>
      <c r="K20" s="672"/>
      <c r="L20" s="1143"/>
      <c r="M20" s="1134"/>
      <c r="N20" s="1134"/>
      <c r="O20" s="1142"/>
      <c r="P20" s="3172"/>
      <c r="Q20" s="1812"/>
      <c r="R20" s="774"/>
      <c r="S20" s="775"/>
      <c r="T20" s="774"/>
      <c r="U20" s="775"/>
      <c r="V20" s="774"/>
      <c r="W20" s="775"/>
      <c r="X20" s="1815"/>
      <c r="Y20" s="3172"/>
      <c r="Z20" s="1816"/>
      <c r="AA20" s="1813">
        <v>1</v>
      </c>
      <c r="AB20" s="1813">
        <v>1</v>
      </c>
      <c r="AC20" s="1813">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3"/>
      <c r="M21" s="1134"/>
      <c r="N21" s="1134"/>
      <c r="O21" s="1142"/>
      <c r="P21" s="3172"/>
      <c r="Q21" s="1812" t="str">
        <f>B21</f>
        <v>交通便捷度</v>
      </c>
      <c r="R21" s="774" t="s">
        <v>17</v>
      </c>
      <c r="S21" s="775">
        <f>F21</f>
        <v>100</v>
      </c>
      <c r="T21" s="774" t="s">
        <v>17</v>
      </c>
      <c r="U21" s="775">
        <f>H21</f>
        <v>100</v>
      </c>
      <c r="V21" s="774" t="s">
        <v>17</v>
      </c>
      <c r="W21" s="775">
        <f>J21</f>
        <v>100</v>
      </c>
      <c r="X21" s="1815"/>
      <c r="Y21" s="3172"/>
      <c r="Z21" s="1816" t="str">
        <f>Q21</f>
        <v>交通便捷度</v>
      </c>
      <c r="AA21" s="1813">
        <f t="shared" si="3"/>
        <v>1</v>
      </c>
      <c r="AB21" s="1813">
        <f t="shared" si="4"/>
        <v>1</v>
      </c>
      <c r="AC21" s="1813">
        <f t="shared" si="5"/>
        <v>1</v>
      </c>
    </row>
    <row r="22" spans="1:29" ht="15">
      <c r="A22" s="428"/>
      <c r="B22" s="1387"/>
      <c r="C22" s="447" t="s">
        <v>3303</v>
      </c>
      <c r="D22" s="450"/>
      <c r="E22" s="447" t="s">
        <v>3303</v>
      </c>
      <c r="F22" s="448"/>
      <c r="G22" s="447" t="s">
        <v>3303</v>
      </c>
      <c r="H22" s="448"/>
      <c r="I22" s="447" t="s">
        <v>3303</v>
      </c>
      <c r="J22" s="448"/>
      <c r="K22" s="672"/>
      <c r="L22" s="1143"/>
      <c r="M22" s="1134"/>
      <c r="N22" s="1134"/>
      <c r="O22" s="1142"/>
      <c r="P22" s="3172"/>
      <c r="Q22" s="1812"/>
      <c r="R22" s="774"/>
      <c r="S22" s="775"/>
      <c r="T22" s="774"/>
      <c r="U22" s="775"/>
      <c r="V22" s="774"/>
      <c r="W22" s="775"/>
      <c r="X22" s="1815"/>
      <c r="Y22" s="3172"/>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3"/>
      <c r="M23" s="1134"/>
      <c r="N23" s="1134"/>
      <c r="O23" s="1142"/>
      <c r="P23" s="3172"/>
      <c r="Q23" s="1812" t="str">
        <f t="shared" ref="Q23:Q37" si="8">B23</f>
        <v>区域土地利用方向</v>
      </c>
      <c r="R23" s="774" t="s">
        <v>17</v>
      </c>
      <c r="S23" s="775">
        <f>F23</f>
        <v>100</v>
      </c>
      <c r="T23" s="774" t="s">
        <v>17</v>
      </c>
      <c r="U23" s="775">
        <f>H23</f>
        <v>100</v>
      </c>
      <c r="V23" s="774" t="s">
        <v>17</v>
      </c>
      <c r="W23" s="775">
        <f>J23</f>
        <v>100</v>
      </c>
      <c r="X23" s="1815"/>
      <c r="Y23" s="3172"/>
      <c r="Z23" s="1816" t="str">
        <f>Q23</f>
        <v>区域土地利用方向</v>
      </c>
      <c r="AA23" s="1813">
        <f t="shared" si="3"/>
        <v>1</v>
      </c>
      <c r="AB23" s="1813">
        <f t="shared" si="4"/>
        <v>1</v>
      </c>
      <c r="AC23" s="1813">
        <f t="shared" si="5"/>
        <v>1</v>
      </c>
    </row>
    <row r="24" spans="1:29" ht="15">
      <c r="A24" s="404"/>
      <c r="B24" s="456"/>
      <c r="C24" s="616" t="s">
        <v>3124</v>
      </c>
      <c r="D24" s="448"/>
      <c r="E24" s="616" t="s">
        <v>3124</v>
      </c>
      <c r="F24" s="448"/>
      <c r="G24" s="616" t="s">
        <v>3124</v>
      </c>
      <c r="H24" s="448"/>
      <c r="I24" s="616" t="s">
        <v>3124</v>
      </c>
      <c r="J24" s="448"/>
      <c r="K24" s="812"/>
      <c r="L24" s="1143"/>
      <c r="M24" s="1134"/>
      <c r="N24" s="1134"/>
      <c r="O24" s="1142"/>
      <c r="P24" s="3172"/>
      <c r="Q24" s="1812"/>
      <c r="R24" s="774"/>
      <c r="S24" s="775"/>
      <c r="T24" s="774"/>
      <c r="U24" s="775"/>
      <c r="V24" s="774"/>
      <c r="W24" s="775"/>
      <c r="X24" s="1815"/>
      <c r="Y24" s="3172"/>
      <c r="Z24" s="1816"/>
      <c r="AA24" s="1813"/>
      <c r="AB24" s="1813"/>
      <c r="AC24" s="1813"/>
    </row>
    <row r="25" spans="1:29" ht="57">
      <c r="A25" s="404"/>
      <c r="B25" s="1387"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5</v>
      </c>
      <c r="L25" s="1143"/>
      <c r="M25" s="1134"/>
      <c r="N25" s="1134"/>
      <c r="O25" s="1142"/>
      <c r="P25" s="3172"/>
      <c r="Q25" s="1812" t="str">
        <f t="shared" si="8"/>
        <v>自然及人文环境状况</v>
      </c>
      <c r="R25" s="774" t="s">
        <v>17</v>
      </c>
      <c r="S25" s="775">
        <f>F25</f>
        <v>100</v>
      </c>
      <c r="T25" s="774" t="s">
        <v>17</v>
      </c>
      <c r="U25" s="775">
        <f>H25</f>
        <v>100</v>
      </c>
      <c r="V25" s="774" t="s">
        <v>17</v>
      </c>
      <c r="W25" s="775">
        <f>J25</f>
        <v>100</v>
      </c>
      <c r="X25" s="1815"/>
      <c r="Y25" s="3172"/>
      <c r="Z25" s="1816" t="str">
        <f>Q25</f>
        <v>自然及人文环境状况</v>
      </c>
      <c r="AA25" s="1813">
        <f t="shared" si="3"/>
        <v>1</v>
      </c>
      <c r="AB25" s="1813">
        <f t="shared" si="4"/>
        <v>1</v>
      </c>
      <c r="AC25" s="1813">
        <f t="shared" si="5"/>
        <v>1</v>
      </c>
    </row>
    <row r="26" spans="1:29" ht="15">
      <c r="A26" s="404"/>
      <c r="B26" s="456"/>
      <c r="C26" s="447" t="s">
        <v>3303</v>
      </c>
      <c r="D26" s="448"/>
      <c r="E26" s="447" t="s">
        <v>3303</v>
      </c>
      <c r="F26" s="448"/>
      <c r="G26" s="447" t="s">
        <v>3303</v>
      </c>
      <c r="H26" s="448"/>
      <c r="I26" s="447" t="s">
        <v>3303</v>
      </c>
      <c r="J26" s="448"/>
      <c r="K26" s="672"/>
      <c r="L26" s="1143"/>
      <c r="M26" s="1134"/>
      <c r="N26" s="1134"/>
      <c r="O26" s="1142"/>
      <c r="P26" s="3172"/>
      <c r="Q26" s="1812"/>
      <c r="R26" s="774"/>
      <c r="S26" s="775"/>
      <c r="T26" s="774"/>
      <c r="U26" s="775"/>
      <c r="V26" s="774"/>
      <c r="W26" s="775"/>
      <c r="X26" s="1815"/>
      <c r="Y26" s="3172"/>
      <c r="Z26" s="1816"/>
      <c r="AA26" s="1813">
        <v>1</v>
      </c>
      <c r="AB26" s="1813">
        <v>1</v>
      </c>
      <c r="AC26" s="1813">
        <v>1</v>
      </c>
    </row>
    <row r="27" spans="1:29" s="117" customFormat="1" ht="42.75">
      <c r="A27" s="649"/>
      <c r="B27" s="1387"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72"/>
      <c r="Q27" s="1797" t="str">
        <f t="shared" si="8"/>
        <v>公共配套设施</v>
      </c>
      <c r="R27" s="770" t="s">
        <v>17</v>
      </c>
      <c r="S27" s="771">
        <f>F27</f>
        <v>100</v>
      </c>
      <c r="T27" s="770" t="s">
        <v>17</v>
      </c>
      <c r="U27" s="771">
        <f>H27</f>
        <v>100</v>
      </c>
      <c r="V27" s="770" t="s">
        <v>17</v>
      </c>
      <c r="W27" s="771">
        <f>J27</f>
        <v>100</v>
      </c>
      <c r="X27" s="772"/>
      <c r="Y27" s="3172"/>
      <c r="Z27" s="55" t="str">
        <f>Q27</f>
        <v>公共配套设施</v>
      </c>
      <c r="AA27" s="1813">
        <f>D27/F27</f>
        <v>1</v>
      </c>
      <c r="AB27" s="1813">
        <f>D27/H27</f>
        <v>1</v>
      </c>
      <c r="AC27" s="1813">
        <f>D27/J27</f>
        <v>1</v>
      </c>
    </row>
    <row r="28" spans="1:29" s="117" customFormat="1" ht="15">
      <c r="A28" s="649"/>
      <c r="B28" s="456"/>
      <c r="C28" s="2703" t="s">
        <v>3303</v>
      </c>
      <c r="D28" s="448"/>
      <c r="E28" s="2703" t="s">
        <v>3303</v>
      </c>
      <c r="F28" s="448"/>
      <c r="G28" s="2703" t="s">
        <v>3303</v>
      </c>
      <c r="H28" s="448"/>
      <c r="I28" s="2703" t="s">
        <v>3303</v>
      </c>
      <c r="J28" s="448"/>
      <c r="K28" s="672"/>
      <c r="L28" s="1135"/>
      <c r="M28" s="1136"/>
      <c r="N28" s="1136"/>
      <c r="O28" s="1137"/>
      <c r="P28" s="3172"/>
      <c r="Q28" s="1797"/>
      <c r="R28" s="770"/>
      <c r="S28" s="771"/>
      <c r="T28" s="770"/>
      <c r="U28" s="771"/>
      <c r="V28" s="770"/>
      <c r="W28" s="771"/>
      <c r="X28" s="772"/>
      <c r="Y28" s="3172"/>
      <c r="Z28" s="55"/>
      <c r="AA28" s="1813">
        <v>1</v>
      </c>
      <c r="AB28" s="1813">
        <v>1</v>
      </c>
      <c r="AC28" s="1813">
        <v>1</v>
      </c>
    </row>
    <row r="29" spans="1:29" s="117" customFormat="1" ht="28.5">
      <c r="A29" s="649"/>
      <c r="B29" s="1387"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2"/>
      <c r="Q29" s="1797"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3">
        <f>D29/F29</f>
        <v>1</v>
      </c>
      <c r="AB29" s="1813">
        <f>D29/H29</f>
        <v>1</v>
      </c>
      <c r="AC29" s="1813">
        <f>D29/J29</f>
        <v>1</v>
      </c>
    </row>
    <row r="30" spans="1:29" s="117" customFormat="1" ht="15">
      <c r="A30" s="649"/>
      <c r="B30" s="456"/>
      <c r="C30" s="2703" t="s">
        <v>3304</v>
      </c>
      <c r="D30" s="448"/>
      <c r="E30" s="2703" t="s">
        <v>3304</v>
      </c>
      <c r="F30" s="448"/>
      <c r="G30" s="2703" t="s">
        <v>3304</v>
      </c>
      <c r="H30" s="448"/>
      <c r="I30" s="2703" t="s">
        <v>3304</v>
      </c>
      <c r="J30" s="448"/>
      <c r="K30" s="672"/>
      <c r="L30" s="1135"/>
      <c r="M30" s="1136"/>
      <c r="N30" s="1136"/>
      <c r="O30" s="1137"/>
      <c r="P30" s="3172"/>
      <c r="Q30" s="1797"/>
      <c r="R30" s="770"/>
      <c r="S30" s="771"/>
      <c r="T30" s="770"/>
      <c r="U30" s="771"/>
      <c r="V30" s="770"/>
      <c r="W30" s="771"/>
      <c r="X30" s="772"/>
      <c r="Y30" s="3172"/>
      <c r="Z30" s="55"/>
      <c r="AA30" s="1813">
        <v>1</v>
      </c>
      <c r="AB30" s="1813">
        <v>1</v>
      </c>
      <c r="AC30" s="1813">
        <v>1</v>
      </c>
    </row>
    <row r="31" spans="1:29" ht="15" hidden="1">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2"/>
      <c r="Z31" s="1816" t="str">
        <f t="shared" ref="Z31:Z45" si="13">Q31</f>
        <v>临街状况</v>
      </c>
      <c r="AA31" s="1813">
        <f t="shared" si="3"/>
        <v>1</v>
      </c>
      <c r="AB31" s="1813">
        <f t="shared" si="4"/>
        <v>1</v>
      </c>
      <c r="AC31" s="1813">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172"/>
      <c r="Q32" s="1812" t="str">
        <f t="shared" si="8"/>
        <v>毗邻道路的类型与等级</v>
      </c>
      <c r="R32" s="774" t="s">
        <v>17</v>
      </c>
      <c r="S32" s="775">
        <f t="shared" si="10"/>
        <v>100</v>
      </c>
      <c r="T32" s="774" t="s">
        <v>17</v>
      </c>
      <c r="U32" s="775">
        <f t="shared" si="11"/>
        <v>100</v>
      </c>
      <c r="V32" s="774" t="s">
        <v>17</v>
      </c>
      <c r="W32" s="775">
        <f t="shared" si="12"/>
        <v>100</v>
      </c>
      <c r="X32" s="1815"/>
      <c r="Y32" s="3172"/>
      <c r="Z32" s="1816" t="str">
        <f t="shared" si="13"/>
        <v>毗邻道路的类型与等级</v>
      </c>
      <c r="AA32" s="1813">
        <f t="shared" si="3"/>
        <v>1</v>
      </c>
      <c r="AB32" s="1813">
        <f t="shared" si="4"/>
        <v>1</v>
      </c>
      <c r="AC32" s="1813">
        <f t="shared" si="5"/>
        <v>1</v>
      </c>
    </row>
    <row r="33" spans="1:29" ht="15.75" thickBot="1">
      <c r="A33" s="428"/>
      <c r="B33" s="456"/>
      <c r="C33" s="447" t="s">
        <v>3130</v>
      </c>
      <c r="D33" s="448"/>
      <c r="E33" s="447" t="s">
        <v>3130</v>
      </c>
      <c r="F33" s="448"/>
      <c r="G33" s="447" t="s">
        <v>3130</v>
      </c>
      <c r="H33" s="448"/>
      <c r="I33" s="447" t="s">
        <v>3130</v>
      </c>
      <c r="J33" s="448"/>
      <c r="K33" s="613"/>
      <c r="L33" s="1143"/>
      <c r="M33" s="1134"/>
      <c r="N33" s="1134"/>
      <c r="O33" s="1142"/>
      <c r="P33" s="3172"/>
      <c r="Q33" s="1812"/>
      <c r="R33" s="774"/>
      <c r="S33" s="775"/>
      <c r="T33" s="774"/>
      <c r="U33" s="775"/>
      <c r="V33" s="774"/>
      <c r="W33" s="775"/>
      <c r="X33" s="1815"/>
      <c r="Y33" s="3172"/>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2" t="str">
        <f t="shared" si="8"/>
        <v>土地级别</v>
      </c>
      <c r="R34" s="774" t="s">
        <v>17</v>
      </c>
      <c r="S34" s="775">
        <f t="shared" si="10"/>
        <v>100</v>
      </c>
      <c r="T34" s="774" t="s">
        <v>17</v>
      </c>
      <c r="U34" s="775">
        <f t="shared" si="11"/>
        <v>100</v>
      </c>
      <c r="V34" s="774" t="s">
        <v>17</v>
      </c>
      <c r="W34" s="775">
        <f t="shared" si="12"/>
        <v>100</v>
      </c>
      <c r="X34" s="1815"/>
      <c r="Y34" s="3172"/>
      <c r="Z34" s="1816" t="str">
        <f t="shared" si="13"/>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2">
        <f t="shared" si="8"/>
        <v>0</v>
      </c>
      <c r="R35" s="774" t="s">
        <v>17</v>
      </c>
      <c r="S35" s="775">
        <f t="shared" si="10"/>
        <v>100</v>
      </c>
      <c r="T35" s="774" t="s">
        <v>17</v>
      </c>
      <c r="U35" s="775">
        <f t="shared" si="11"/>
        <v>100</v>
      </c>
      <c r="V35" s="774" t="s">
        <v>17</v>
      </c>
      <c r="W35" s="775">
        <f t="shared" si="12"/>
        <v>100</v>
      </c>
      <c r="X35" s="1815"/>
      <c r="Y35" s="3172"/>
      <c r="Z35" s="1816">
        <f t="shared" si="13"/>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3" t="s">
        <v>2565</v>
      </c>
      <c r="Q36" s="1812">
        <f t="shared" si="8"/>
        <v>0</v>
      </c>
      <c r="R36" s="774" t="s">
        <v>17</v>
      </c>
      <c r="S36" s="775">
        <f t="shared" si="10"/>
        <v>100</v>
      </c>
      <c r="T36" s="774" t="s">
        <v>17</v>
      </c>
      <c r="U36" s="775">
        <f t="shared" si="11"/>
        <v>100</v>
      </c>
      <c r="V36" s="774" t="s">
        <v>17</v>
      </c>
      <c r="W36" s="775">
        <f t="shared" si="12"/>
        <v>100</v>
      </c>
      <c r="X36" s="1815"/>
      <c r="Y36" s="3174" t="s">
        <v>2565</v>
      </c>
      <c r="Z36" s="1816">
        <f t="shared" si="13"/>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4"/>
      <c r="Q37" s="1812">
        <f t="shared" si="8"/>
        <v>0</v>
      </c>
      <c r="R37" s="777" t="s">
        <v>17</v>
      </c>
      <c r="S37" s="778">
        <f t="shared" si="10"/>
        <v>100</v>
      </c>
      <c r="T37" s="777" t="s">
        <v>17</v>
      </c>
      <c r="U37" s="778">
        <f t="shared" si="11"/>
        <v>100</v>
      </c>
      <c r="V37" s="777" t="s">
        <v>17</v>
      </c>
      <c r="W37" s="778">
        <f t="shared" si="12"/>
        <v>100</v>
      </c>
      <c r="X37" s="779"/>
      <c r="Y37" s="3174"/>
      <c r="Z37" s="780">
        <f t="shared" si="13"/>
        <v>0</v>
      </c>
      <c r="AA37" s="1813">
        <f t="shared" si="3"/>
        <v>1</v>
      </c>
      <c r="AB37" s="1813">
        <f t="shared" si="4"/>
        <v>1</v>
      </c>
      <c r="AC37" s="1813">
        <f t="shared" si="5"/>
        <v>1</v>
      </c>
    </row>
    <row r="38" spans="1:29" ht="15">
      <c r="A38" s="472" t="s">
        <v>2563</v>
      </c>
      <c r="B38" s="456" t="s">
        <v>2750</v>
      </c>
      <c r="C38" s="679"/>
      <c r="D38" s="467">
        <v>100</v>
      </c>
      <c r="E38" s="679">
        <f>土地案例!H16</f>
        <v>98832.15</v>
      </c>
      <c r="F38" s="467">
        <f>LOOKUP(E38,117:117,118:118)-LOOKUP(C38,117:117,118:118)+100</f>
        <v>100</v>
      </c>
      <c r="G38" s="679">
        <f>土地案例!H17</f>
        <v>18587.21</v>
      </c>
      <c r="H38" s="467">
        <f>LOOKUP(G38,117:117,118:118)-LOOKUP(C38,117:117,118:118)+100</f>
        <v>100</v>
      </c>
      <c r="I38" s="530">
        <f>土地案例!H21</f>
        <v>53309.8</v>
      </c>
      <c r="J38" s="467">
        <f>LOOKUP(I38,117:117,118:118)-LOOKUP(C38,117:117,118:118)+100</f>
        <v>100</v>
      </c>
      <c r="K38" s="613"/>
      <c r="L38" s="1143"/>
      <c r="M38" s="1134"/>
      <c r="N38" s="1134"/>
      <c r="O38" s="1142"/>
      <c r="P38" s="3174"/>
      <c r="Q38" s="1812" t="str">
        <f>B38</f>
        <v>宗地面积</v>
      </c>
      <c r="R38" s="774" t="s">
        <v>17</v>
      </c>
      <c r="S38" s="775">
        <f t="shared" si="10"/>
        <v>100</v>
      </c>
      <c r="T38" s="774" t="s">
        <v>17</v>
      </c>
      <c r="U38" s="775">
        <f t="shared" si="11"/>
        <v>100</v>
      </c>
      <c r="V38" s="774" t="s">
        <v>17</v>
      </c>
      <c r="W38" s="775">
        <f t="shared" si="12"/>
        <v>100</v>
      </c>
      <c r="X38" s="1815"/>
      <c r="Y38" s="3174"/>
      <c r="Z38" s="1816" t="str">
        <f t="shared" si="13"/>
        <v>宗地面积</v>
      </c>
      <c r="AA38" s="1813">
        <f t="shared" si="3"/>
        <v>1</v>
      </c>
      <c r="AB38" s="1813">
        <f t="shared" si="4"/>
        <v>1</v>
      </c>
      <c r="AC38" s="1813">
        <f t="shared" si="5"/>
        <v>1</v>
      </c>
    </row>
    <row r="39" spans="1:29" ht="15">
      <c r="A39" s="472"/>
      <c r="B39" s="422" t="s">
        <v>2751</v>
      </c>
      <c r="C39" s="2616" t="s">
        <v>3120</v>
      </c>
      <c r="D39" s="435">
        <v>100</v>
      </c>
      <c r="E39" s="2616" t="s">
        <v>3120</v>
      </c>
      <c r="F39" s="435">
        <f>SUMIF(119:119,E39,120:120)-SUMIF(119:119,C39,120:120)+100</f>
        <v>100</v>
      </c>
      <c r="G39" s="2616" t="s">
        <v>3120</v>
      </c>
      <c r="H39" s="435">
        <f>SUMIF(119:119,G39,120:120)-SUMIF(119:119,C39,120:120)+100</f>
        <v>100</v>
      </c>
      <c r="I39" s="2616" t="s">
        <v>3120</v>
      </c>
      <c r="J39" s="435">
        <f>SUMIF(119:119,I39,120:120)-SUMIF(119:119,C39,120:120)+100</f>
        <v>100</v>
      </c>
      <c r="K39" s="612">
        <v>2</v>
      </c>
      <c r="L39" s="1143"/>
      <c r="M39" s="1134"/>
      <c r="N39" s="1134"/>
      <c r="O39" s="1142"/>
      <c r="P39" s="3174"/>
      <c r="Q39" s="1812" t="str">
        <f t="shared" ref="Q39:Q45" si="14">B39</f>
        <v>宗地形状</v>
      </c>
      <c r="R39" s="774" t="s">
        <v>17</v>
      </c>
      <c r="S39" s="775">
        <f t="shared" si="10"/>
        <v>100</v>
      </c>
      <c r="T39" s="774" t="s">
        <v>17</v>
      </c>
      <c r="U39" s="775">
        <f t="shared" si="11"/>
        <v>100</v>
      </c>
      <c r="V39" s="774" t="s">
        <v>17</v>
      </c>
      <c r="W39" s="775">
        <f t="shared" si="12"/>
        <v>100</v>
      </c>
      <c r="X39" s="1815"/>
      <c r="Y39" s="3174"/>
      <c r="Z39" s="1816" t="str">
        <f t="shared" si="13"/>
        <v>宗地形状</v>
      </c>
      <c r="AA39" s="1813">
        <f t="shared" si="3"/>
        <v>1</v>
      </c>
      <c r="AB39" s="1813">
        <f t="shared" si="4"/>
        <v>1</v>
      </c>
      <c r="AC39" s="1813">
        <f t="shared" si="5"/>
        <v>1</v>
      </c>
    </row>
    <row r="40" spans="1:29" ht="15" hidden="1">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74"/>
      <c r="Q40" s="1812" t="str">
        <f t="shared" si="14"/>
        <v>临街宽度及深度</v>
      </c>
      <c r="R40" s="774" t="s">
        <v>17</v>
      </c>
      <c r="S40" s="775">
        <f t="shared" si="10"/>
        <v>100</v>
      </c>
      <c r="T40" s="774" t="s">
        <v>17</v>
      </c>
      <c r="U40" s="775">
        <f t="shared" si="11"/>
        <v>100</v>
      </c>
      <c r="V40" s="774" t="s">
        <v>17</v>
      </c>
      <c r="W40" s="775">
        <f t="shared" si="12"/>
        <v>100</v>
      </c>
      <c r="X40" s="1815"/>
      <c r="Y40" s="3174"/>
      <c r="Z40" s="1816" t="str">
        <f t="shared" si="13"/>
        <v>临街宽度及深度</v>
      </c>
      <c r="AA40" s="1813">
        <f t="shared" si="3"/>
        <v>1</v>
      </c>
      <c r="AB40" s="1813">
        <f t="shared" si="4"/>
        <v>1</v>
      </c>
      <c r="AC40" s="1813">
        <f t="shared" si="5"/>
        <v>1</v>
      </c>
    </row>
    <row r="41" spans="1:29" s="117" customFormat="1" ht="15">
      <c r="A41" s="473"/>
      <c r="B41" s="422" t="s">
        <v>2753</v>
      </c>
      <c r="C41" s="2705" t="s">
        <v>3122</v>
      </c>
      <c r="D41" s="136">
        <v>100</v>
      </c>
      <c r="E41" s="2705" t="s">
        <v>3122</v>
      </c>
      <c r="F41" s="435">
        <f>SUMIF(123:123,E41,124:124)-SUMIF(123:123,C41,124:124)+100</f>
        <v>100</v>
      </c>
      <c r="G41" s="2705" t="s">
        <v>3122</v>
      </c>
      <c r="H41" s="435">
        <f>SUMIF(123:123,G41,124:124)-SUMIF(123:123,C41,124:124)+100</f>
        <v>100</v>
      </c>
      <c r="I41" s="2705" t="s">
        <v>3122</v>
      </c>
      <c r="J41" s="435">
        <f>SUMIF(123:123,I41,124:124)-SUMIF(123:123,C41,124:124)+100</f>
        <v>100</v>
      </c>
      <c r="K41" s="612">
        <v>2</v>
      </c>
      <c r="L41" s="1135"/>
      <c r="M41" s="1136"/>
      <c r="N41" s="1136"/>
      <c r="O41" s="1137"/>
      <c r="P41" s="3174"/>
      <c r="Q41" s="1812" t="str">
        <f t="shared" si="14"/>
        <v>宗地开发程度</v>
      </c>
      <c r="R41" s="770" t="s">
        <v>17</v>
      </c>
      <c r="S41" s="771">
        <f t="shared" si="10"/>
        <v>100</v>
      </c>
      <c r="T41" s="770" t="s">
        <v>17</v>
      </c>
      <c r="U41" s="771">
        <f t="shared" si="11"/>
        <v>100</v>
      </c>
      <c r="V41" s="770" t="s">
        <v>17</v>
      </c>
      <c r="W41" s="771">
        <f t="shared" si="12"/>
        <v>100</v>
      </c>
      <c r="X41" s="772"/>
      <c r="Y41" s="3174"/>
      <c r="Z41" s="55" t="str">
        <f t="shared" si="13"/>
        <v>宗地开发程度</v>
      </c>
      <c r="AA41" s="773">
        <f t="shared" si="3"/>
        <v>1</v>
      </c>
      <c r="AB41" s="773">
        <f t="shared" si="4"/>
        <v>1</v>
      </c>
      <c r="AC41" s="773">
        <f t="shared" si="5"/>
        <v>1</v>
      </c>
    </row>
    <row r="42" spans="1:29" ht="15.75" thickBot="1">
      <c r="A42" s="472"/>
      <c r="B42" s="422" t="s">
        <v>2754</v>
      </c>
      <c r="C42" s="2616" t="s">
        <v>3124</v>
      </c>
      <c r="D42" s="435">
        <v>100</v>
      </c>
      <c r="E42" s="2616" t="s">
        <v>3124</v>
      </c>
      <c r="F42" s="435">
        <f>SUMIF(125:125,E42,126:126)-SUMIF(125:125,C42,126:126)+100</f>
        <v>100</v>
      </c>
      <c r="G42" s="2616" t="s">
        <v>3124</v>
      </c>
      <c r="H42" s="435">
        <f>SUMIF(125:125,G42,126:126)-SUMIF(125:125,C42,126:126)+100</f>
        <v>100</v>
      </c>
      <c r="I42" s="2616" t="s">
        <v>3124</v>
      </c>
      <c r="J42" s="435">
        <f>SUMIF(125:125,I42,126:126)-SUMIF(125:125,C42,126:126)+100</f>
        <v>100</v>
      </c>
      <c r="K42" s="612">
        <v>2</v>
      </c>
      <c r="L42" s="1143"/>
      <c r="M42" s="1134"/>
      <c r="N42" s="1134"/>
      <c r="O42" s="1142"/>
      <c r="P42" s="3174" t="s">
        <v>2565</v>
      </c>
      <c r="Q42" s="1812" t="str">
        <f t="shared" si="14"/>
        <v>工程地质条件</v>
      </c>
      <c r="R42" s="774" t="s">
        <v>17</v>
      </c>
      <c r="S42" s="775">
        <f t="shared" si="10"/>
        <v>100</v>
      </c>
      <c r="T42" s="774" t="s">
        <v>17</v>
      </c>
      <c r="U42" s="775">
        <f t="shared" si="11"/>
        <v>100</v>
      </c>
      <c r="V42" s="774" t="s">
        <v>17</v>
      </c>
      <c r="W42" s="775">
        <f t="shared" si="12"/>
        <v>100</v>
      </c>
      <c r="X42" s="1815"/>
      <c r="Y42" s="3174" t="s">
        <v>2565</v>
      </c>
      <c r="Z42" s="1816" t="str">
        <f t="shared" si="13"/>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4"/>
      <c r="Q43" s="1812">
        <f t="shared" si="14"/>
        <v>0</v>
      </c>
      <c r="R43" s="774" t="s">
        <v>17</v>
      </c>
      <c r="S43" s="775">
        <f t="shared" si="10"/>
        <v>100</v>
      </c>
      <c r="T43" s="774" t="s">
        <v>17</v>
      </c>
      <c r="U43" s="775">
        <f t="shared" si="11"/>
        <v>100</v>
      </c>
      <c r="V43" s="774" t="s">
        <v>17</v>
      </c>
      <c r="W43" s="775">
        <f t="shared" si="12"/>
        <v>100</v>
      </c>
      <c r="X43" s="1815"/>
      <c r="Y43" s="3174"/>
      <c r="Z43" s="1816">
        <f t="shared" si="13"/>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4"/>
      <c r="Q44" s="1812">
        <f t="shared" si="14"/>
        <v>0</v>
      </c>
      <c r="R44" s="774" t="s">
        <v>17</v>
      </c>
      <c r="S44" s="775">
        <f t="shared" si="10"/>
        <v>100</v>
      </c>
      <c r="T44" s="774" t="s">
        <v>17</v>
      </c>
      <c r="U44" s="775">
        <f t="shared" si="11"/>
        <v>100</v>
      </c>
      <c r="V44" s="774" t="s">
        <v>17</v>
      </c>
      <c r="W44" s="775">
        <f t="shared" si="12"/>
        <v>100</v>
      </c>
      <c r="X44" s="1815"/>
      <c r="Y44" s="3174"/>
      <c r="Z44" s="1816">
        <f t="shared" si="13"/>
        <v>0</v>
      </c>
      <c r="AA44" s="1813">
        <f t="shared" si="3"/>
        <v>1</v>
      </c>
      <c r="AB44" s="1813">
        <f t="shared" si="4"/>
        <v>1</v>
      </c>
      <c r="AC44" s="1813">
        <f t="shared" si="5"/>
        <v>1</v>
      </c>
    </row>
    <row r="45" spans="1:29" s="471" customFormat="1" ht="15.75" hidden="1" thickBot="1">
      <c r="A45" s="468"/>
      <c r="B45" s="1390"/>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4"/>
      <c r="Q45" s="1812">
        <f t="shared" si="14"/>
        <v>0</v>
      </c>
      <c r="R45" s="777" t="s">
        <v>17</v>
      </c>
      <c r="S45" s="778">
        <f t="shared" si="10"/>
        <v>100</v>
      </c>
      <c r="T45" s="777" t="s">
        <v>17</v>
      </c>
      <c r="U45" s="778">
        <f t="shared" si="11"/>
        <v>100</v>
      </c>
      <c r="V45" s="777" t="s">
        <v>17</v>
      </c>
      <c r="W45" s="778">
        <f t="shared" si="12"/>
        <v>100</v>
      </c>
      <c r="X45" s="779"/>
      <c r="Y45" s="3174"/>
      <c r="Z45" s="780">
        <f t="shared" si="13"/>
        <v>0</v>
      </c>
      <c r="AA45" s="1813">
        <f t="shared" si="3"/>
        <v>1</v>
      </c>
      <c r="AB45" s="1813">
        <f t="shared" si="4"/>
        <v>1</v>
      </c>
      <c r="AC45" s="1813">
        <f t="shared" si="5"/>
        <v>1</v>
      </c>
    </row>
    <row r="46" spans="1:29" ht="15">
      <c r="A46" s="479" t="s">
        <v>2720</v>
      </c>
      <c r="B46" s="2707" t="s">
        <v>2755</v>
      </c>
      <c r="C46" s="682" t="s">
        <v>1</v>
      </c>
      <c r="D46" s="481"/>
      <c r="E46" s="482">
        <f>土地案例!P16</f>
        <v>882.55</v>
      </c>
      <c r="F46" s="483"/>
      <c r="G46" s="484">
        <f>土地案例!P17</f>
        <v>746.66</v>
      </c>
      <c r="H46" s="485"/>
      <c r="I46" s="482">
        <f>土地案例!P21</f>
        <v>771.59</v>
      </c>
      <c r="J46" s="485"/>
      <c r="K46" s="783"/>
      <c r="L46" s="1146"/>
      <c r="M46" s="1147"/>
      <c r="N46" s="1134"/>
      <c r="O46" s="1147"/>
      <c r="P46" s="3169" t="str">
        <f>A46</f>
        <v>成交单价</v>
      </c>
      <c r="Q46" s="3169"/>
      <c r="R46" s="3175">
        <f>E46</f>
        <v>882.55</v>
      </c>
      <c r="S46" s="3175"/>
      <c r="T46" s="3175">
        <f>G46</f>
        <v>746.66</v>
      </c>
      <c r="U46" s="3175"/>
      <c r="V46" s="3175">
        <f>I46</f>
        <v>771.59</v>
      </c>
      <c r="W46" s="3175"/>
      <c r="X46" s="759"/>
      <c r="Y46" s="781"/>
      <c r="Z46" s="759"/>
      <c r="AA46" s="759"/>
      <c r="AB46" s="759"/>
      <c r="AC46" s="759"/>
    </row>
    <row r="47" spans="1:29" ht="15.75" thickBot="1">
      <c r="A47" s="486" t="s">
        <v>2669</v>
      </c>
      <c r="B47" s="683"/>
      <c r="C47" s="490">
        <f>R48</f>
        <v>890</v>
      </c>
      <c r="D47" s="489"/>
      <c r="E47" s="490">
        <f>R47</f>
        <v>940</v>
      </c>
      <c r="F47" s="491"/>
      <c r="G47" s="488">
        <f>T47</f>
        <v>899</v>
      </c>
      <c r="H47" s="489"/>
      <c r="I47" s="490">
        <f>V47</f>
        <v>830</v>
      </c>
      <c r="J47" s="489"/>
      <c r="K47" s="784"/>
      <c r="L47" s="1146"/>
      <c r="M47" s="1147"/>
      <c r="N47" s="1147"/>
      <c r="O47" s="1147"/>
      <c r="P47" s="3169" t="str">
        <f>A47</f>
        <v>比较价值（元/平方米）</v>
      </c>
      <c r="Q47" s="3169"/>
      <c r="R47" s="3162">
        <f>ROUND(PRODUCT(R46,AA7:AA45),0)</f>
        <v>940</v>
      </c>
      <c r="S47" s="3162"/>
      <c r="T47" s="3162">
        <f>ROUND(PRODUCT(T46,AB7:AB45),0)</f>
        <v>899</v>
      </c>
      <c r="U47" s="3162"/>
      <c r="V47" s="3162">
        <f>ROUND(PRODUCT(V46,AC7:AC45),0)</f>
        <v>830</v>
      </c>
      <c r="W47" s="3162"/>
      <c r="X47" s="759"/>
      <c r="Y47" s="759"/>
      <c r="Z47" s="759"/>
      <c r="AA47" s="759"/>
      <c r="AB47" s="759"/>
      <c r="AC47" s="759"/>
    </row>
    <row r="48" spans="1:29" ht="15.75" thickBot="1">
      <c r="A48" s="492" t="s">
        <v>2756</v>
      </c>
      <c r="B48" s="493"/>
      <c r="C48" s="494">
        <f>R48</f>
        <v>890</v>
      </c>
      <c r="D48" s="494"/>
      <c r="E48" s="494"/>
      <c r="F48" s="494"/>
      <c r="G48" s="494"/>
      <c r="H48" s="494"/>
      <c r="I48" s="494"/>
      <c r="J48" s="494"/>
      <c r="K48" s="785"/>
      <c r="L48" s="1146"/>
      <c r="M48" s="1147"/>
      <c r="N48" s="1147"/>
      <c r="O48" s="1147"/>
      <c r="P48" s="3163" t="str">
        <f>A48</f>
        <v>估价对象XX用房的比较价值（楼面单价，元/平方米）</v>
      </c>
      <c r="Q48" s="3164"/>
      <c r="R48" s="3165">
        <f>ROUND(AVERAGE(R47:V47),0)</f>
        <v>890</v>
      </c>
      <c r="S48" s="3165"/>
      <c r="T48" s="3165"/>
      <c r="U48" s="3165"/>
      <c r="V48" s="3165"/>
      <c r="W48" s="31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6.5095462013483818E-2</v>
      </c>
      <c r="F51" s="500" t="str">
        <f>IF(OR(E51&gt;=0.3,E51&lt;=-0.3),"超过30%","")</f>
        <v/>
      </c>
      <c r="G51" s="499">
        <f>IF(G46&lt;G47,G47/G46-1,G46/G47-1)</f>
        <v>0.20402860739828044</v>
      </c>
      <c r="H51" s="500" t="str">
        <f>IF(OR(G51&gt;=0.3,G51&lt;=-0.3),"超过30%","")</f>
        <v/>
      </c>
      <c r="I51" s="499">
        <f>IF(I46&lt;I47,I47/I46-1,I46/I47-1)</f>
        <v>7.5700825567982966E-2</v>
      </c>
      <c r="J51" s="500" t="str">
        <f>IF(OR(I51&gt;=0.3,I51&lt;=-0.3),"超过30%","")</f>
        <v/>
      </c>
      <c r="K51" s="1108"/>
      <c r="L51" s="1109"/>
      <c r="M51" s="1147"/>
      <c r="N51" s="1147"/>
      <c r="O51" s="1147"/>
    </row>
    <row r="52" spans="1:15" ht="13.5" customHeight="1">
      <c r="A52" s="1147"/>
      <c r="B52" s="1147"/>
      <c r="C52" s="497" t="s">
        <v>2672</v>
      </c>
      <c r="D52" s="501"/>
      <c r="E52" s="499">
        <f>IF(E47&lt;G47,G47/E47-1,E47/G47-1)</f>
        <v>4.560622914349266E-2</v>
      </c>
      <c r="F52" s="500" t="str">
        <f>IF(OR(E52&gt;=0.2,E52&lt;=-0.2),"超过20%","")</f>
        <v/>
      </c>
      <c r="G52" s="499">
        <f>IF(G47&lt;I47,I47/G47-1,G47/I47-1)</f>
        <v>8.313253012048194E-2</v>
      </c>
      <c r="H52" s="500" t="str">
        <f>IF(OR(G52&gt;=0.2,G52&lt;=-0.2),"超过20%","")</f>
        <v/>
      </c>
      <c r="I52" s="499">
        <f>IF(I47&lt;E47,E47/I47-1,I47/E47-1)</f>
        <v>0.1325301204819278</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0.18199716068893479</v>
      </c>
      <c r="F53" s="500" t="str">
        <f>IF(OR(E53&gt;=0.3,E53&lt;=-0.3),"超过30%","")</f>
        <v/>
      </c>
      <c r="G53" s="499">
        <f>IF(G46&lt;I46,I46/G46-1,G46/I46-1)</f>
        <v>3.338869097045527E-2</v>
      </c>
      <c r="H53" s="500" t="str">
        <f>IF(OR(G53&gt;=0.3,G53&lt;=-0.3),"超过30%","")</f>
        <v/>
      </c>
      <c r="I53" s="499">
        <f>IF(I46&lt;E46,E46/I46-1,I46/E46-1)</f>
        <v>0.14380694410243766</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3119</v>
      </c>
      <c r="D55" s="2709" t="s">
        <v>2760</v>
      </c>
      <c r="E55" s="686" t="s">
        <v>2761</v>
      </c>
      <c r="F55" s="1110" t="s">
        <v>2762</v>
      </c>
      <c r="G55" s="3166" t="s">
        <v>2763</v>
      </c>
      <c r="H55" s="3167"/>
      <c r="I55" s="144" t="s">
        <v>2764</v>
      </c>
      <c r="J55" s="2710" t="str">
        <f>项目基本情况!F35</f>
        <v>江苏省盐城市阜宁县</v>
      </c>
      <c r="K55" s="2711" t="s">
        <v>2765</v>
      </c>
      <c r="L55" s="1109"/>
      <c r="M55" s="1147"/>
      <c r="N55" s="1147"/>
      <c r="O55" s="1147"/>
    </row>
    <row r="56" spans="1:15" s="692" customFormat="1">
      <c r="A56" s="688" t="s">
        <v>2766</v>
      </c>
      <c r="B56" s="689">
        <f>C48</f>
        <v>890</v>
      </c>
      <c r="C56" s="690">
        <v>1</v>
      </c>
      <c r="D56" s="1166">
        <v>1</v>
      </c>
      <c r="E56" s="690">
        <f>'数据-汇总表'!E8+'数据-汇总表'!E9</f>
        <v>8062.31</v>
      </c>
      <c r="F56" s="1106">
        <f t="shared" ref="F56:F65" si="15">ROUND(B56*E56/10000,0)</f>
        <v>718</v>
      </c>
      <c r="G56" s="3168"/>
      <c r="H56" s="3169"/>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70"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70"/>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70"/>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70"/>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2"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2"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3"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8062.31</v>
      </c>
      <c r="F66" s="697">
        <f>IF(B46="楼面地价",SUM(F56:F65),ROUND(C48*E66/10000,0))</f>
        <v>718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4" t="s">
        <v>2781</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5" t="s">
        <v>1377</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2585</v>
      </c>
      <c r="B72" s="516"/>
      <c r="C72" s="517">
        <v>0.5</v>
      </c>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t="str">
        <f>抵押物清单2!G4</f>
        <v>住宿餐饮用地</v>
      </c>
      <c r="D75" s="530" t="str">
        <f>土地案例!G16</f>
        <v>批发零售用地</v>
      </c>
      <c r="E75" s="530"/>
      <c r="F75" s="530"/>
      <c r="G75" s="530"/>
      <c r="H75" s="530"/>
      <c r="I75" s="530"/>
      <c r="J75" s="530"/>
      <c r="K75" s="531"/>
      <c r="L75" s="532"/>
      <c r="M75" s="533"/>
      <c r="N75" s="1155"/>
      <c r="O75" s="1155"/>
      <c r="P75" s="45"/>
      <c r="Q75" s="504"/>
    </row>
    <row r="76" spans="1:17" ht="15.75" thickBot="1">
      <c r="A76" s="534"/>
      <c r="B76" s="535"/>
      <c r="C76" s="536">
        <v>100</v>
      </c>
      <c r="D76" s="536">
        <v>100</v>
      </c>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0（含）-0.3</v>
      </c>
      <c r="D79" s="547" t="str">
        <f t="shared" ref="D79:L79" si="21">D80&amp;"（含）"&amp;"-"&amp;E80</f>
        <v>0.3（含）-0.6</v>
      </c>
      <c r="E79" s="547" t="str">
        <f t="shared" si="21"/>
        <v>0.6（含）-0.9</v>
      </c>
      <c r="F79" s="547" t="str">
        <f t="shared" si="21"/>
        <v>0.9（含）-1.2</v>
      </c>
      <c r="G79" s="547" t="str">
        <f t="shared" si="21"/>
        <v>1.2（含）-1.5</v>
      </c>
      <c r="H79" s="547" t="str">
        <f t="shared" si="21"/>
        <v>1.5（含）-1.8</v>
      </c>
      <c r="I79" s="547" t="str">
        <f t="shared" si="21"/>
        <v>1.8（含）-2.1</v>
      </c>
      <c r="J79" s="547" t="str">
        <f t="shared" si="21"/>
        <v>2.1（含）-2.4</v>
      </c>
      <c r="K79" s="547" t="str">
        <f t="shared" si="21"/>
        <v>2.4（含）-</v>
      </c>
      <c r="L79" s="547" t="str">
        <f t="shared" si="21"/>
        <v>（含）-</v>
      </c>
      <c r="M79" s="448" t="str">
        <f>M80&amp;"（含）"&amp;"-"&amp;P80</f>
        <v>（含）-</v>
      </c>
      <c r="N79" s="1156"/>
      <c r="O79" s="1156"/>
      <c r="P79" s="45"/>
      <c r="Q79" s="504"/>
    </row>
    <row r="80" spans="1:17" ht="15">
      <c r="A80" s="534"/>
      <c r="B80" s="548"/>
      <c r="C80" s="549">
        <v>0</v>
      </c>
      <c r="D80" s="549">
        <f>C80+0.3</f>
        <v>0.3</v>
      </c>
      <c r="E80" s="549">
        <f t="shared" ref="E80:K80" si="22">D80+0.3</f>
        <v>0.6</v>
      </c>
      <c r="F80" s="549">
        <f t="shared" si="22"/>
        <v>0.89999999999999991</v>
      </c>
      <c r="G80" s="549">
        <f t="shared" si="22"/>
        <v>1.2</v>
      </c>
      <c r="H80" s="549">
        <f t="shared" si="22"/>
        <v>1.5</v>
      </c>
      <c r="I80" s="549">
        <f t="shared" si="22"/>
        <v>1.8</v>
      </c>
      <c r="J80" s="549">
        <f t="shared" si="22"/>
        <v>2.1</v>
      </c>
      <c r="K80" s="549">
        <f t="shared" si="22"/>
        <v>2.4</v>
      </c>
      <c r="L80" s="551"/>
      <c r="M80" s="552"/>
      <c r="N80" s="1155"/>
      <c r="O80" s="1155"/>
      <c r="P80" s="45"/>
      <c r="Q80" s="504"/>
    </row>
    <row r="81" spans="1:17" ht="15.75" thickBot="1">
      <c r="A81" s="534"/>
      <c r="B81" s="535"/>
      <c r="C81" s="544">
        <v>100</v>
      </c>
      <c r="D81" s="544">
        <f t="shared" ref="D81:M81" si="23">IF($B$46="单位面积地价",C81+$K11,C81-$K11)</f>
        <v>95</v>
      </c>
      <c r="E81" s="544">
        <f t="shared" si="23"/>
        <v>90</v>
      </c>
      <c r="F81" s="544">
        <f t="shared" si="23"/>
        <v>85</v>
      </c>
      <c r="G81" s="544">
        <f t="shared" si="23"/>
        <v>80</v>
      </c>
      <c r="H81" s="544">
        <f t="shared" si="23"/>
        <v>75</v>
      </c>
      <c r="I81" s="544">
        <f t="shared" si="23"/>
        <v>70</v>
      </c>
      <c r="J81" s="544">
        <f t="shared" si="23"/>
        <v>65</v>
      </c>
      <c r="K81" s="544">
        <f t="shared" si="23"/>
        <v>60</v>
      </c>
      <c r="L81" s="544">
        <f t="shared" si="23"/>
        <v>55</v>
      </c>
      <c r="M81" s="544">
        <f t="shared" si="23"/>
        <v>50</v>
      </c>
      <c r="N81" s="1156"/>
      <c r="O81" s="1156"/>
      <c r="P81" s="45"/>
      <c r="Q81" s="504"/>
    </row>
    <row r="82" spans="1:17" s="471" customFormat="1" ht="15.75" hidden="1" thickTop="1">
      <c r="A82" s="553"/>
      <c r="B82" s="538">
        <f>B12</f>
        <v>0</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2783</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hidden="1"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hidden="1"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6"/>
      <c r="O105" s="1156"/>
      <c r="P105" s="45"/>
      <c r="Q105" s="504"/>
    </row>
    <row r="106" spans="1:17" ht="27.75" thickTop="1">
      <c r="A106" s="534"/>
      <c r="B106" s="538" t="s">
        <v>2691</v>
      </c>
      <c r="C106" s="2968" t="s">
        <v>3126</v>
      </c>
      <c r="D106" s="2968" t="s">
        <v>3127</v>
      </c>
      <c r="E106" s="2968" t="s">
        <v>3128</v>
      </c>
      <c r="F106" s="2968" t="s">
        <v>3129</v>
      </c>
      <c r="G106" s="2968" t="s">
        <v>3131</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6"/>
      <c r="O109" s="1156"/>
      <c r="P109" s="45"/>
      <c r="Q109" s="504"/>
    </row>
    <row r="110" spans="1:17" ht="15.75" hidden="1" thickTop="1">
      <c r="A110" s="534"/>
      <c r="B110" s="546">
        <f>B35</f>
        <v>0</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0</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15" thickTop="1">
      <c r="A116" s="527" t="s">
        <v>2563</v>
      </c>
      <c r="B116" s="528" t="s">
        <v>2789</v>
      </c>
      <c r="C116" s="529" t="str">
        <f>C117&amp;"(含)"&amp;"-"&amp;D117</f>
        <v>0(含)-</v>
      </c>
      <c r="D116" s="529" t="str">
        <f t="shared" ref="D116:M116" si="27">D117&amp;"(含)"&amp;"-"&amp;E117</f>
        <v>(含)-</v>
      </c>
      <c r="E116" s="529" t="str">
        <f t="shared" si="27"/>
        <v>(含)-</v>
      </c>
      <c r="F116" s="529" t="str">
        <f t="shared" si="27"/>
        <v>(含)-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5"/>
      <c r="O116" s="1155"/>
      <c r="P116" s="45"/>
      <c r="Q116" s="504"/>
    </row>
    <row r="117" spans="1:17" ht="15">
      <c r="A117" s="534"/>
      <c r="B117" s="546"/>
      <c r="C117" s="595">
        <v>0</v>
      </c>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2967" t="s">
        <v>3121</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hidden="1" thickTop="1">
      <c r="A121" s="599"/>
      <c r="B121" s="538" t="s">
        <v>2791</v>
      </c>
      <c r="C121" s="554"/>
      <c r="D121" s="554"/>
      <c r="E121" s="554"/>
      <c r="F121" s="583"/>
      <c r="G121" s="583"/>
      <c r="H121" s="583"/>
      <c r="I121" s="583"/>
      <c r="J121" s="583"/>
      <c r="K121" s="584"/>
      <c r="L121" s="585"/>
      <c r="M121" s="586"/>
      <c r="N121" s="1155"/>
      <c r="O121" s="1155"/>
      <c r="P121" s="45"/>
      <c r="Q121" s="504"/>
    </row>
    <row r="122" spans="1:17" ht="15.75" hidden="1"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6"/>
      <c r="O122" s="1156"/>
      <c r="P122" s="45"/>
      <c r="Q122" s="504"/>
    </row>
    <row r="123" spans="1:17" s="471" customFormat="1" ht="15" thickTop="1">
      <c r="A123" s="593"/>
      <c r="B123" s="538" t="s">
        <v>2792</v>
      </c>
      <c r="C123" s="2968" t="s">
        <v>3123</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7"/>
      <c r="O124" s="1157"/>
      <c r="P124" s="558"/>
      <c r="Q124" s="559"/>
    </row>
    <row r="125" spans="1:17" ht="15" thickTop="1">
      <c r="A125" s="599"/>
      <c r="B125" s="538" t="s">
        <v>2793</v>
      </c>
      <c r="C125" s="2968" t="s">
        <v>3125</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hidden="1" thickTop="1">
      <c r="A127" s="599"/>
      <c r="B127" s="538">
        <f>B43</f>
        <v>0</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0</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37"/>
  <sheetViews>
    <sheetView tabSelected="1" topLeftCell="I1" workbookViewId="0">
      <selection activeCell="O34" sqref="O34"/>
    </sheetView>
  </sheetViews>
  <sheetFormatPr defaultRowHeight="12.75"/>
  <cols>
    <col min="1" max="1" width="36" style="2969" customWidth="1"/>
    <col min="2" max="2" width="6.25" style="2969" hidden="1" customWidth="1"/>
    <col min="3" max="3" width="11.75" style="2969" hidden="1" customWidth="1"/>
    <col min="4" max="4" width="4.625" style="2969" hidden="1" customWidth="1"/>
    <col min="5" max="5" width="36" style="2969" hidden="1" customWidth="1"/>
    <col min="6" max="6" width="9.125" style="2969" customWidth="1"/>
    <col min="7" max="7" width="11.25" style="2969" customWidth="1"/>
    <col min="8" max="9" width="13.875" style="2969" customWidth="1"/>
    <col min="10" max="10" width="26.125" style="2969" customWidth="1"/>
    <col min="11" max="11" width="9" style="2969" customWidth="1"/>
    <col min="12" max="12" width="15.375" style="2969" customWidth="1"/>
    <col min="13" max="13" width="39.25" style="2969" customWidth="1"/>
    <col min="14" max="14" width="10.625" style="2969" customWidth="1"/>
    <col min="15" max="15" width="16" style="2969" customWidth="1"/>
    <col min="16" max="16" width="14.375" style="2969" customWidth="1"/>
    <col min="17" max="17" width="6.25" style="2969" customWidth="1"/>
    <col min="18" max="18" width="7.875" style="2969" customWidth="1"/>
    <col min="19" max="256" width="9" style="2969"/>
    <col min="257" max="257" width="36" style="2969" customWidth="1"/>
    <col min="258" max="258" width="6.25" style="2969" customWidth="1"/>
    <col min="259" max="259" width="11.75" style="2969" customWidth="1"/>
    <col min="260" max="260" width="4.625" style="2969" customWidth="1"/>
    <col min="261" max="261" width="36" style="2969" customWidth="1"/>
    <col min="262" max="262" width="9.125" style="2969" customWidth="1"/>
    <col min="263" max="263" width="11.25" style="2969" customWidth="1"/>
    <col min="264" max="265" width="13.875" style="2969" customWidth="1"/>
    <col min="266" max="266" width="26.125" style="2969" customWidth="1"/>
    <col min="267" max="267" width="9" style="2969" customWidth="1"/>
    <col min="268" max="268" width="15.375" style="2969" customWidth="1"/>
    <col min="269" max="269" width="39.25" style="2969" customWidth="1"/>
    <col min="270" max="270" width="10.625" style="2969" customWidth="1"/>
    <col min="271" max="271" width="16" style="2969" customWidth="1"/>
    <col min="272" max="272" width="14.375" style="2969" customWidth="1"/>
    <col min="273" max="273" width="6.25" style="2969" customWidth="1"/>
    <col min="274" max="274" width="7.875" style="2969" customWidth="1"/>
    <col min="275" max="512" width="9" style="2969"/>
    <col min="513" max="513" width="36" style="2969" customWidth="1"/>
    <col min="514" max="514" width="6.25" style="2969" customWidth="1"/>
    <col min="515" max="515" width="11.75" style="2969" customWidth="1"/>
    <col min="516" max="516" width="4.625" style="2969" customWidth="1"/>
    <col min="517" max="517" width="36" style="2969" customWidth="1"/>
    <col min="518" max="518" width="9.125" style="2969" customWidth="1"/>
    <col min="519" max="519" width="11.25" style="2969" customWidth="1"/>
    <col min="520" max="521" width="13.875" style="2969" customWidth="1"/>
    <col min="522" max="522" width="26.125" style="2969" customWidth="1"/>
    <col min="523" max="523" width="9" style="2969" customWidth="1"/>
    <col min="524" max="524" width="15.375" style="2969" customWidth="1"/>
    <col min="525" max="525" width="39.25" style="2969" customWidth="1"/>
    <col min="526" max="526" width="10.625" style="2969" customWidth="1"/>
    <col min="527" max="527" width="16" style="2969" customWidth="1"/>
    <col min="528" max="528" width="14.375" style="2969" customWidth="1"/>
    <col min="529" max="529" width="6.25" style="2969" customWidth="1"/>
    <col min="530" max="530" width="7.875" style="2969" customWidth="1"/>
    <col min="531" max="768" width="9" style="2969"/>
    <col min="769" max="769" width="36" style="2969" customWidth="1"/>
    <col min="770" max="770" width="6.25" style="2969" customWidth="1"/>
    <col min="771" max="771" width="11.75" style="2969" customWidth="1"/>
    <col min="772" max="772" width="4.625" style="2969" customWidth="1"/>
    <col min="773" max="773" width="36" style="2969" customWidth="1"/>
    <col min="774" max="774" width="9.125" style="2969" customWidth="1"/>
    <col min="775" max="775" width="11.25" style="2969" customWidth="1"/>
    <col min="776" max="777" width="13.875" style="2969" customWidth="1"/>
    <col min="778" max="778" width="26.125" style="2969" customWidth="1"/>
    <col min="779" max="779" width="9" style="2969" customWidth="1"/>
    <col min="780" max="780" width="15.375" style="2969" customWidth="1"/>
    <col min="781" max="781" width="39.25" style="2969" customWidth="1"/>
    <col min="782" max="782" width="10.625" style="2969" customWidth="1"/>
    <col min="783" max="783" width="16" style="2969" customWidth="1"/>
    <col min="784" max="784" width="14.375" style="2969" customWidth="1"/>
    <col min="785" max="785" width="6.25" style="2969" customWidth="1"/>
    <col min="786" max="786" width="7.875" style="2969" customWidth="1"/>
    <col min="787" max="1024" width="9" style="2969"/>
    <col min="1025" max="1025" width="36" style="2969" customWidth="1"/>
    <col min="1026" max="1026" width="6.25" style="2969" customWidth="1"/>
    <col min="1027" max="1027" width="11.75" style="2969" customWidth="1"/>
    <col min="1028" max="1028" width="4.625" style="2969" customWidth="1"/>
    <col min="1029" max="1029" width="36" style="2969" customWidth="1"/>
    <col min="1030" max="1030" width="9.125" style="2969" customWidth="1"/>
    <col min="1031" max="1031" width="11.25" style="2969" customWidth="1"/>
    <col min="1032" max="1033" width="13.875" style="2969" customWidth="1"/>
    <col min="1034" max="1034" width="26.125" style="2969" customWidth="1"/>
    <col min="1035" max="1035" width="9" style="2969" customWidth="1"/>
    <col min="1036" max="1036" width="15.375" style="2969" customWidth="1"/>
    <col min="1037" max="1037" width="39.25" style="2969" customWidth="1"/>
    <col min="1038" max="1038" width="10.625" style="2969" customWidth="1"/>
    <col min="1039" max="1039" width="16" style="2969" customWidth="1"/>
    <col min="1040" max="1040" width="14.375" style="2969" customWidth="1"/>
    <col min="1041" max="1041" width="6.25" style="2969" customWidth="1"/>
    <col min="1042" max="1042" width="7.875" style="2969" customWidth="1"/>
    <col min="1043" max="1280" width="9" style="2969"/>
    <col min="1281" max="1281" width="36" style="2969" customWidth="1"/>
    <col min="1282" max="1282" width="6.25" style="2969" customWidth="1"/>
    <col min="1283" max="1283" width="11.75" style="2969" customWidth="1"/>
    <col min="1284" max="1284" width="4.625" style="2969" customWidth="1"/>
    <col min="1285" max="1285" width="36" style="2969" customWidth="1"/>
    <col min="1286" max="1286" width="9.125" style="2969" customWidth="1"/>
    <col min="1287" max="1287" width="11.25" style="2969" customWidth="1"/>
    <col min="1288" max="1289" width="13.875" style="2969" customWidth="1"/>
    <col min="1290" max="1290" width="26.125" style="2969" customWidth="1"/>
    <col min="1291" max="1291" width="9" style="2969" customWidth="1"/>
    <col min="1292" max="1292" width="15.375" style="2969" customWidth="1"/>
    <col min="1293" max="1293" width="39.25" style="2969" customWidth="1"/>
    <col min="1294" max="1294" width="10.625" style="2969" customWidth="1"/>
    <col min="1295" max="1295" width="16" style="2969" customWidth="1"/>
    <col min="1296" max="1296" width="14.375" style="2969" customWidth="1"/>
    <col min="1297" max="1297" width="6.25" style="2969" customWidth="1"/>
    <col min="1298" max="1298" width="7.875" style="2969" customWidth="1"/>
    <col min="1299" max="1536" width="9" style="2969"/>
    <col min="1537" max="1537" width="36" style="2969" customWidth="1"/>
    <col min="1538" max="1538" width="6.25" style="2969" customWidth="1"/>
    <col min="1539" max="1539" width="11.75" style="2969" customWidth="1"/>
    <col min="1540" max="1540" width="4.625" style="2969" customWidth="1"/>
    <col min="1541" max="1541" width="36" style="2969" customWidth="1"/>
    <col min="1542" max="1542" width="9.125" style="2969" customWidth="1"/>
    <col min="1543" max="1543" width="11.25" style="2969" customWidth="1"/>
    <col min="1544" max="1545" width="13.875" style="2969" customWidth="1"/>
    <col min="1546" max="1546" width="26.125" style="2969" customWidth="1"/>
    <col min="1547" max="1547" width="9" style="2969" customWidth="1"/>
    <col min="1548" max="1548" width="15.375" style="2969" customWidth="1"/>
    <col min="1549" max="1549" width="39.25" style="2969" customWidth="1"/>
    <col min="1550" max="1550" width="10.625" style="2969" customWidth="1"/>
    <col min="1551" max="1551" width="16" style="2969" customWidth="1"/>
    <col min="1552" max="1552" width="14.375" style="2969" customWidth="1"/>
    <col min="1553" max="1553" width="6.25" style="2969" customWidth="1"/>
    <col min="1554" max="1554" width="7.875" style="2969" customWidth="1"/>
    <col min="1555" max="1792" width="9" style="2969"/>
    <col min="1793" max="1793" width="36" style="2969" customWidth="1"/>
    <col min="1794" max="1794" width="6.25" style="2969" customWidth="1"/>
    <col min="1795" max="1795" width="11.75" style="2969" customWidth="1"/>
    <col min="1796" max="1796" width="4.625" style="2969" customWidth="1"/>
    <col min="1797" max="1797" width="36" style="2969" customWidth="1"/>
    <col min="1798" max="1798" width="9.125" style="2969" customWidth="1"/>
    <col min="1799" max="1799" width="11.25" style="2969" customWidth="1"/>
    <col min="1800" max="1801" width="13.875" style="2969" customWidth="1"/>
    <col min="1802" max="1802" width="26.125" style="2969" customWidth="1"/>
    <col min="1803" max="1803" width="9" style="2969" customWidth="1"/>
    <col min="1804" max="1804" width="15.375" style="2969" customWidth="1"/>
    <col min="1805" max="1805" width="39.25" style="2969" customWidth="1"/>
    <col min="1806" max="1806" width="10.625" style="2969" customWidth="1"/>
    <col min="1807" max="1807" width="16" style="2969" customWidth="1"/>
    <col min="1808" max="1808" width="14.375" style="2969" customWidth="1"/>
    <col min="1809" max="1809" width="6.25" style="2969" customWidth="1"/>
    <col min="1810" max="1810" width="7.875" style="2969" customWidth="1"/>
    <col min="1811" max="2048" width="9" style="2969"/>
    <col min="2049" max="2049" width="36" style="2969" customWidth="1"/>
    <col min="2050" max="2050" width="6.25" style="2969" customWidth="1"/>
    <col min="2051" max="2051" width="11.75" style="2969" customWidth="1"/>
    <col min="2052" max="2052" width="4.625" style="2969" customWidth="1"/>
    <col min="2053" max="2053" width="36" style="2969" customWidth="1"/>
    <col min="2054" max="2054" width="9.125" style="2969" customWidth="1"/>
    <col min="2055" max="2055" width="11.25" style="2969" customWidth="1"/>
    <col min="2056" max="2057" width="13.875" style="2969" customWidth="1"/>
    <col min="2058" max="2058" width="26.125" style="2969" customWidth="1"/>
    <col min="2059" max="2059" width="9" style="2969" customWidth="1"/>
    <col min="2060" max="2060" width="15.375" style="2969" customWidth="1"/>
    <col min="2061" max="2061" width="39.25" style="2969" customWidth="1"/>
    <col min="2062" max="2062" width="10.625" style="2969" customWidth="1"/>
    <col min="2063" max="2063" width="16" style="2969" customWidth="1"/>
    <col min="2064" max="2064" width="14.375" style="2969" customWidth="1"/>
    <col min="2065" max="2065" width="6.25" style="2969" customWidth="1"/>
    <col min="2066" max="2066" width="7.875" style="2969" customWidth="1"/>
    <col min="2067" max="2304" width="9" style="2969"/>
    <col min="2305" max="2305" width="36" style="2969" customWidth="1"/>
    <col min="2306" max="2306" width="6.25" style="2969" customWidth="1"/>
    <col min="2307" max="2307" width="11.75" style="2969" customWidth="1"/>
    <col min="2308" max="2308" width="4.625" style="2969" customWidth="1"/>
    <col min="2309" max="2309" width="36" style="2969" customWidth="1"/>
    <col min="2310" max="2310" width="9.125" style="2969" customWidth="1"/>
    <col min="2311" max="2311" width="11.25" style="2969" customWidth="1"/>
    <col min="2312" max="2313" width="13.875" style="2969" customWidth="1"/>
    <col min="2314" max="2314" width="26.125" style="2969" customWidth="1"/>
    <col min="2315" max="2315" width="9" style="2969" customWidth="1"/>
    <col min="2316" max="2316" width="15.375" style="2969" customWidth="1"/>
    <col min="2317" max="2317" width="39.25" style="2969" customWidth="1"/>
    <col min="2318" max="2318" width="10.625" style="2969" customWidth="1"/>
    <col min="2319" max="2319" width="16" style="2969" customWidth="1"/>
    <col min="2320" max="2320" width="14.375" style="2969" customWidth="1"/>
    <col min="2321" max="2321" width="6.25" style="2969" customWidth="1"/>
    <col min="2322" max="2322" width="7.875" style="2969" customWidth="1"/>
    <col min="2323" max="2560" width="9" style="2969"/>
    <col min="2561" max="2561" width="36" style="2969" customWidth="1"/>
    <col min="2562" max="2562" width="6.25" style="2969" customWidth="1"/>
    <col min="2563" max="2563" width="11.75" style="2969" customWidth="1"/>
    <col min="2564" max="2564" width="4.625" style="2969" customWidth="1"/>
    <col min="2565" max="2565" width="36" style="2969" customWidth="1"/>
    <col min="2566" max="2566" width="9.125" style="2969" customWidth="1"/>
    <col min="2567" max="2567" width="11.25" style="2969" customWidth="1"/>
    <col min="2568" max="2569" width="13.875" style="2969" customWidth="1"/>
    <col min="2570" max="2570" width="26.125" style="2969" customWidth="1"/>
    <col min="2571" max="2571" width="9" style="2969" customWidth="1"/>
    <col min="2572" max="2572" width="15.375" style="2969" customWidth="1"/>
    <col min="2573" max="2573" width="39.25" style="2969" customWidth="1"/>
    <col min="2574" max="2574" width="10.625" style="2969" customWidth="1"/>
    <col min="2575" max="2575" width="16" style="2969" customWidth="1"/>
    <col min="2576" max="2576" width="14.375" style="2969" customWidth="1"/>
    <col min="2577" max="2577" width="6.25" style="2969" customWidth="1"/>
    <col min="2578" max="2578" width="7.875" style="2969" customWidth="1"/>
    <col min="2579" max="2816" width="9" style="2969"/>
    <col min="2817" max="2817" width="36" style="2969" customWidth="1"/>
    <col min="2818" max="2818" width="6.25" style="2969" customWidth="1"/>
    <col min="2819" max="2819" width="11.75" style="2969" customWidth="1"/>
    <col min="2820" max="2820" width="4.625" style="2969" customWidth="1"/>
    <col min="2821" max="2821" width="36" style="2969" customWidth="1"/>
    <col min="2822" max="2822" width="9.125" style="2969" customWidth="1"/>
    <col min="2823" max="2823" width="11.25" style="2969" customWidth="1"/>
    <col min="2824" max="2825" width="13.875" style="2969" customWidth="1"/>
    <col min="2826" max="2826" width="26.125" style="2969" customWidth="1"/>
    <col min="2827" max="2827" width="9" style="2969" customWidth="1"/>
    <col min="2828" max="2828" width="15.375" style="2969" customWidth="1"/>
    <col min="2829" max="2829" width="39.25" style="2969" customWidth="1"/>
    <col min="2830" max="2830" width="10.625" style="2969" customWidth="1"/>
    <col min="2831" max="2831" width="16" style="2969" customWidth="1"/>
    <col min="2832" max="2832" width="14.375" style="2969" customWidth="1"/>
    <col min="2833" max="2833" width="6.25" style="2969" customWidth="1"/>
    <col min="2834" max="2834" width="7.875" style="2969" customWidth="1"/>
    <col min="2835" max="3072" width="9" style="2969"/>
    <col min="3073" max="3073" width="36" style="2969" customWidth="1"/>
    <col min="3074" max="3074" width="6.25" style="2969" customWidth="1"/>
    <col min="3075" max="3075" width="11.75" style="2969" customWidth="1"/>
    <col min="3076" max="3076" width="4.625" style="2969" customWidth="1"/>
    <col min="3077" max="3077" width="36" style="2969" customWidth="1"/>
    <col min="3078" max="3078" width="9.125" style="2969" customWidth="1"/>
    <col min="3079" max="3079" width="11.25" style="2969" customWidth="1"/>
    <col min="3080" max="3081" width="13.875" style="2969" customWidth="1"/>
    <col min="3082" max="3082" width="26.125" style="2969" customWidth="1"/>
    <col min="3083" max="3083" width="9" style="2969" customWidth="1"/>
    <col min="3084" max="3084" width="15.375" style="2969" customWidth="1"/>
    <col min="3085" max="3085" width="39.25" style="2969" customWidth="1"/>
    <col min="3086" max="3086" width="10.625" style="2969" customWidth="1"/>
    <col min="3087" max="3087" width="16" style="2969" customWidth="1"/>
    <col min="3088" max="3088" width="14.375" style="2969" customWidth="1"/>
    <col min="3089" max="3089" width="6.25" style="2969" customWidth="1"/>
    <col min="3090" max="3090" width="7.875" style="2969" customWidth="1"/>
    <col min="3091" max="3328" width="9" style="2969"/>
    <col min="3329" max="3329" width="36" style="2969" customWidth="1"/>
    <col min="3330" max="3330" width="6.25" style="2969" customWidth="1"/>
    <col min="3331" max="3331" width="11.75" style="2969" customWidth="1"/>
    <col min="3332" max="3332" width="4.625" style="2969" customWidth="1"/>
    <col min="3333" max="3333" width="36" style="2969" customWidth="1"/>
    <col min="3334" max="3334" width="9.125" style="2969" customWidth="1"/>
    <col min="3335" max="3335" width="11.25" style="2969" customWidth="1"/>
    <col min="3336" max="3337" width="13.875" style="2969" customWidth="1"/>
    <col min="3338" max="3338" width="26.125" style="2969" customWidth="1"/>
    <col min="3339" max="3339" width="9" style="2969" customWidth="1"/>
    <col min="3340" max="3340" width="15.375" style="2969" customWidth="1"/>
    <col min="3341" max="3341" width="39.25" style="2969" customWidth="1"/>
    <col min="3342" max="3342" width="10.625" style="2969" customWidth="1"/>
    <col min="3343" max="3343" width="16" style="2969" customWidth="1"/>
    <col min="3344" max="3344" width="14.375" style="2969" customWidth="1"/>
    <col min="3345" max="3345" width="6.25" style="2969" customWidth="1"/>
    <col min="3346" max="3346" width="7.875" style="2969" customWidth="1"/>
    <col min="3347" max="3584" width="9" style="2969"/>
    <col min="3585" max="3585" width="36" style="2969" customWidth="1"/>
    <col min="3586" max="3586" width="6.25" style="2969" customWidth="1"/>
    <col min="3587" max="3587" width="11.75" style="2969" customWidth="1"/>
    <col min="3588" max="3588" width="4.625" style="2969" customWidth="1"/>
    <col min="3589" max="3589" width="36" style="2969" customWidth="1"/>
    <col min="3590" max="3590" width="9.125" style="2969" customWidth="1"/>
    <col min="3591" max="3591" width="11.25" style="2969" customWidth="1"/>
    <col min="3592" max="3593" width="13.875" style="2969" customWidth="1"/>
    <col min="3594" max="3594" width="26.125" style="2969" customWidth="1"/>
    <col min="3595" max="3595" width="9" style="2969" customWidth="1"/>
    <col min="3596" max="3596" width="15.375" style="2969" customWidth="1"/>
    <col min="3597" max="3597" width="39.25" style="2969" customWidth="1"/>
    <col min="3598" max="3598" width="10.625" style="2969" customWidth="1"/>
    <col min="3599" max="3599" width="16" style="2969" customWidth="1"/>
    <col min="3600" max="3600" width="14.375" style="2969" customWidth="1"/>
    <col min="3601" max="3601" width="6.25" style="2969" customWidth="1"/>
    <col min="3602" max="3602" width="7.875" style="2969" customWidth="1"/>
    <col min="3603" max="3840" width="9" style="2969"/>
    <col min="3841" max="3841" width="36" style="2969" customWidth="1"/>
    <col min="3842" max="3842" width="6.25" style="2969" customWidth="1"/>
    <col min="3843" max="3843" width="11.75" style="2969" customWidth="1"/>
    <col min="3844" max="3844" width="4.625" style="2969" customWidth="1"/>
    <col min="3845" max="3845" width="36" style="2969" customWidth="1"/>
    <col min="3846" max="3846" width="9.125" style="2969" customWidth="1"/>
    <col min="3847" max="3847" width="11.25" style="2969" customWidth="1"/>
    <col min="3848" max="3849" width="13.875" style="2969" customWidth="1"/>
    <col min="3850" max="3850" width="26.125" style="2969" customWidth="1"/>
    <col min="3851" max="3851" width="9" style="2969" customWidth="1"/>
    <col min="3852" max="3852" width="15.375" style="2969" customWidth="1"/>
    <col min="3853" max="3853" width="39.25" style="2969" customWidth="1"/>
    <col min="3854" max="3854" width="10.625" style="2969" customWidth="1"/>
    <col min="3855" max="3855" width="16" style="2969" customWidth="1"/>
    <col min="3856" max="3856" width="14.375" style="2969" customWidth="1"/>
    <col min="3857" max="3857" width="6.25" style="2969" customWidth="1"/>
    <col min="3858" max="3858" width="7.875" style="2969" customWidth="1"/>
    <col min="3859" max="4096" width="9" style="2969"/>
    <col min="4097" max="4097" width="36" style="2969" customWidth="1"/>
    <col min="4098" max="4098" width="6.25" style="2969" customWidth="1"/>
    <col min="4099" max="4099" width="11.75" style="2969" customWidth="1"/>
    <col min="4100" max="4100" width="4.625" style="2969" customWidth="1"/>
    <col min="4101" max="4101" width="36" style="2969" customWidth="1"/>
    <col min="4102" max="4102" width="9.125" style="2969" customWidth="1"/>
    <col min="4103" max="4103" width="11.25" style="2969" customWidth="1"/>
    <col min="4104" max="4105" width="13.875" style="2969" customWidth="1"/>
    <col min="4106" max="4106" width="26.125" style="2969" customWidth="1"/>
    <col min="4107" max="4107" width="9" style="2969" customWidth="1"/>
    <col min="4108" max="4108" width="15.375" style="2969" customWidth="1"/>
    <col min="4109" max="4109" width="39.25" style="2969" customWidth="1"/>
    <col min="4110" max="4110" width="10.625" style="2969" customWidth="1"/>
    <col min="4111" max="4111" width="16" style="2969" customWidth="1"/>
    <col min="4112" max="4112" width="14.375" style="2969" customWidth="1"/>
    <col min="4113" max="4113" width="6.25" style="2969" customWidth="1"/>
    <col min="4114" max="4114" width="7.875" style="2969" customWidth="1"/>
    <col min="4115" max="4352" width="9" style="2969"/>
    <col min="4353" max="4353" width="36" style="2969" customWidth="1"/>
    <col min="4354" max="4354" width="6.25" style="2969" customWidth="1"/>
    <col min="4355" max="4355" width="11.75" style="2969" customWidth="1"/>
    <col min="4356" max="4356" width="4.625" style="2969" customWidth="1"/>
    <col min="4357" max="4357" width="36" style="2969" customWidth="1"/>
    <col min="4358" max="4358" width="9.125" style="2969" customWidth="1"/>
    <col min="4359" max="4359" width="11.25" style="2969" customWidth="1"/>
    <col min="4360" max="4361" width="13.875" style="2969" customWidth="1"/>
    <col min="4362" max="4362" width="26.125" style="2969" customWidth="1"/>
    <col min="4363" max="4363" width="9" style="2969" customWidth="1"/>
    <col min="4364" max="4364" width="15.375" style="2969" customWidth="1"/>
    <col min="4365" max="4365" width="39.25" style="2969" customWidth="1"/>
    <col min="4366" max="4366" width="10.625" style="2969" customWidth="1"/>
    <col min="4367" max="4367" width="16" style="2969" customWidth="1"/>
    <col min="4368" max="4368" width="14.375" style="2969" customWidth="1"/>
    <col min="4369" max="4369" width="6.25" style="2969" customWidth="1"/>
    <col min="4370" max="4370" width="7.875" style="2969" customWidth="1"/>
    <col min="4371" max="4608" width="9" style="2969"/>
    <col min="4609" max="4609" width="36" style="2969" customWidth="1"/>
    <col min="4610" max="4610" width="6.25" style="2969" customWidth="1"/>
    <col min="4611" max="4611" width="11.75" style="2969" customWidth="1"/>
    <col min="4612" max="4612" width="4.625" style="2969" customWidth="1"/>
    <col min="4613" max="4613" width="36" style="2969" customWidth="1"/>
    <col min="4614" max="4614" width="9.125" style="2969" customWidth="1"/>
    <col min="4615" max="4615" width="11.25" style="2969" customWidth="1"/>
    <col min="4616" max="4617" width="13.875" style="2969" customWidth="1"/>
    <col min="4618" max="4618" width="26.125" style="2969" customWidth="1"/>
    <col min="4619" max="4619" width="9" style="2969" customWidth="1"/>
    <col min="4620" max="4620" width="15.375" style="2969" customWidth="1"/>
    <col min="4621" max="4621" width="39.25" style="2969" customWidth="1"/>
    <col min="4622" max="4622" width="10.625" style="2969" customWidth="1"/>
    <col min="4623" max="4623" width="16" style="2969" customWidth="1"/>
    <col min="4624" max="4624" width="14.375" style="2969" customWidth="1"/>
    <col min="4625" max="4625" width="6.25" style="2969" customWidth="1"/>
    <col min="4626" max="4626" width="7.875" style="2969" customWidth="1"/>
    <col min="4627" max="4864" width="9" style="2969"/>
    <col min="4865" max="4865" width="36" style="2969" customWidth="1"/>
    <col min="4866" max="4866" width="6.25" style="2969" customWidth="1"/>
    <col min="4867" max="4867" width="11.75" style="2969" customWidth="1"/>
    <col min="4868" max="4868" width="4.625" style="2969" customWidth="1"/>
    <col min="4869" max="4869" width="36" style="2969" customWidth="1"/>
    <col min="4870" max="4870" width="9.125" style="2969" customWidth="1"/>
    <col min="4871" max="4871" width="11.25" style="2969" customWidth="1"/>
    <col min="4872" max="4873" width="13.875" style="2969" customWidth="1"/>
    <col min="4874" max="4874" width="26.125" style="2969" customWidth="1"/>
    <col min="4875" max="4875" width="9" style="2969" customWidth="1"/>
    <col min="4876" max="4876" width="15.375" style="2969" customWidth="1"/>
    <col min="4877" max="4877" width="39.25" style="2969" customWidth="1"/>
    <col min="4878" max="4878" width="10.625" style="2969" customWidth="1"/>
    <col min="4879" max="4879" width="16" style="2969" customWidth="1"/>
    <col min="4880" max="4880" width="14.375" style="2969" customWidth="1"/>
    <col min="4881" max="4881" width="6.25" style="2969" customWidth="1"/>
    <col min="4882" max="4882" width="7.875" style="2969" customWidth="1"/>
    <col min="4883" max="5120" width="9" style="2969"/>
    <col min="5121" max="5121" width="36" style="2969" customWidth="1"/>
    <col min="5122" max="5122" width="6.25" style="2969" customWidth="1"/>
    <col min="5123" max="5123" width="11.75" style="2969" customWidth="1"/>
    <col min="5124" max="5124" width="4.625" style="2969" customWidth="1"/>
    <col min="5125" max="5125" width="36" style="2969" customWidth="1"/>
    <col min="5126" max="5126" width="9.125" style="2969" customWidth="1"/>
    <col min="5127" max="5127" width="11.25" style="2969" customWidth="1"/>
    <col min="5128" max="5129" width="13.875" style="2969" customWidth="1"/>
    <col min="5130" max="5130" width="26.125" style="2969" customWidth="1"/>
    <col min="5131" max="5131" width="9" style="2969" customWidth="1"/>
    <col min="5132" max="5132" width="15.375" style="2969" customWidth="1"/>
    <col min="5133" max="5133" width="39.25" style="2969" customWidth="1"/>
    <col min="5134" max="5134" width="10.625" style="2969" customWidth="1"/>
    <col min="5135" max="5135" width="16" style="2969" customWidth="1"/>
    <col min="5136" max="5136" width="14.375" style="2969" customWidth="1"/>
    <col min="5137" max="5137" width="6.25" style="2969" customWidth="1"/>
    <col min="5138" max="5138" width="7.875" style="2969" customWidth="1"/>
    <col min="5139" max="5376" width="9" style="2969"/>
    <col min="5377" max="5377" width="36" style="2969" customWidth="1"/>
    <col min="5378" max="5378" width="6.25" style="2969" customWidth="1"/>
    <col min="5379" max="5379" width="11.75" style="2969" customWidth="1"/>
    <col min="5380" max="5380" width="4.625" style="2969" customWidth="1"/>
    <col min="5381" max="5381" width="36" style="2969" customWidth="1"/>
    <col min="5382" max="5382" width="9.125" style="2969" customWidth="1"/>
    <col min="5383" max="5383" width="11.25" style="2969" customWidth="1"/>
    <col min="5384" max="5385" width="13.875" style="2969" customWidth="1"/>
    <col min="5386" max="5386" width="26.125" style="2969" customWidth="1"/>
    <col min="5387" max="5387" width="9" style="2969" customWidth="1"/>
    <col min="5388" max="5388" width="15.375" style="2969" customWidth="1"/>
    <col min="5389" max="5389" width="39.25" style="2969" customWidth="1"/>
    <col min="5390" max="5390" width="10.625" style="2969" customWidth="1"/>
    <col min="5391" max="5391" width="16" style="2969" customWidth="1"/>
    <col min="5392" max="5392" width="14.375" style="2969" customWidth="1"/>
    <col min="5393" max="5393" width="6.25" style="2969" customWidth="1"/>
    <col min="5394" max="5394" width="7.875" style="2969" customWidth="1"/>
    <col min="5395" max="5632" width="9" style="2969"/>
    <col min="5633" max="5633" width="36" style="2969" customWidth="1"/>
    <col min="5634" max="5634" width="6.25" style="2969" customWidth="1"/>
    <col min="5635" max="5635" width="11.75" style="2969" customWidth="1"/>
    <col min="5636" max="5636" width="4.625" style="2969" customWidth="1"/>
    <col min="5637" max="5637" width="36" style="2969" customWidth="1"/>
    <col min="5638" max="5638" width="9.125" style="2969" customWidth="1"/>
    <col min="5639" max="5639" width="11.25" style="2969" customWidth="1"/>
    <col min="5640" max="5641" width="13.875" style="2969" customWidth="1"/>
    <col min="5642" max="5642" width="26.125" style="2969" customWidth="1"/>
    <col min="5643" max="5643" width="9" style="2969" customWidth="1"/>
    <col min="5644" max="5644" width="15.375" style="2969" customWidth="1"/>
    <col min="5645" max="5645" width="39.25" style="2969" customWidth="1"/>
    <col min="5646" max="5646" width="10.625" style="2969" customWidth="1"/>
    <col min="5647" max="5647" width="16" style="2969" customWidth="1"/>
    <col min="5648" max="5648" width="14.375" style="2969" customWidth="1"/>
    <col min="5649" max="5649" width="6.25" style="2969" customWidth="1"/>
    <col min="5650" max="5650" width="7.875" style="2969" customWidth="1"/>
    <col min="5651" max="5888" width="9" style="2969"/>
    <col min="5889" max="5889" width="36" style="2969" customWidth="1"/>
    <col min="5890" max="5890" width="6.25" style="2969" customWidth="1"/>
    <col min="5891" max="5891" width="11.75" style="2969" customWidth="1"/>
    <col min="5892" max="5892" width="4.625" style="2969" customWidth="1"/>
    <col min="5893" max="5893" width="36" style="2969" customWidth="1"/>
    <col min="5894" max="5894" width="9.125" style="2969" customWidth="1"/>
    <col min="5895" max="5895" width="11.25" style="2969" customWidth="1"/>
    <col min="5896" max="5897" width="13.875" style="2969" customWidth="1"/>
    <col min="5898" max="5898" width="26.125" style="2969" customWidth="1"/>
    <col min="5899" max="5899" width="9" style="2969" customWidth="1"/>
    <col min="5900" max="5900" width="15.375" style="2969" customWidth="1"/>
    <col min="5901" max="5901" width="39.25" style="2969" customWidth="1"/>
    <col min="5902" max="5902" width="10.625" style="2969" customWidth="1"/>
    <col min="5903" max="5903" width="16" style="2969" customWidth="1"/>
    <col min="5904" max="5904" width="14.375" style="2969" customWidth="1"/>
    <col min="5905" max="5905" width="6.25" style="2969" customWidth="1"/>
    <col min="5906" max="5906" width="7.875" style="2969" customWidth="1"/>
    <col min="5907" max="6144" width="9" style="2969"/>
    <col min="6145" max="6145" width="36" style="2969" customWidth="1"/>
    <col min="6146" max="6146" width="6.25" style="2969" customWidth="1"/>
    <col min="6147" max="6147" width="11.75" style="2969" customWidth="1"/>
    <col min="6148" max="6148" width="4.625" style="2969" customWidth="1"/>
    <col min="6149" max="6149" width="36" style="2969" customWidth="1"/>
    <col min="6150" max="6150" width="9.125" style="2969" customWidth="1"/>
    <col min="6151" max="6151" width="11.25" style="2969" customWidth="1"/>
    <col min="6152" max="6153" width="13.875" style="2969" customWidth="1"/>
    <col min="6154" max="6154" width="26.125" style="2969" customWidth="1"/>
    <col min="6155" max="6155" width="9" style="2969" customWidth="1"/>
    <col min="6156" max="6156" width="15.375" style="2969" customWidth="1"/>
    <col min="6157" max="6157" width="39.25" style="2969" customWidth="1"/>
    <col min="6158" max="6158" width="10.625" style="2969" customWidth="1"/>
    <col min="6159" max="6159" width="16" style="2969" customWidth="1"/>
    <col min="6160" max="6160" width="14.375" style="2969" customWidth="1"/>
    <col min="6161" max="6161" width="6.25" style="2969" customWidth="1"/>
    <col min="6162" max="6162" width="7.875" style="2969" customWidth="1"/>
    <col min="6163" max="6400" width="9" style="2969"/>
    <col min="6401" max="6401" width="36" style="2969" customWidth="1"/>
    <col min="6402" max="6402" width="6.25" style="2969" customWidth="1"/>
    <col min="6403" max="6403" width="11.75" style="2969" customWidth="1"/>
    <col min="6404" max="6404" width="4.625" style="2969" customWidth="1"/>
    <col min="6405" max="6405" width="36" style="2969" customWidth="1"/>
    <col min="6406" max="6406" width="9.125" style="2969" customWidth="1"/>
    <col min="6407" max="6407" width="11.25" style="2969" customWidth="1"/>
    <col min="6408" max="6409" width="13.875" style="2969" customWidth="1"/>
    <col min="6410" max="6410" width="26.125" style="2969" customWidth="1"/>
    <col min="6411" max="6411" width="9" style="2969" customWidth="1"/>
    <col min="6412" max="6412" width="15.375" style="2969" customWidth="1"/>
    <col min="6413" max="6413" width="39.25" style="2969" customWidth="1"/>
    <col min="6414" max="6414" width="10.625" style="2969" customWidth="1"/>
    <col min="6415" max="6415" width="16" style="2969" customWidth="1"/>
    <col min="6416" max="6416" width="14.375" style="2969" customWidth="1"/>
    <col min="6417" max="6417" width="6.25" style="2969" customWidth="1"/>
    <col min="6418" max="6418" width="7.875" style="2969" customWidth="1"/>
    <col min="6419" max="6656" width="9" style="2969"/>
    <col min="6657" max="6657" width="36" style="2969" customWidth="1"/>
    <col min="6658" max="6658" width="6.25" style="2969" customWidth="1"/>
    <col min="6659" max="6659" width="11.75" style="2969" customWidth="1"/>
    <col min="6660" max="6660" width="4.625" style="2969" customWidth="1"/>
    <col min="6661" max="6661" width="36" style="2969" customWidth="1"/>
    <col min="6662" max="6662" width="9.125" style="2969" customWidth="1"/>
    <col min="6663" max="6663" width="11.25" style="2969" customWidth="1"/>
    <col min="6664" max="6665" width="13.875" style="2969" customWidth="1"/>
    <col min="6666" max="6666" width="26.125" style="2969" customWidth="1"/>
    <col min="6667" max="6667" width="9" style="2969" customWidth="1"/>
    <col min="6668" max="6668" width="15.375" style="2969" customWidth="1"/>
    <col min="6669" max="6669" width="39.25" style="2969" customWidth="1"/>
    <col min="6670" max="6670" width="10.625" style="2969" customWidth="1"/>
    <col min="6671" max="6671" width="16" style="2969" customWidth="1"/>
    <col min="6672" max="6672" width="14.375" style="2969" customWidth="1"/>
    <col min="6673" max="6673" width="6.25" style="2969" customWidth="1"/>
    <col min="6674" max="6674" width="7.875" style="2969" customWidth="1"/>
    <col min="6675" max="6912" width="9" style="2969"/>
    <col min="6913" max="6913" width="36" style="2969" customWidth="1"/>
    <col min="6914" max="6914" width="6.25" style="2969" customWidth="1"/>
    <col min="6915" max="6915" width="11.75" style="2969" customWidth="1"/>
    <col min="6916" max="6916" width="4.625" style="2969" customWidth="1"/>
    <col min="6917" max="6917" width="36" style="2969" customWidth="1"/>
    <col min="6918" max="6918" width="9.125" style="2969" customWidth="1"/>
    <col min="6919" max="6919" width="11.25" style="2969" customWidth="1"/>
    <col min="6920" max="6921" width="13.875" style="2969" customWidth="1"/>
    <col min="6922" max="6922" width="26.125" style="2969" customWidth="1"/>
    <col min="6923" max="6923" width="9" style="2969" customWidth="1"/>
    <col min="6924" max="6924" width="15.375" style="2969" customWidth="1"/>
    <col min="6925" max="6925" width="39.25" style="2969" customWidth="1"/>
    <col min="6926" max="6926" width="10.625" style="2969" customWidth="1"/>
    <col min="6927" max="6927" width="16" style="2969" customWidth="1"/>
    <col min="6928" max="6928" width="14.375" style="2969" customWidth="1"/>
    <col min="6929" max="6929" width="6.25" style="2969" customWidth="1"/>
    <col min="6930" max="6930" width="7.875" style="2969" customWidth="1"/>
    <col min="6931" max="7168" width="9" style="2969"/>
    <col min="7169" max="7169" width="36" style="2969" customWidth="1"/>
    <col min="7170" max="7170" width="6.25" style="2969" customWidth="1"/>
    <col min="7171" max="7171" width="11.75" style="2969" customWidth="1"/>
    <col min="7172" max="7172" width="4.625" style="2969" customWidth="1"/>
    <col min="7173" max="7173" width="36" style="2969" customWidth="1"/>
    <col min="7174" max="7174" width="9.125" style="2969" customWidth="1"/>
    <col min="7175" max="7175" width="11.25" style="2969" customWidth="1"/>
    <col min="7176" max="7177" width="13.875" style="2969" customWidth="1"/>
    <col min="7178" max="7178" width="26.125" style="2969" customWidth="1"/>
    <col min="7179" max="7179" width="9" style="2969" customWidth="1"/>
    <col min="7180" max="7180" width="15.375" style="2969" customWidth="1"/>
    <col min="7181" max="7181" width="39.25" style="2969" customWidth="1"/>
    <col min="7182" max="7182" width="10.625" style="2969" customWidth="1"/>
    <col min="7183" max="7183" width="16" style="2969" customWidth="1"/>
    <col min="7184" max="7184" width="14.375" style="2969" customWidth="1"/>
    <col min="7185" max="7185" width="6.25" style="2969" customWidth="1"/>
    <col min="7186" max="7186" width="7.875" style="2969" customWidth="1"/>
    <col min="7187" max="7424" width="9" style="2969"/>
    <col min="7425" max="7425" width="36" style="2969" customWidth="1"/>
    <col min="7426" max="7426" width="6.25" style="2969" customWidth="1"/>
    <col min="7427" max="7427" width="11.75" style="2969" customWidth="1"/>
    <col min="7428" max="7428" width="4.625" style="2969" customWidth="1"/>
    <col min="7429" max="7429" width="36" style="2969" customWidth="1"/>
    <col min="7430" max="7430" width="9.125" style="2969" customWidth="1"/>
    <col min="7431" max="7431" width="11.25" style="2969" customWidth="1"/>
    <col min="7432" max="7433" width="13.875" style="2969" customWidth="1"/>
    <col min="7434" max="7434" width="26.125" style="2969" customWidth="1"/>
    <col min="7435" max="7435" width="9" style="2969" customWidth="1"/>
    <col min="7436" max="7436" width="15.375" style="2969" customWidth="1"/>
    <col min="7437" max="7437" width="39.25" style="2969" customWidth="1"/>
    <col min="7438" max="7438" width="10.625" style="2969" customWidth="1"/>
    <col min="7439" max="7439" width="16" style="2969" customWidth="1"/>
    <col min="7440" max="7440" width="14.375" style="2969" customWidth="1"/>
    <col min="7441" max="7441" width="6.25" style="2969" customWidth="1"/>
    <col min="7442" max="7442" width="7.875" style="2969" customWidth="1"/>
    <col min="7443" max="7680" width="9" style="2969"/>
    <col min="7681" max="7681" width="36" style="2969" customWidth="1"/>
    <col min="7682" max="7682" width="6.25" style="2969" customWidth="1"/>
    <col min="7683" max="7683" width="11.75" style="2969" customWidth="1"/>
    <col min="7684" max="7684" width="4.625" style="2969" customWidth="1"/>
    <col min="7685" max="7685" width="36" style="2969" customWidth="1"/>
    <col min="7686" max="7686" width="9.125" style="2969" customWidth="1"/>
    <col min="7687" max="7687" width="11.25" style="2969" customWidth="1"/>
    <col min="7688" max="7689" width="13.875" style="2969" customWidth="1"/>
    <col min="7690" max="7690" width="26.125" style="2969" customWidth="1"/>
    <col min="7691" max="7691" width="9" style="2969" customWidth="1"/>
    <col min="7692" max="7692" width="15.375" style="2969" customWidth="1"/>
    <col min="7693" max="7693" width="39.25" style="2969" customWidth="1"/>
    <col min="7694" max="7694" width="10.625" style="2969" customWidth="1"/>
    <col min="7695" max="7695" width="16" style="2969" customWidth="1"/>
    <col min="7696" max="7696" width="14.375" style="2969" customWidth="1"/>
    <col min="7697" max="7697" width="6.25" style="2969" customWidth="1"/>
    <col min="7698" max="7698" width="7.875" style="2969" customWidth="1"/>
    <col min="7699" max="7936" width="9" style="2969"/>
    <col min="7937" max="7937" width="36" style="2969" customWidth="1"/>
    <col min="7938" max="7938" width="6.25" style="2969" customWidth="1"/>
    <col min="7939" max="7939" width="11.75" style="2969" customWidth="1"/>
    <col min="7940" max="7940" width="4.625" style="2969" customWidth="1"/>
    <col min="7941" max="7941" width="36" style="2969" customWidth="1"/>
    <col min="7942" max="7942" width="9.125" style="2969" customWidth="1"/>
    <col min="7943" max="7943" width="11.25" style="2969" customWidth="1"/>
    <col min="7944" max="7945" width="13.875" style="2969" customWidth="1"/>
    <col min="7946" max="7946" width="26.125" style="2969" customWidth="1"/>
    <col min="7947" max="7947" width="9" style="2969" customWidth="1"/>
    <col min="7948" max="7948" width="15.375" style="2969" customWidth="1"/>
    <col min="7949" max="7949" width="39.25" style="2969" customWidth="1"/>
    <col min="7950" max="7950" width="10.625" style="2969" customWidth="1"/>
    <col min="7951" max="7951" width="16" style="2969" customWidth="1"/>
    <col min="7952" max="7952" width="14.375" style="2969" customWidth="1"/>
    <col min="7953" max="7953" width="6.25" style="2969" customWidth="1"/>
    <col min="7954" max="7954" width="7.875" style="2969" customWidth="1"/>
    <col min="7955" max="8192" width="9" style="2969"/>
    <col min="8193" max="8193" width="36" style="2969" customWidth="1"/>
    <col min="8194" max="8194" width="6.25" style="2969" customWidth="1"/>
    <col min="8195" max="8195" width="11.75" style="2969" customWidth="1"/>
    <col min="8196" max="8196" width="4.625" style="2969" customWidth="1"/>
    <col min="8197" max="8197" width="36" style="2969" customWidth="1"/>
    <col min="8198" max="8198" width="9.125" style="2969" customWidth="1"/>
    <col min="8199" max="8199" width="11.25" style="2969" customWidth="1"/>
    <col min="8200" max="8201" width="13.875" style="2969" customWidth="1"/>
    <col min="8202" max="8202" width="26.125" style="2969" customWidth="1"/>
    <col min="8203" max="8203" width="9" style="2969" customWidth="1"/>
    <col min="8204" max="8204" width="15.375" style="2969" customWidth="1"/>
    <col min="8205" max="8205" width="39.25" style="2969" customWidth="1"/>
    <col min="8206" max="8206" width="10.625" style="2969" customWidth="1"/>
    <col min="8207" max="8207" width="16" style="2969" customWidth="1"/>
    <col min="8208" max="8208" width="14.375" style="2969" customWidth="1"/>
    <col min="8209" max="8209" width="6.25" style="2969" customWidth="1"/>
    <col min="8210" max="8210" width="7.875" style="2969" customWidth="1"/>
    <col min="8211" max="8448" width="9" style="2969"/>
    <col min="8449" max="8449" width="36" style="2969" customWidth="1"/>
    <col min="8450" max="8450" width="6.25" style="2969" customWidth="1"/>
    <col min="8451" max="8451" width="11.75" style="2969" customWidth="1"/>
    <col min="8452" max="8452" width="4.625" style="2969" customWidth="1"/>
    <col min="8453" max="8453" width="36" style="2969" customWidth="1"/>
    <col min="8454" max="8454" width="9.125" style="2969" customWidth="1"/>
    <col min="8455" max="8455" width="11.25" style="2969" customWidth="1"/>
    <col min="8456" max="8457" width="13.875" style="2969" customWidth="1"/>
    <col min="8458" max="8458" width="26.125" style="2969" customWidth="1"/>
    <col min="8459" max="8459" width="9" style="2969" customWidth="1"/>
    <col min="8460" max="8460" width="15.375" style="2969" customWidth="1"/>
    <col min="8461" max="8461" width="39.25" style="2969" customWidth="1"/>
    <col min="8462" max="8462" width="10.625" style="2969" customWidth="1"/>
    <col min="8463" max="8463" width="16" style="2969" customWidth="1"/>
    <col min="8464" max="8464" width="14.375" style="2969" customWidth="1"/>
    <col min="8465" max="8465" width="6.25" style="2969" customWidth="1"/>
    <col min="8466" max="8466" width="7.875" style="2969" customWidth="1"/>
    <col min="8467" max="8704" width="9" style="2969"/>
    <col min="8705" max="8705" width="36" style="2969" customWidth="1"/>
    <col min="8706" max="8706" width="6.25" style="2969" customWidth="1"/>
    <col min="8707" max="8707" width="11.75" style="2969" customWidth="1"/>
    <col min="8708" max="8708" width="4.625" style="2969" customWidth="1"/>
    <col min="8709" max="8709" width="36" style="2969" customWidth="1"/>
    <col min="8710" max="8710" width="9.125" style="2969" customWidth="1"/>
    <col min="8711" max="8711" width="11.25" style="2969" customWidth="1"/>
    <col min="8712" max="8713" width="13.875" style="2969" customWidth="1"/>
    <col min="8714" max="8714" width="26.125" style="2969" customWidth="1"/>
    <col min="8715" max="8715" width="9" style="2969" customWidth="1"/>
    <col min="8716" max="8716" width="15.375" style="2969" customWidth="1"/>
    <col min="8717" max="8717" width="39.25" style="2969" customWidth="1"/>
    <col min="8718" max="8718" width="10.625" style="2969" customWidth="1"/>
    <col min="8719" max="8719" width="16" style="2969" customWidth="1"/>
    <col min="8720" max="8720" width="14.375" style="2969" customWidth="1"/>
    <col min="8721" max="8721" width="6.25" style="2969" customWidth="1"/>
    <col min="8722" max="8722" width="7.875" style="2969" customWidth="1"/>
    <col min="8723" max="8960" width="9" style="2969"/>
    <col min="8961" max="8961" width="36" style="2969" customWidth="1"/>
    <col min="8962" max="8962" width="6.25" style="2969" customWidth="1"/>
    <col min="8963" max="8963" width="11.75" style="2969" customWidth="1"/>
    <col min="8964" max="8964" width="4.625" style="2969" customWidth="1"/>
    <col min="8965" max="8965" width="36" style="2969" customWidth="1"/>
    <col min="8966" max="8966" width="9.125" style="2969" customWidth="1"/>
    <col min="8967" max="8967" width="11.25" style="2969" customWidth="1"/>
    <col min="8968" max="8969" width="13.875" style="2969" customWidth="1"/>
    <col min="8970" max="8970" width="26.125" style="2969" customWidth="1"/>
    <col min="8971" max="8971" width="9" style="2969" customWidth="1"/>
    <col min="8972" max="8972" width="15.375" style="2969" customWidth="1"/>
    <col min="8973" max="8973" width="39.25" style="2969" customWidth="1"/>
    <col min="8974" max="8974" width="10.625" style="2969" customWidth="1"/>
    <col min="8975" max="8975" width="16" style="2969" customWidth="1"/>
    <col min="8976" max="8976" width="14.375" style="2969" customWidth="1"/>
    <col min="8977" max="8977" width="6.25" style="2969" customWidth="1"/>
    <col min="8978" max="8978" width="7.875" style="2969" customWidth="1"/>
    <col min="8979" max="9216" width="9" style="2969"/>
    <col min="9217" max="9217" width="36" style="2969" customWidth="1"/>
    <col min="9218" max="9218" width="6.25" style="2969" customWidth="1"/>
    <col min="9219" max="9219" width="11.75" style="2969" customWidth="1"/>
    <col min="9220" max="9220" width="4.625" style="2969" customWidth="1"/>
    <col min="9221" max="9221" width="36" style="2969" customWidth="1"/>
    <col min="9222" max="9222" width="9.125" style="2969" customWidth="1"/>
    <col min="9223" max="9223" width="11.25" style="2969" customWidth="1"/>
    <col min="9224" max="9225" width="13.875" style="2969" customWidth="1"/>
    <col min="9226" max="9226" width="26.125" style="2969" customWidth="1"/>
    <col min="9227" max="9227" width="9" style="2969" customWidth="1"/>
    <col min="9228" max="9228" width="15.375" style="2969" customWidth="1"/>
    <col min="9229" max="9229" width="39.25" style="2969" customWidth="1"/>
    <col min="9230" max="9230" width="10.625" style="2969" customWidth="1"/>
    <col min="9231" max="9231" width="16" style="2969" customWidth="1"/>
    <col min="9232" max="9232" width="14.375" style="2969" customWidth="1"/>
    <col min="9233" max="9233" width="6.25" style="2969" customWidth="1"/>
    <col min="9234" max="9234" width="7.875" style="2969" customWidth="1"/>
    <col min="9235" max="9472" width="9" style="2969"/>
    <col min="9473" max="9473" width="36" style="2969" customWidth="1"/>
    <col min="9474" max="9474" width="6.25" style="2969" customWidth="1"/>
    <col min="9475" max="9475" width="11.75" style="2969" customWidth="1"/>
    <col min="9476" max="9476" width="4.625" style="2969" customWidth="1"/>
    <col min="9477" max="9477" width="36" style="2969" customWidth="1"/>
    <col min="9478" max="9478" width="9.125" style="2969" customWidth="1"/>
    <col min="9479" max="9479" width="11.25" style="2969" customWidth="1"/>
    <col min="9480" max="9481" width="13.875" style="2969" customWidth="1"/>
    <col min="9482" max="9482" width="26.125" style="2969" customWidth="1"/>
    <col min="9483" max="9483" width="9" style="2969" customWidth="1"/>
    <col min="9484" max="9484" width="15.375" style="2969" customWidth="1"/>
    <col min="9485" max="9485" width="39.25" style="2969" customWidth="1"/>
    <col min="9486" max="9486" width="10.625" style="2969" customWidth="1"/>
    <col min="9487" max="9487" width="16" style="2969" customWidth="1"/>
    <col min="9488" max="9488" width="14.375" style="2969" customWidth="1"/>
    <col min="9489" max="9489" width="6.25" style="2969" customWidth="1"/>
    <col min="9490" max="9490" width="7.875" style="2969" customWidth="1"/>
    <col min="9491" max="9728" width="9" style="2969"/>
    <col min="9729" max="9729" width="36" style="2969" customWidth="1"/>
    <col min="9730" max="9730" width="6.25" style="2969" customWidth="1"/>
    <col min="9731" max="9731" width="11.75" style="2969" customWidth="1"/>
    <col min="9732" max="9732" width="4.625" style="2969" customWidth="1"/>
    <col min="9733" max="9733" width="36" style="2969" customWidth="1"/>
    <col min="9734" max="9734" width="9.125" style="2969" customWidth="1"/>
    <col min="9735" max="9735" width="11.25" style="2969" customWidth="1"/>
    <col min="9736" max="9737" width="13.875" style="2969" customWidth="1"/>
    <col min="9738" max="9738" width="26.125" style="2969" customWidth="1"/>
    <col min="9739" max="9739" width="9" style="2969" customWidth="1"/>
    <col min="9740" max="9740" width="15.375" style="2969" customWidth="1"/>
    <col min="9741" max="9741" width="39.25" style="2969" customWidth="1"/>
    <col min="9742" max="9742" width="10.625" style="2969" customWidth="1"/>
    <col min="9743" max="9743" width="16" style="2969" customWidth="1"/>
    <col min="9744" max="9744" width="14.375" style="2969" customWidth="1"/>
    <col min="9745" max="9745" width="6.25" style="2969" customWidth="1"/>
    <col min="9746" max="9746" width="7.875" style="2969" customWidth="1"/>
    <col min="9747" max="9984" width="9" style="2969"/>
    <col min="9985" max="9985" width="36" style="2969" customWidth="1"/>
    <col min="9986" max="9986" width="6.25" style="2969" customWidth="1"/>
    <col min="9987" max="9987" width="11.75" style="2969" customWidth="1"/>
    <col min="9988" max="9988" width="4.625" style="2969" customWidth="1"/>
    <col min="9989" max="9989" width="36" style="2969" customWidth="1"/>
    <col min="9990" max="9990" width="9.125" style="2969" customWidth="1"/>
    <col min="9991" max="9991" width="11.25" style="2969" customWidth="1"/>
    <col min="9992" max="9993" width="13.875" style="2969" customWidth="1"/>
    <col min="9994" max="9994" width="26.125" style="2969" customWidth="1"/>
    <col min="9995" max="9995" width="9" style="2969" customWidth="1"/>
    <col min="9996" max="9996" width="15.375" style="2969" customWidth="1"/>
    <col min="9997" max="9997" width="39.25" style="2969" customWidth="1"/>
    <col min="9998" max="9998" width="10.625" style="2969" customWidth="1"/>
    <col min="9999" max="9999" width="16" style="2969" customWidth="1"/>
    <col min="10000" max="10000" width="14.375" style="2969" customWidth="1"/>
    <col min="10001" max="10001" width="6.25" style="2969" customWidth="1"/>
    <col min="10002" max="10002" width="7.875" style="2969" customWidth="1"/>
    <col min="10003" max="10240" width="9" style="2969"/>
    <col min="10241" max="10241" width="36" style="2969" customWidth="1"/>
    <col min="10242" max="10242" width="6.25" style="2969" customWidth="1"/>
    <col min="10243" max="10243" width="11.75" style="2969" customWidth="1"/>
    <col min="10244" max="10244" width="4.625" style="2969" customWidth="1"/>
    <col min="10245" max="10245" width="36" style="2969" customWidth="1"/>
    <col min="10246" max="10246" width="9.125" style="2969" customWidth="1"/>
    <col min="10247" max="10247" width="11.25" style="2969" customWidth="1"/>
    <col min="10248" max="10249" width="13.875" style="2969" customWidth="1"/>
    <col min="10250" max="10250" width="26.125" style="2969" customWidth="1"/>
    <col min="10251" max="10251" width="9" style="2969" customWidth="1"/>
    <col min="10252" max="10252" width="15.375" style="2969" customWidth="1"/>
    <col min="10253" max="10253" width="39.25" style="2969" customWidth="1"/>
    <col min="10254" max="10254" width="10.625" style="2969" customWidth="1"/>
    <col min="10255" max="10255" width="16" style="2969" customWidth="1"/>
    <col min="10256" max="10256" width="14.375" style="2969" customWidth="1"/>
    <col min="10257" max="10257" width="6.25" style="2969" customWidth="1"/>
    <col min="10258" max="10258" width="7.875" style="2969" customWidth="1"/>
    <col min="10259" max="10496" width="9" style="2969"/>
    <col min="10497" max="10497" width="36" style="2969" customWidth="1"/>
    <col min="10498" max="10498" width="6.25" style="2969" customWidth="1"/>
    <col min="10499" max="10499" width="11.75" style="2969" customWidth="1"/>
    <col min="10500" max="10500" width="4.625" style="2969" customWidth="1"/>
    <col min="10501" max="10501" width="36" style="2969" customWidth="1"/>
    <col min="10502" max="10502" width="9.125" style="2969" customWidth="1"/>
    <col min="10503" max="10503" width="11.25" style="2969" customWidth="1"/>
    <col min="10504" max="10505" width="13.875" style="2969" customWidth="1"/>
    <col min="10506" max="10506" width="26.125" style="2969" customWidth="1"/>
    <col min="10507" max="10507" width="9" style="2969" customWidth="1"/>
    <col min="10508" max="10508" width="15.375" style="2969" customWidth="1"/>
    <col min="10509" max="10509" width="39.25" style="2969" customWidth="1"/>
    <col min="10510" max="10510" width="10.625" style="2969" customWidth="1"/>
    <col min="10511" max="10511" width="16" style="2969" customWidth="1"/>
    <col min="10512" max="10512" width="14.375" style="2969" customWidth="1"/>
    <col min="10513" max="10513" width="6.25" style="2969" customWidth="1"/>
    <col min="10514" max="10514" width="7.875" style="2969" customWidth="1"/>
    <col min="10515" max="10752" width="9" style="2969"/>
    <col min="10753" max="10753" width="36" style="2969" customWidth="1"/>
    <col min="10754" max="10754" width="6.25" style="2969" customWidth="1"/>
    <col min="10755" max="10755" width="11.75" style="2969" customWidth="1"/>
    <col min="10756" max="10756" width="4.625" style="2969" customWidth="1"/>
    <col min="10757" max="10757" width="36" style="2969" customWidth="1"/>
    <col min="10758" max="10758" width="9.125" style="2969" customWidth="1"/>
    <col min="10759" max="10759" width="11.25" style="2969" customWidth="1"/>
    <col min="10760" max="10761" width="13.875" style="2969" customWidth="1"/>
    <col min="10762" max="10762" width="26.125" style="2969" customWidth="1"/>
    <col min="10763" max="10763" width="9" style="2969" customWidth="1"/>
    <col min="10764" max="10764" width="15.375" style="2969" customWidth="1"/>
    <col min="10765" max="10765" width="39.25" style="2969" customWidth="1"/>
    <col min="10766" max="10766" width="10.625" style="2969" customWidth="1"/>
    <col min="10767" max="10767" width="16" style="2969" customWidth="1"/>
    <col min="10768" max="10768" width="14.375" style="2969" customWidth="1"/>
    <col min="10769" max="10769" width="6.25" style="2969" customWidth="1"/>
    <col min="10770" max="10770" width="7.875" style="2969" customWidth="1"/>
    <col min="10771" max="11008" width="9" style="2969"/>
    <col min="11009" max="11009" width="36" style="2969" customWidth="1"/>
    <col min="11010" max="11010" width="6.25" style="2969" customWidth="1"/>
    <col min="11011" max="11011" width="11.75" style="2969" customWidth="1"/>
    <col min="11012" max="11012" width="4.625" style="2969" customWidth="1"/>
    <col min="11013" max="11013" width="36" style="2969" customWidth="1"/>
    <col min="11014" max="11014" width="9.125" style="2969" customWidth="1"/>
    <col min="11015" max="11015" width="11.25" style="2969" customWidth="1"/>
    <col min="11016" max="11017" width="13.875" style="2969" customWidth="1"/>
    <col min="11018" max="11018" width="26.125" style="2969" customWidth="1"/>
    <col min="11019" max="11019" width="9" style="2969" customWidth="1"/>
    <col min="11020" max="11020" width="15.375" style="2969" customWidth="1"/>
    <col min="11021" max="11021" width="39.25" style="2969" customWidth="1"/>
    <col min="11022" max="11022" width="10.625" style="2969" customWidth="1"/>
    <col min="11023" max="11023" width="16" style="2969" customWidth="1"/>
    <col min="11024" max="11024" width="14.375" style="2969" customWidth="1"/>
    <col min="11025" max="11025" width="6.25" style="2969" customWidth="1"/>
    <col min="11026" max="11026" width="7.875" style="2969" customWidth="1"/>
    <col min="11027" max="11264" width="9" style="2969"/>
    <col min="11265" max="11265" width="36" style="2969" customWidth="1"/>
    <col min="11266" max="11266" width="6.25" style="2969" customWidth="1"/>
    <col min="11267" max="11267" width="11.75" style="2969" customWidth="1"/>
    <col min="11268" max="11268" width="4.625" style="2969" customWidth="1"/>
    <col min="11269" max="11269" width="36" style="2969" customWidth="1"/>
    <col min="11270" max="11270" width="9.125" style="2969" customWidth="1"/>
    <col min="11271" max="11271" width="11.25" style="2969" customWidth="1"/>
    <col min="11272" max="11273" width="13.875" style="2969" customWidth="1"/>
    <col min="11274" max="11274" width="26.125" style="2969" customWidth="1"/>
    <col min="11275" max="11275" width="9" style="2969" customWidth="1"/>
    <col min="11276" max="11276" width="15.375" style="2969" customWidth="1"/>
    <col min="11277" max="11277" width="39.25" style="2969" customWidth="1"/>
    <col min="11278" max="11278" width="10.625" style="2969" customWidth="1"/>
    <col min="11279" max="11279" width="16" style="2969" customWidth="1"/>
    <col min="11280" max="11280" width="14.375" style="2969" customWidth="1"/>
    <col min="11281" max="11281" width="6.25" style="2969" customWidth="1"/>
    <col min="11282" max="11282" width="7.875" style="2969" customWidth="1"/>
    <col min="11283" max="11520" width="9" style="2969"/>
    <col min="11521" max="11521" width="36" style="2969" customWidth="1"/>
    <col min="11522" max="11522" width="6.25" style="2969" customWidth="1"/>
    <col min="11523" max="11523" width="11.75" style="2969" customWidth="1"/>
    <col min="11524" max="11524" width="4.625" style="2969" customWidth="1"/>
    <col min="11525" max="11525" width="36" style="2969" customWidth="1"/>
    <col min="11526" max="11526" width="9.125" style="2969" customWidth="1"/>
    <col min="11527" max="11527" width="11.25" style="2969" customWidth="1"/>
    <col min="11528" max="11529" width="13.875" style="2969" customWidth="1"/>
    <col min="11530" max="11530" width="26.125" style="2969" customWidth="1"/>
    <col min="11531" max="11531" width="9" style="2969" customWidth="1"/>
    <col min="11532" max="11532" width="15.375" style="2969" customWidth="1"/>
    <col min="11533" max="11533" width="39.25" style="2969" customWidth="1"/>
    <col min="11534" max="11534" width="10.625" style="2969" customWidth="1"/>
    <col min="11535" max="11535" width="16" style="2969" customWidth="1"/>
    <col min="11536" max="11536" width="14.375" style="2969" customWidth="1"/>
    <col min="11537" max="11537" width="6.25" style="2969" customWidth="1"/>
    <col min="11538" max="11538" width="7.875" style="2969" customWidth="1"/>
    <col min="11539" max="11776" width="9" style="2969"/>
    <col min="11777" max="11777" width="36" style="2969" customWidth="1"/>
    <col min="11778" max="11778" width="6.25" style="2969" customWidth="1"/>
    <col min="11779" max="11779" width="11.75" style="2969" customWidth="1"/>
    <col min="11780" max="11780" width="4.625" style="2969" customWidth="1"/>
    <col min="11781" max="11781" width="36" style="2969" customWidth="1"/>
    <col min="11782" max="11782" width="9.125" style="2969" customWidth="1"/>
    <col min="11783" max="11783" width="11.25" style="2969" customWidth="1"/>
    <col min="11784" max="11785" width="13.875" style="2969" customWidth="1"/>
    <col min="11786" max="11786" width="26.125" style="2969" customWidth="1"/>
    <col min="11787" max="11787" width="9" style="2969" customWidth="1"/>
    <col min="11788" max="11788" width="15.375" style="2969" customWidth="1"/>
    <col min="11789" max="11789" width="39.25" style="2969" customWidth="1"/>
    <col min="11790" max="11790" width="10.625" style="2969" customWidth="1"/>
    <col min="11791" max="11791" width="16" style="2969" customWidth="1"/>
    <col min="11792" max="11792" width="14.375" style="2969" customWidth="1"/>
    <col min="11793" max="11793" width="6.25" style="2969" customWidth="1"/>
    <col min="11794" max="11794" width="7.875" style="2969" customWidth="1"/>
    <col min="11795" max="12032" width="9" style="2969"/>
    <col min="12033" max="12033" width="36" style="2969" customWidth="1"/>
    <col min="12034" max="12034" width="6.25" style="2969" customWidth="1"/>
    <col min="12035" max="12035" width="11.75" style="2969" customWidth="1"/>
    <col min="12036" max="12036" width="4.625" style="2969" customWidth="1"/>
    <col min="12037" max="12037" width="36" style="2969" customWidth="1"/>
    <col min="12038" max="12038" width="9.125" style="2969" customWidth="1"/>
    <col min="12039" max="12039" width="11.25" style="2969" customWidth="1"/>
    <col min="12040" max="12041" width="13.875" style="2969" customWidth="1"/>
    <col min="12042" max="12042" width="26.125" style="2969" customWidth="1"/>
    <col min="12043" max="12043" width="9" style="2969" customWidth="1"/>
    <col min="12044" max="12044" width="15.375" style="2969" customWidth="1"/>
    <col min="12045" max="12045" width="39.25" style="2969" customWidth="1"/>
    <col min="12046" max="12046" width="10.625" style="2969" customWidth="1"/>
    <col min="12047" max="12047" width="16" style="2969" customWidth="1"/>
    <col min="12048" max="12048" width="14.375" style="2969" customWidth="1"/>
    <col min="12049" max="12049" width="6.25" style="2969" customWidth="1"/>
    <col min="12050" max="12050" width="7.875" style="2969" customWidth="1"/>
    <col min="12051" max="12288" width="9" style="2969"/>
    <col min="12289" max="12289" width="36" style="2969" customWidth="1"/>
    <col min="12290" max="12290" width="6.25" style="2969" customWidth="1"/>
    <col min="12291" max="12291" width="11.75" style="2969" customWidth="1"/>
    <col min="12292" max="12292" width="4.625" style="2969" customWidth="1"/>
    <col min="12293" max="12293" width="36" style="2969" customWidth="1"/>
    <col min="12294" max="12294" width="9.125" style="2969" customWidth="1"/>
    <col min="12295" max="12295" width="11.25" style="2969" customWidth="1"/>
    <col min="12296" max="12297" width="13.875" style="2969" customWidth="1"/>
    <col min="12298" max="12298" width="26.125" style="2969" customWidth="1"/>
    <col min="12299" max="12299" width="9" style="2969" customWidth="1"/>
    <col min="12300" max="12300" width="15.375" style="2969" customWidth="1"/>
    <col min="12301" max="12301" width="39.25" style="2969" customWidth="1"/>
    <col min="12302" max="12302" width="10.625" style="2969" customWidth="1"/>
    <col min="12303" max="12303" width="16" style="2969" customWidth="1"/>
    <col min="12304" max="12304" width="14.375" style="2969" customWidth="1"/>
    <col min="12305" max="12305" width="6.25" style="2969" customWidth="1"/>
    <col min="12306" max="12306" width="7.875" style="2969" customWidth="1"/>
    <col min="12307" max="12544" width="9" style="2969"/>
    <col min="12545" max="12545" width="36" style="2969" customWidth="1"/>
    <col min="12546" max="12546" width="6.25" style="2969" customWidth="1"/>
    <col min="12547" max="12547" width="11.75" style="2969" customWidth="1"/>
    <col min="12548" max="12548" width="4.625" style="2969" customWidth="1"/>
    <col min="12549" max="12549" width="36" style="2969" customWidth="1"/>
    <col min="12550" max="12550" width="9.125" style="2969" customWidth="1"/>
    <col min="12551" max="12551" width="11.25" style="2969" customWidth="1"/>
    <col min="12552" max="12553" width="13.875" style="2969" customWidth="1"/>
    <col min="12554" max="12554" width="26.125" style="2969" customWidth="1"/>
    <col min="12555" max="12555" width="9" style="2969" customWidth="1"/>
    <col min="12556" max="12556" width="15.375" style="2969" customWidth="1"/>
    <col min="12557" max="12557" width="39.25" style="2969" customWidth="1"/>
    <col min="12558" max="12558" width="10.625" style="2969" customWidth="1"/>
    <col min="12559" max="12559" width="16" style="2969" customWidth="1"/>
    <col min="12560" max="12560" width="14.375" style="2969" customWidth="1"/>
    <col min="12561" max="12561" width="6.25" style="2969" customWidth="1"/>
    <col min="12562" max="12562" width="7.875" style="2969" customWidth="1"/>
    <col min="12563" max="12800" width="9" style="2969"/>
    <col min="12801" max="12801" width="36" style="2969" customWidth="1"/>
    <col min="12802" max="12802" width="6.25" style="2969" customWidth="1"/>
    <col min="12803" max="12803" width="11.75" style="2969" customWidth="1"/>
    <col min="12804" max="12804" width="4.625" style="2969" customWidth="1"/>
    <col min="12805" max="12805" width="36" style="2969" customWidth="1"/>
    <col min="12806" max="12806" width="9.125" style="2969" customWidth="1"/>
    <col min="12807" max="12807" width="11.25" style="2969" customWidth="1"/>
    <col min="12808" max="12809" width="13.875" style="2969" customWidth="1"/>
    <col min="12810" max="12810" width="26.125" style="2969" customWidth="1"/>
    <col min="12811" max="12811" width="9" style="2969" customWidth="1"/>
    <col min="12812" max="12812" width="15.375" style="2969" customWidth="1"/>
    <col min="12813" max="12813" width="39.25" style="2969" customWidth="1"/>
    <col min="12814" max="12814" width="10.625" style="2969" customWidth="1"/>
    <col min="12815" max="12815" width="16" style="2969" customWidth="1"/>
    <col min="12816" max="12816" width="14.375" style="2969" customWidth="1"/>
    <col min="12817" max="12817" width="6.25" style="2969" customWidth="1"/>
    <col min="12818" max="12818" width="7.875" style="2969" customWidth="1"/>
    <col min="12819" max="13056" width="9" style="2969"/>
    <col min="13057" max="13057" width="36" style="2969" customWidth="1"/>
    <col min="13058" max="13058" width="6.25" style="2969" customWidth="1"/>
    <col min="13059" max="13059" width="11.75" style="2969" customWidth="1"/>
    <col min="13060" max="13060" width="4.625" style="2969" customWidth="1"/>
    <col min="13061" max="13061" width="36" style="2969" customWidth="1"/>
    <col min="13062" max="13062" width="9.125" style="2969" customWidth="1"/>
    <col min="13063" max="13063" width="11.25" style="2969" customWidth="1"/>
    <col min="13064" max="13065" width="13.875" style="2969" customWidth="1"/>
    <col min="13066" max="13066" width="26.125" style="2969" customWidth="1"/>
    <col min="13067" max="13067" width="9" style="2969" customWidth="1"/>
    <col min="13068" max="13068" width="15.375" style="2969" customWidth="1"/>
    <col min="13069" max="13069" width="39.25" style="2969" customWidth="1"/>
    <col min="13070" max="13070" width="10.625" style="2969" customWidth="1"/>
    <col min="13071" max="13071" width="16" style="2969" customWidth="1"/>
    <col min="13072" max="13072" width="14.375" style="2969" customWidth="1"/>
    <col min="13073" max="13073" width="6.25" style="2969" customWidth="1"/>
    <col min="13074" max="13074" width="7.875" style="2969" customWidth="1"/>
    <col min="13075" max="13312" width="9" style="2969"/>
    <col min="13313" max="13313" width="36" style="2969" customWidth="1"/>
    <col min="13314" max="13314" width="6.25" style="2969" customWidth="1"/>
    <col min="13315" max="13315" width="11.75" style="2969" customWidth="1"/>
    <col min="13316" max="13316" width="4.625" style="2969" customWidth="1"/>
    <col min="13317" max="13317" width="36" style="2969" customWidth="1"/>
    <col min="13318" max="13318" width="9.125" style="2969" customWidth="1"/>
    <col min="13319" max="13319" width="11.25" style="2969" customWidth="1"/>
    <col min="13320" max="13321" width="13.875" style="2969" customWidth="1"/>
    <col min="13322" max="13322" width="26.125" style="2969" customWidth="1"/>
    <col min="13323" max="13323" width="9" style="2969" customWidth="1"/>
    <col min="13324" max="13324" width="15.375" style="2969" customWidth="1"/>
    <col min="13325" max="13325" width="39.25" style="2969" customWidth="1"/>
    <col min="13326" max="13326" width="10.625" style="2969" customWidth="1"/>
    <col min="13327" max="13327" width="16" style="2969" customWidth="1"/>
    <col min="13328" max="13328" width="14.375" style="2969" customWidth="1"/>
    <col min="13329" max="13329" width="6.25" style="2969" customWidth="1"/>
    <col min="13330" max="13330" width="7.875" style="2969" customWidth="1"/>
    <col min="13331" max="13568" width="9" style="2969"/>
    <col min="13569" max="13569" width="36" style="2969" customWidth="1"/>
    <col min="13570" max="13570" width="6.25" style="2969" customWidth="1"/>
    <col min="13571" max="13571" width="11.75" style="2969" customWidth="1"/>
    <col min="13572" max="13572" width="4.625" style="2969" customWidth="1"/>
    <col min="13573" max="13573" width="36" style="2969" customWidth="1"/>
    <col min="13574" max="13574" width="9.125" style="2969" customWidth="1"/>
    <col min="13575" max="13575" width="11.25" style="2969" customWidth="1"/>
    <col min="13576" max="13577" width="13.875" style="2969" customWidth="1"/>
    <col min="13578" max="13578" width="26.125" style="2969" customWidth="1"/>
    <col min="13579" max="13579" width="9" style="2969" customWidth="1"/>
    <col min="13580" max="13580" width="15.375" style="2969" customWidth="1"/>
    <col min="13581" max="13581" width="39.25" style="2969" customWidth="1"/>
    <col min="13582" max="13582" width="10.625" style="2969" customWidth="1"/>
    <col min="13583" max="13583" width="16" style="2969" customWidth="1"/>
    <col min="13584" max="13584" width="14.375" style="2969" customWidth="1"/>
    <col min="13585" max="13585" width="6.25" style="2969" customWidth="1"/>
    <col min="13586" max="13586" width="7.875" style="2969" customWidth="1"/>
    <col min="13587" max="13824" width="9" style="2969"/>
    <col min="13825" max="13825" width="36" style="2969" customWidth="1"/>
    <col min="13826" max="13826" width="6.25" style="2969" customWidth="1"/>
    <col min="13827" max="13827" width="11.75" style="2969" customWidth="1"/>
    <col min="13828" max="13828" width="4.625" style="2969" customWidth="1"/>
    <col min="13829" max="13829" width="36" style="2969" customWidth="1"/>
    <col min="13830" max="13830" width="9.125" style="2969" customWidth="1"/>
    <col min="13831" max="13831" width="11.25" style="2969" customWidth="1"/>
    <col min="13832" max="13833" width="13.875" style="2969" customWidth="1"/>
    <col min="13834" max="13834" width="26.125" style="2969" customWidth="1"/>
    <col min="13835" max="13835" width="9" style="2969" customWidth="1"/>
    <col min="13836" max="13836" width="15.375" style="2969" customWidth="1"/>
    <col min="13837" max="13837" width="39.25" style="2969" customWidth="1"/>
    <col min="13838" max="13838" width="10.625" style="2969" customWidth="1"/>
    <col min="13839" max="13839" width="16" style="2969" customWidth="1"/>
    <col min="13840" max="13840" width="14.375" style="2969" customWidth="1"/>
    <col min="13841" max="13841" width="6.25" style="2969" customWidth="1"/>
    <col min="13842" max="13842" width="7.875" style="2969" customWidth="1"/>
    <col min="13843" max="14080" width="9" style="2969"/>
    <col min="14081" max="14081" width="36" style="2969" customWidth="1"/>
    <col min="14082" max="14082" width="6.25" style="2969" customWidth="1"/>
    <col min="14083" max="14083" width="11.75" style="2969" customWidth="1"/>
    <col min="14084" max="14084" width="4.625" style="2969" customWidth="1"/>
    <col min="14085" max="14085" width="36" style="2969" customWidth="1"/>
    <col min="14086" max="14086" width="9.125" style="2969" customWidth="1"/>
    <col min="14087" max="14087" width="11.25" style="2969" customWidth="1"/>
    <col min="14088" max="14089" width="13.875" style="2969" customWidth="1"/>
    <col min="14090" max="14090" width="26.125" style="2969" customWidth="1"/>
    <col min="14091" max="14091" width="9" style="2969" customWidth="1"/>
    <col min="14092" max="14092" width="15.375" style="2969" customWidth="1"/>
    <col min="14093" max="14093" width="39.25" style="2969" customWidth="1"/>
    <col min="14094" max="14094" width="10.625" style="2969" customWidth="1"/>
    <col min="14095" max="14095" width="16" style="2969" customWidth="1"/>
    <col min="14096" max="14096" width="14.375" style="2969" customWidth="1"/>
    <col min="14097" max="14097" width="6.25" style="2969" customWidth="1"/>
    <col min="14098" max="14098" width="7.875" style="2969" customWidth="1"/>
    <col min="14099" max="14336" width="9" style="2969"/>
    <col min="14337" max="14337" width="36" style="2969" customWidth="1"/>
    <col min="14338" max="14338" width="6.25" style="2969" customWidth="1"/>
    <col min="14339" max="14339" width="11.75" style="2969" customWidth="1"/>
    <col min="14340" max="14340" width="4.625" style="2969" customWidth="1"/>
    <col min="14341" max="14341" width="36" style="2969" customWidth="1"/>
    <col min="14342" max="14342" width="9.125" style="2969" customWidth="1"/>
    <col min="14343" max="14343" width="11.25" style="2969" customWidth="1"/>
    <col min="14344" max="14345" width="13.875" style="2969" customWidth="1"/>
    <col min="14346" max="14346" width="26.125" style="2969" customWidth="1"/>
    <col min="14347" max="14347" width="9" style="2969" customWidth="1"/>
    <col min="14348" max="14348" width="15.375" style="2969" customWidth="1"/>
    <col min="14349" max="14349" width="39.25" style="2969" customWidth="1"/>
    <col min="14350" max="14350" width="10.625" style="2969" customWidth="1"/>
    <col min="14351" max="14351" width="16" style="2969" customWidth="1"/>
    <col min="14352" max="14352" width="14.375" style="2969" customWidth="1"/>
    <col min="14353" max="14353" width="6.25" style="2969" customWidth="1"/>
    <col min="14354" max="14354" width="7.875" style="2969" customWidth="1"/>
    <col min="14355" max="14592" width="9" style="2969"/>
    <col min="14593" max="14593" width="36" style="2969" customWidth="1"/>
    <col min="14594" max="14594" width="6.25" style="2969" customWidth="1"/>
    <col min="14595" max="14595" width="11.75" style="2969" customWidth="1"/>
    <col min="14596" max="14596" width="4.625" style="2969" customWidth="1"/>
    <col min="14597" max="14597" width="36" style="2969" customWidth="1"/>
    <col min="14598" max="14598" width="9.125" style="2969" customWidth="1"/>
    <col min="14599" max="14599" width="11.25" style="2969" customWidth="1"/>
    <col min="14600" max="14601" width="13.875" style="2969" customWidth="1"/>
    <col min="14602" max="14602" width="26.125" style="2969" customWidth="1"/>
    <col min="14603" max="14603" width="9" style="2969" customWidth="1"/>
    <col min="14604" max="14604" width="15.375" style="2969" customWidth="1"/>
    <col min="14605" max="14605" width="39.25" style="2969" customWidth="1"/>
    <col min="14606" max="14606" width="10.625" style="2969" customWidth="1"/>
    <col min="14607" max="14607" width="16" style="2969" customWidth="1"/>
    <col min="14608" max="14608" width="14.375" style="2969" customWidth="1"/>
    <col min="14609" max="14609" width="6.25" style="2969" customWidth="1"/>
    <col min="14610" max="14610" width="7.875" style="2969" customWidth="1"/>
    <col min="14611" max="14848" width="9" style="2969"/>
    <col min="14849" max="14849" width="36" style="2969" customWidth="1"/>
    <col min="14850" max="14850" width="6.25" style="2969" customWidth="1"/>
    <col min="14851" max="14851" width="11.75" style="2969" customWidth="1"/>
    <col min="14852" max="14852" width="4.625" style="2969" customWidth="1"/>
    <col min="14853" max="14853" width="36" style="2969" customWidth="1"/>
    <col min="14854" max="14854" width="9.125" style="2969" customWidth="1"/>
    <col min="14855" max="14855" width="11.25" style="2969" customWidth="1"/>
    <col min="14856" max="14857" width="13.875" style="2969" customWidth="1"/>
    <col min="14858" max="14858" width="26.125" style="2969" customWidth="1"/>
    <col min="14859" max="14859" width="9" style="2969" customWidth="1"/>
    <col min="14860" max="14860" width="15.375" style="2969" customWidth="1"/>
    <col min="14861" max="14861" width="39.25" style="2969" customWidth="1"/>
    <col min="14862" max="14862" width="10.625" style="2969" customWidth="1"/>
    <col min="14863" max="14863" width="16" style="2969" customWidth="1"/>
    <col min="14864" max="14864" width="14.375" style="2969" customWidth="1"/>
    <col min="14865" max="14865" width="6.25" style="2969" customWidth="1"/>
    <col min="14866" max="14866" width="7.875" style="2969" customWidth="1"/>
    <col min="14867" max="15104" width="9" style="2969"/>
    <col min="15105" max="15105" width="36" style="2969" customWidth="1"/>
    <col min="15106" max="15106" width="6.25" style="2969" customWidth="1"/>
    <col min="15107" max="15107" width="11.75" style="2969" customWidth="1"/>
    <col min="15108" max="15108" width="4.625" style="2969" customWidth="1"/>
    <col min="15109" max="15109" width="36" style="2969" customWidth="1"/>
    <col min="15110" max="15110" width="9.125" style="2969" customWidth="1"/>
    <col min="15111" max="15111" width="11.25" style="2969" customWidth="1"/>
    <col min="15112" max="15113" width="13.875" style="2969" customWidth="1"/>
    <col min="15114" max="15114" width="26.125" style="2969" customWidth="1"/>
    <col min="15115" max="15115" width="9" style="2969" customWidth="1"/>
    <col min="15116" max="15116" width="15.375" style="2969" customWidth="1"/>
    <col min="15117" max="15117" width="39.25" style="2969" customWidth="1"/>
    <col min="15118" max="15118" width="10.625" style="2969" customWidth="1"/>
    <col min="15119" max="15119" width="16" style="2969" customWidth="1"/>
    <col min="15120" max="15120" width="14.375" style="2969" customWidth="1"/>
    <col min="15121" max="15121" width="6.25" style="2969" customWidth="1"/>
    <col min="15122" max="15122" width="7.875" style="2969" customWidth="1"/>
    <col min="15123" max="15360" width="9" style="2969"/>
    <col min="15361" max="15361" width="36" style="2969" customWidth="1"/>
    <col min="15362" max="15362" width="6.25" style="2969" customWidth="1"/>
    <col min="15363" max="15363" width="11.75" style="2969" customWidth="1"/>
    <col min="15364" max="15364" width="4.625" style="2969" customWidth="1"/>
    <col min="15365" max="15365" width="36" style="2969" customWidth="1"/>
    <col min="15366" max="15366" width="9.125" style="2969" customWidth="1"/>
    <col min="15367" max="15367" width="11.25" style="2969" customWidth="1"/>
    <col min="15368" max="15369" width="13.875" style="2969" customWidth="1"/>
    <col min="15370" max="15370" width="26.125" style="2969" customWidth="1"/>
    <col min="15371" max="15371" width="9" style="2969" customWidth="1"/>
    <col min="15372" max="15372" width="15.375" style="2969" customWidth="1"/>
    <col min="15373" max="15373" width="39.25" style="2969" customWidth="1"/>
    <col min="15374" max="15374" width="10.625" style="2969" customWidth="1"/>
    <col min="15375" max="15375" width="16" style="2969" customWidth="1"/>
    <col min="15376" max="15376" width="14.375" style="2969" customWidth="1"/>
    <col min="15377" max="15377" width="6.25" style="2969" customWidth="1"/>
    <col min="15378" max="15378" width="7.875" style="2969" customWidth="1"/>
    <col min="15379" max="15616" width="9" style="2969"/>
    <col min="15617" max="15617" width="36" style="2969" customWidth="1"/>
    <col min="15618" max="15618" width="6.25" style="2969" customWidth="1"/>
    <col min="15619" max="15619" width="11.75" style="2969" customWidth="1"/>
    <col min="15620" max="15620" width="4.625" style="2969" customWidth="1"/>
    <col min="15621" max="15621" width="36" style="2969" customWidth="1"/>
    <col min="15622" max="15622" width="9.125" style="2969" customWidth="1"/>
    <col min="15623" max="15623" width="11.25" style="2969" customWidth="1"/>
    <col min="15624" max="15625" width="13.875" style="2969" customWidth="1"/>
    <col min="15626" max="15626" width="26.125" style="2969" customWidth="1"/>
    <col min="15627" max="15627" width="9" style="2969" customWidth="1"/>
    <col min="15628" max="15628" width="15.375" style="2969" customWidth="1"/>
    <col min="15629" max="15629" width="39.25" style="2969" customWidth="1"/>
    <col min="15630" max="15630" width="10.625" style="2969" customWidth="1"/>
    <col min="15631" max="15631" width="16" style="2969" customWidth="1"/>
    <col min="15632" max="15632" width="14.375" style="2969" customWidth="1"/>
    <col min="15633" max="15633" width="6.25" style="2969" customWidth="1"/>
    <col min="15634" max="15634" width="7.875" style="2969" customWidth="1"/>
    <col min="15635" max="15872" width="9" style="2969"/>
    <col min="15873" max="15873" width="36" style="2969" customWidth="1"/>
    <col min="15874" max="15874" width="6.25" style="2969" customWidth="1"/>
    <col min="15875" max="15875" width="11.75" style="2969" customWidth="1"/>
    <col min="15876" max="15876" width="4.625" style="2969" customWidth="1"/>
    <col min="15877" max="15877" width="36" style="2969" customWidth="1"/>
    <col min="15878" max="15878" width="9.125" style="2969" customWidth="1"/>
    <col min="15879" max="15879" width="11.25" style="2969" customWidth="1"/>
    <col min="15880" max="15881" width="13.875" style="2969" customWidth="1"/>
    <col min="15882" max="15882" width="26.125" style="2969" customWidth="1"/>
    <col min="15883" max="15883" width="9" style="2969" customWidth="1"/>
    <col min="15884" max="15884" width="15.375" style="2969" customWidth="1"/>
    <col min="15885" max="15885" width="39.25" style="2969" customWidth="1"/>
    <col min="15886" max="15886" width="10.625" style="2969" customWidth="1"/>
    <col min="15887" max="15887" width="16" style="2969" customWidth="1"/>
    <col min="15888" max="15888" width="14.375" style="2969" customWidth="1"/>
    <col min="15889" max="15889" width="6.25" style="2969" customWidth="1"/>
    <col min="15890" max="15890" width="7.875" style="2969" customWidth="1"/>
    <col min="15891" max="16128" width="9" style="2969"/>
    <col min="16129" max="16129" width="36" style="2969" customWidth="1"/>
    <col min="16130" max="16130" width="6.25" style="2969" customWidth="1"/>
    <col min="16131" max="16131" width="11.75" style="2969" customWidth="1"/>
    <col min="16132" max="16132" width="4.625" style="2969" customWidth="1"/>
    <col min="16133" max="16133" width="36" style="2969" customWidth="1"/>
    <col min="16134" max="16134" width="9.125" style="2969" customWidth="1"/>
    <col min="16135" max="16135" width="11.25" style="2969" customWidth="1"/>
    <col min="16136" max="16137" width="13.875" style="2969" customWidth="1"/>
    <col min="16138" max="16138" width="26.125" style="2969" customWidth="1"/>
    <col min="16139" max="16139" width="9" style="2969" customWidth="1"/>
    <col min="16140" max="16140" width="15.375" style="2969" customWidth="1"/>
    <col min="16141" max="16141" width="39.25" style="2969" customWidth="1"/>
    <col min="16142" max="16142" width="10.625" style="2969" customWidth="1"/>
    <col min="16143" max="16143" width="16" style="2969" customWidth="1"/>
    <col min="16144" max="16144" width="14.375" style="2969" customWidth="1"/>
    <col min="16145" max="16145" width="6.25" style="2969" customWidth="1"/>
    <col min="16146" max="16146" width="7.875" style="2969" customWidth="1"/>
    <col min="16147" max="16384" width="9" style="2969"/>
  </cols>
  <sheetData>
    <row r="1" spans="1:18">
      <c r="A1" s="2969" t="s">
        <v>3132</v>
      </c>
      <c r="B1" s="2969" t="s">
        <v>3133</v>
      </c>
      <c r="C1" s="2969" t="s">
        <v>3134</v>
      </c>
      <c r="D1" s="2969" t="s">
        <v>3135</v>
      </c>
      <c r="E1" s="2969" t="s">
        <v>3136</v>
      </c>
      <c r="F1" s="2969" t="s">
        <v>3137</v>
      </c>
      <c r="G1" s="2969" t="s">
        <v>3138</v>
      </c>
      <c r="H1" s="2969" t="s">
        <v>3139</v>
      </c>
      <c r="I1" s="2969" t="s">
        <v>3140</v>
      </c>
      <c r="J1" s="2969" t="s">
        <v>3141</v>
      </c>
      <c r="K1" s="2969" t="s">
        <v>3142</v>
      </c>
      <c r="L1" s="2969" t="s">
        <v>3143</v>
      </c>
      <c r="M1" s="2969" t="s">
        <v>3144</v>
      </c>
      <c r="N1" s="2969" t="s">
        <v>3145</v>
      </c>
      <c r="O1" s="2969" t="s">
        <v>3146</v>
      </c>
      <c r="P1" s="2969" t="s">
        <v>3147</v>
      </c>
      <c r="Q1" s="2969" t="s">
        <v>3148</v>
      </c>
      <c r="R1" s="2969" t="s">
        <v>3149</v>
      </c>
    </row>
    <row r="2" spans="1:18" s="2970" customFormat="1" hidden="1">
      <c r="A2" s="2970" t="s">
        <v>3150</v>
      </c>
      <c r="B2" s="2970" t="s">
        <v>3151</v>
      </c>
      <c r="C2" s="2970" t="s">
        <v>3152</v>
      </c>
      <c r="D2" s="2970" t="s">
        <v>1331</v>
      </c>
      <c r="E2" s="2970" t="s">
        <v>3150</v>
      </c>
      <c r="F2" s="2970" t="s">
        <v>3153</v>
      </c>
      <c r="G2" s="2970" t="s">
        <v>3154</v>
      </c>
      <c r="H2" s="2970">
        <v>5645.04</v>
      </c>
      <c r="I2" s="2970">
        <v>1129.01</v>
      </c>
      <c r="J2" s="2970" t="s">
        <v>3155</v>
      </c>
      <c r="K2" s="2970" t="s">
        <v>3156</v>
      </c>
      <c r="L2" s="2970" t="s">
        <v>3157</v>
      </c>
      <c r="M2" s="2970" t="s">
        <v>3158</v>
      </c>
      <c r="N2" s="2970">
        <v>951</v>
      </c>
      <c r="O2" s="2970">
        <v>112.31</v>
      </c>
      <c r="P2" s="2970">
        <v>8423.2999999999993</v>
      </c>
      <c r="Q2" s="2970">
        <v>0</v>
      </c>
      <c r="R2" s="2970" t="s">
        <v>3159</v>
      </c>
    </row>
    <row r="3" spans="1:18">
      <c r="A3" s="2969" t="s">
        <v>3160</v>
      </c>
      <c r="B3" s="2969" t="s">
        <v>3151</v>
      </c>
      <c r="C3" s="2969" t="s">
        <v>3152</v>
      </c>
      <c r="D3" s="2969" t="s">
        <v>1331</v>
      </c>
      <c r="E3" s="2969" t="s">
        <v>3160</v>
      </c>
      <c r="F3" s="2969" t="s">
        <v>3161</v>
      </c>
      <c r="G3" s="2969" t="s">
        <v>3154</v>
      </c>
      <c r="H3" s="2969">
        <v>7959.8</v>
      </c>
      <c r="I3" s="2969">
        <v>27859.3</v>
      </c>
      <c r="J3" s="2969" t="s">
        <v>3162</v>
      </c>
      <c r="K3" s="2969" t="s">
        <v>3163</v>
      </c>
      <c r="L3" s="2969" t="s">
        <v>3164</v>
      </c>
      <c r="M3" s="2969" t="s">
        <v>3056</v>
      </c>
      <c r="N3" s="2969">
        <v>654</v>
      </c>
      <c r="O3" s="2969">
        <v>54.78</v>
      </c>
      <c r="P3" s="2969">
        <v>234.75</v>
      </c>
      <c r="Q3" s="2969">
        <v>0</v>
      </c>
      <c r="R3" s="2969" t="s">
        <v>3159</v>
      </c>
    </row>
    <row r="4" spans="1:18">
      <c r="A4" s="2969" t="s">
        <v>3160</v>
      </c>
      <c r="B4" s="2969" t="s">
        <v>3151</v>
      </c>
      <c r="C4" s="2969" t="s">
        <v>3152</v>
      </c>
      <c r="D4" s="2969" t="s">
        <v>1331</v>
      </c>
      <c r="E4" s="2969" t="s">
        <v>3160</v>
      </c>
      <c r="F4" s="2969" t="s">
        <v>3165</v>
      </c>
      <c r="G4" s="2969" t="s">
        <v>3154</v>
      </c>
      <c r="H4" s="2969">
        <v>7466.7</v>
      </c>
      <c r="I4" s="2969">
        <v>26133.45</v>
      </c>
      <c r="J4" s="2969" t="s">
        <v>3162</v>
      </c>
      <c r="K4" s="2969" t="s">
        <v>3163</v>
      </c>
      <c r="L4" s="2969" t="s">
        <v>3164</v>
      </c>
      <c r="M4" s="2969" t="s">
        <v>3056</v>
      </c>
      <c r="N4" s="2969">
        <v>614</v>
      </c>
      <c r="O4" s="2969">
        <v>54.82</v>
      </c>
      <c r="P4" s="2969">
        <v>234.94</v>
      </c>
      <c r="Q4" s="2969">
        <v>0</v>
      </c>
      <c r="R4" s="2969" t="s">
        <v>3159</v>
      </c>
    </row>
    <row r="5" spans="1:18">
      <c r="A5" s="2969" t="s">
        <v>3166</v>
      </c>
      <c r="B5" s="2969" t="s">
        <v>3151</v>
      </c>
      <c r="C5" s="2969" t="s">
        <v>3152</v>
      </c>
      <c r="D5" s="2969" t="s">
        <v>1331</v>
      </c>
      <c r="E5" s="2969" t="s">
        <v>3166</v>
      </c>
      <c r="F5" s="2969" t="s">
        <v>3167</v>
      </c>
      <c r="G5" s="2969" t="s">
        <v>3154</v>
      </c>
      <c r="H5" s="2969">
        <v>20513.169999999998</v>
      </c>
      <c r="I5" s="2969">
        <v>112822.44</v>
      </c>
      <c r="J5" s="2969" t="s">
        <v>3168</v>
      </c>
      <c r="K5" s="2969" t="s">
        <v>3169</v>
      </c>
      <c r="L5" s="2969" t="s">
        <v>3170</v>
      </c>
      <c r="M5" s="2969" t="s">
        <v>3056</v>
      </c>
      <c r="N5" s="2969">
        <v>1296</v>
      </c>
      <c r="O5" s="2969">
        <v>42.12</v>
      </c>
      <c r="P5" s="2969">
        <v>114.87</v>
      </c>
      <c r="Q5" s="2969">
        <v>0</v>
      </c>
      <c r="R5" s="2969" t="s">
        <v>3159</v>
      </c>
    </row>
    <row r="6" spans="1:18" s="2970" customFormat="1" hidden="1">
      <c r="A6" s="2970" t="s">
        <v>3171</v>
      </c>
      <c r="B6" s="2970" t="s">
        <v>3151</v>
      </c>
      <c r="C6" s="2970" t="s">
        <v>3152</v>
      </c>
      <c r="D6" s="2970" t="s">
        <v>1331</v>
      </c>
      <c r="E6" s="2970" t="s">
        <v>3171</v>
      </c>
      <c r="F6" s="2970" t="s">
        <v>3172</v>
      </c>
      <c r="G6" s="2970" t="s">
        <v>3154</v>
      </c>
      <c r="H6" s="2970">
        <v>8000</v>
      </c>
      <c r="I6" s="2970">
        <v>4000</v>
      </c>
      <c r="J6" s="2970" t="s">
        <v>3173</v>
      </c>
      <c r="K6" s="2970" t="s">
        <v>3174</v>
      </c>
      <c r="L6" s="2970" t="s">
        <v>3175</v>
      </c>
      <c r="M6" s="2970" t="s">
        <v>3176</v>
      </c>
      <c r="N6" s="2970">
        <v>554</v>
      </c>
      <c r="O6" s="2970">
        <v>46.17</v>
      </c>
      <c r="P6" s="2970">
        <v>1385</v>
      </c>
      <c r="Q6" s="2970">
        <v>0</v>
      </c>
      <c r="R6" s="2970" t="s">
        <v>3159</v>
      </c>
    </row>
    <row r="7" spans="1:18" s="2970" customFormat="1">
      <c r="A7" s="2970" t="s">
        <v>3177</v>
      </c>
      <c r="B7" s="2970" t="s">
        <v>3151</v>
      </c>
      <c r="C7" s="2970" t="s">
        <v>3152</v>
      </c>
      <c r="D7" s="2970" t="s">
        <v>1331</v>
      </c>
      <c r="E7" s="2970" t="s">
        <v>3177</v>
      </c>
      <c r="F7" s="2970" t="s">
        <v>3178</v>
      </c>
      <c r="G7" s="2970" t="s">
        <v>3154</v>
      </c>
      <c r="H7" s="2970">
        <v>2290.4</v>
      </c>
      <c r="I7" s="2970">
        <v>458.08</v>
      </c>
      <c r="J7" s="2970" t="s">
        <v>3179</v>
      </c>
      <c r="K7" s="2970" t="s">
        <v>3174</v>
      </c>
      <c r="L7" s="2970" t="s">
        <v>3180</v>
      </c>
      <c r="M7" s="2970" t="s">
        <v>3181</v>
      </c>
      <c r="N7" s="2970">
        <v>158</v>
      </c>
      <c r="O7" s="2970">
        <v>45.99</v>
      </c>
      <c r="P7" s="2970">
        <v>3449.17</v>
      </c>
      <c r="Q7" s="2970">
        <v>0</v>
      </c>
      <c r="R7" s="2970" t="s">
        <v>3159</v>
      </c>
    </row>
    <row r="8" spans="1:18">
      <c r="A8" s="2969" t="s">
        <v>3182</v>
      </c>
      <c r="B8" s="2969" t="s">
        <v>3151</v>
      </c>
      <c r="C8" s="2969" t="s">
        <v>3152</v>
      </c>
      <c r="D8" s="2969" t="s">
        <v>1331</v>
      </c>
      <c r="E8" s="2969" t="s">
        <v>3182</v>
      </c>
      <c r="F8" s="2969" t="s">
        <v>3183</v>
      </c>
      <c r="G8" s="2969" t="s">
        <v>3154</v>
      </c>
      <c r="H8" s="2969">
        <v>12533.1</v>
      </c>
      <c r="I8" s="2969">
        <v>50132.4</v>
      </c>
      <c r="J8" s="2969" t="s">
        <v>3184</v>
      </c>
      <c r="K8" s="2969" t="s">
        <v>3174</v>
      </c>
      <c r="L8" s="2969" t="s">
        <v>3185</v>
      </c>
      <c r="M8" s="2969" t="s">
        <v>3056</v>
      </c>
      <c r="N8" s="2969">
        <v>991</v>
      </c>
      <c r="O8" s="2969">
        <v>52.71</v>
      </c>
      <c r="P8" s="2969">
        <v>197.68</v>
      </c>
      <c r="Q8" s="2969">
        <v>0</v>
      </c>
      <c r="R8" s="2969" t="s">
        <v>3159</v>
      </c>
    </row>
    <row r="9" spans="1:18">
      <c r="A9" s="2969" t="s">
        <v>3186</v>
      </c>
      <c r="B9" s="2969" t="s">
        <v>3151</v>
      </c>
      <c r="C9" s="2969" t="s">
        <v>3152</v>
      </c>
      <c r="D9" s="2969" t="s">
        <v>1331</v>
      </c>
      <c r="E9" s="2969" t="s">
        <v>3186</v>
      </c>
      <c r="F9" s="2969" t="s">
        <v>3187</v>
      </c>
      <c r="G9" s="2969" t="s">
        <v>3154</v>
      </c>
      <c r="H9" s="2969">
        <v>5693.94</v>
      </c>
      <c r="I9" s="2969">
        <v>22775.759999999998</v>
      </c>
      <c r="J9" s="2969" t="s">
        <v>3184</v>
      </c>
      <c r="K9" s="2969" t="s">
        <v>3174</v>
      </c>
      <c r="L9" s="2969" t="s">
        <v>3185</v>
      </c>
      <c r="M9" s="2969" t="s">
        <v>3056</v>
      </c>
      <c r="N9" s="2969">
        <v>434</v>
      </c>
      <c r="O9" s="2969">
        <v>50.81</v>
      </c>
      <c r="P9" s="2969">
        <v>190.55</v>
      </c>
      <c r="Q9" s="2969">
        <v>0</v>
      </c>
      <c r="R9" s="2969" t="s">
        <v>3159</v>
      </c>
    </row>
    <row r="10" spans="1:18">
      <c r="A10" s="2969" t="s">
        <v>3188</v>
      </c>
      <c r="B10" s="2969" t="s">
        <v>3151</v>
      </c>
      <c r="C10" s="2969" t="s">
        <v>3152</v>
      </c>
      <c r="D10" s="2969" t="s">
        <v>1331</v>
      </c>
      <c r="E10" s="2969" t="s">
        <v>3188</v>
      </c>
      <c r="F10" s="2969" t="s">
        <v>3189</v>
      </c>
      <c r="G10" s="2969" t="s">
        <v>3154</v>
      </c>
      <c r="H10" s="2969">
        <v>48180.27</v>
      </c>
      <c r="I10" s="2969">
        <v>2312652.96</v>
      </c>
      <c r="J10" s="2969" t="s">
        <v>3190</v>
      </c>
      <c r="K10" s="2969" t="s">
        <v>3191</v>
      </c>
      <c r="L10" s="2969" t="s">
        <v>3192</v>
      </c>
      <c r="M10" s="2969" t="s">
        <v>3056</v>
      </c>
      <c r="N10" s="2969">
        <v>2949</v>
      </c>
      <c r="O10" s="2969">
        <v>40.81</v>
      </c>
      <c r="P10" s="2969">
        <v>12.75</v>
      </c>
      <c r="Q10" s="2969">
        <v>0</v>
      </c>
      <c r="R10" s="2969" t="s">
        <v>3159</v>
      </c>
    </row>
    <row r="11" spans="1:18">
      <c r="A11" s="2969" t="s">
        <v>3193</v>
      </c>
      <c r="B11" s="2969" t="s">
        <v>3151</v>
      </c>
      <c r="C11" s="2969" t="s">
        <v>3152</v>
      </c>
      <c r="D11" s="2969" t="s">
        <v>1331</v>
      </c>
      <c r="E11" s="2969" t="s">
        <v>3193</v>
      </c>
      <c r="F11" s="2969" t="s">
        <v>3194</v>
      </c>
      <c r="G11" s="2969" t="s">
        <v>3154</v>
      </c>
      <c r="H11" s="2969">
        <v>23552.23</v>
      </c>
      <c r="I11" s="2969">
        <v>45926.85</v>
      </c>
      <c r="J11" s="2969" t="s">
        <v>3195</v>
      </c>
      <c r="K11" s="2969" t="s">
        <v>3196</v>
      </c>
      <c r="L11" s="2969" t="s">
        <v>3197</v>
      </c>
      <c r="M11" s="2969" t="s">
        <v>3198</v>
      </c>
      <c r="N11" s="2969">
        <v>1044</v>
      </c>
      <c r="O11" s="2969">
        <v>29.55</v>
      </c>
      <c r="P11" s="2969">
        <v>227.31</v>
      </c>
      <c r="Q11" s="2969">
        <v>0</v>
      </c>
      <c r="R11" s="2969" t="s">
        <v>3159</v>
      </c>
    </row>
    <row r="12" spans="1:18">
      <c r="A12" s="2969" t="s">
        <v>3199</v>
      </c>
      <c r="B12" s="2969" t="s">
        <v>3151</v>
      </c>
      <c r="C12" s="2969" t="s">
        <v>3152</v>
      </c>
      <c r="D12" s="2969" t="s">
        <v>1331</v>
      </c>
      <c r="E12" s="2969" t="s">
        <v>3199</v>
      </c>
      <c r="F12" s="2969" t="s">
        <v>3200</v>
      </c>
      <c r="G12" s="2969" t="s">
        <v>3154</v>
      </c>
      <c r="H12" s="2969">
        <v>82968.12</v>
      </c>
      <c r="I12" s="2969">
        <v>456324.66</v>
      </c>
      <c r="J12" s="2969" t="s">
        <v>3168</v>
      </c>
      <c r="K12" s="2969" t="s">
        <v>3201</v>
      </c>
      <c r="L12" s="2969" t="s">
        <v>3202</v>
      </c>
      <c r="M12" s="2969" t="s">
        <v>3056</v>
      </c>
      <c r="N12" s="2969">
        <v>4350</v>
      </c>
      <c r="O12" s="2969">
        <v>34.950000000000003</v>
      </c>
      <c r="P12" s="2969">
        <v>95.32</v>
      </c>
      <c r="Q12" s="2969">
        <v>0</v>
      </c>
      <c r="R12" s="2969" t="s">
        <v>3159</v>
      </c>
    </row>
    <row r="13" spans="1:18">
      <c r="A13" s="2969" t="s">
        <v>3199</v>
      </c>
      <c r="B13" s="2969" t="s">
        <v>3151</v>
      </c>
      <c r="C13" s="2969" t="s">
        <v>3152</v>
      </c>
      <c r="D13" s="2969" t="s">
        <v>1331</v>
      </c>
      <c r="E13" s="2969" t="s">
        <v>3199</v>
      </c>
      <c r="F13" s="2969" t="s">
        <v>3203</v>
      </c>
      <c r="G13" s="2969" t="s">
        <v>3154</v>
      </c>
      <c r="H13" s="2969">
        <v>6956.1</v>
      </c>
      <c r="I13" s="2969">
        <v>38258.550000000003</v>
      </c>
      <c r="J13" s="2969" t="s">
        <v>3168</v>
      </c>
      <c r="K13" s="2969" t="s">
        <v>3201</v>
      </c>
      <c r="L13" s="2969" t="s">
        <v>3202</v>
      </c>
      <c r="M13" s="2969" t="s">
        <v>3056</v>
      </c>
      <c r="N13" s="2969">
        <v>388</v>
      </c>
      <c r="O13" s="2969">
        <v>37.19</v>
      </c>
      <c r="P13" s="2969">
        <v>101.42</v>
      </c>
      <c r="Q13" s="2969">
        <v>0</v>
      </c>
      <c r="R13" s="2969" t="s">
        <v>3159</v>
      </c>
    </row>
    <row r="14" spans="1:18" s="2972" customFormat="1">
      <c r="A14" s="2972" t="s">
        <v>3204</v>
      </c>
      <c r="B14" s="2972" t="s">
        <v>3151</v>
      </c>
      <c r="C14" s="2972" t="s">
        <v>3152</v>
      </c>
      <c r="D14" s="2972" t="s">
        <v>1331</v>
      </c>
      <c r="E14" s="2972" t="s">
        <v>3204</v>
      </c>
      <c r="F14" s="2972" t="s">
        <v>3205</v>
      </c>
      <c r="G14" s="2972" t="s">
        <v>3086</v>
      </c>
      <c r="H14" s="2972">
        <v>1803</v>
      </c>
      <c r="I14" s="2972">
        <v>1803</v>
      </c>
      <c r="J14" s="2972" t="s">
        <v>3206</v>
      </c>
      <c r="K14" s="2972" t="s">
        <v>3207</v>
      </c>
      <c r="L14" s="2972" t="s">
        <v>3208</v>
      </c>
      <c r="M14" s="2972" t="s">
        <v>3209</v>
      </c>
      <c r="N14" s="2972">
        <v>81</v>
      </c>
      <c r="O14" s="2972">
        <v>29.95</v>
      </c>
      <c r="P14" s="2972">
        <v>449.25</v>
      </c>
      <c r="Q14" s="2972">
        <v>0</v>
      </c>
      <c r="R14" s="2972" t="s">
        <v>3159</v>
      </c>
    </row>
    <row r="15" spans="1:18">
      <c r="A15" s="2969" t="s">
        <v>3210</v>
      </c>
      <c r="B15" s="2969" t="s">
        <v>3151</v>
      </c>
      <c r="C15" s="2969" t="s">
        <v>3152</v>
      </c>
      <c r="D15" s="2969" t="s">
        <v>1331</v>
      </c>
      <c r="E15" s="2969" t="s">
        <v>3210</v>
      </c>
      <c r="F15" s="2969" t="s">
        <v>3211</v>
      </c>
      <c r="G15" s="2969" t="s">
        <v>3154</v>
      </c>
      <c r="H15" s="2969">
        <v>67926.19</v>
      </c>
      <c r="I15" s="2969">
        <v>149437.62</v>
      </c>
      <c r="J15" s="2969" t="s">
        <v>3212</v>
      </c>
      <c r="K15" s="2969" t="s">
        <v>3213</v>
      </c>
      <c r="L15" s="2969" t="s">
        <v>3214</v>
      </c>
      <c r="M15" s="2969" t="s">
        <v>3215</v>
      </c>
      <c r="N15" s="2969">
        <v>13097</v>
      </c>
      <c r="O15" s="2969">
        <v>128.54</v>
      </c>
      <c r="P15" s="2969">
        <v>876.41</v>
      </c>
      <c r="Q15" s="2969">
        <v>0</v>
      </c>
      <c r="R15" s="2969" t="s">
        <v>3159</v>
      </c>
    </row>
    <row r="16" spans="1:18" s="2971" customFormat="1">
      <c r="A16" s="2971" t="s">
        <v>3216</v>
      </c>
      <c r="B16" s="2971" t="s">
        <v>3151</v>
      </c>
      <c r="C16" s="2971" t="s">
        <v>3152</v>
      </c>
      <c r="D16" s="2971" t="s">
        <v>1331</v>
      </c>
      <c r="E16" s="2971" t="s">
        <v>3216</v>
      </c>
      <c r="F16" s="2971" t="s">
        <v>3217</v>
      </c>
      <c r="G16" s="2971" t="s">
        <v>3154</v>
      </c>
      <c r="H16" s="2971">
        <v>98832.15</v>
      </c>
      <c r="I16" s="2971">
        <v>79065.72</v>
      </c>
      <c r="J16" s="2971" t="s">
        <v>3218</v>
      </c>
      <c r="K16" s="2971" t="s">
        <v>3219</v>
      </c>
      <c r="L16" s="2971" t="s">
        <v>3220</v>
      </c>
      <c r="M16" s="2971" t="s">
        <v>3221</v>
      </c>
      <c r="N16" s="2971">
        <v>6978</v>
      </c>
      <c r="O16" s="2971">
        <v>47.07</v>
      </c>
      <c r="P16" s="2971">
        <v>882.55</v>
      </c>
      <c r="Q16" s="2971">
        <v>0</v>
      </c>
      <c r="R16" s="2971" t="s">
        <v>3159</v>
      </c>
    </row>
    <row r="17" spans="1:18" s="2971" customFormat="1">
      <c r="A17" s="2971" t="s">
        <v>3222</v>
      </c>
      <c r="B17" s="2971" t="s">
        <v>3151</v>
      </c>
      <c r="C17" s="2971" t="s">
        <v>3152</v>
      </c>
      <c r="D17" s="2971" t="s">
        <v>1331</v>
      </c>
      <c r="E17" s="2971" t="s">
        <v>3222</v>
      </c>
      <c r="F17" s="2971" t="s">
        <v>3223</v>
      </c>
      <c r="G17" s="2971" t="s">
        <v>3154</v>
      </c>
      <c r="H17" s="2971">
        <v>18587.21</v>
      </c>
      <c r="I17" s="2971">
        <v>26022.09</v>
      </c>
      <c r="J17" s="2971" t="s">
        <v>3224</v>
      </c>
      <c r="K17" s="2971" t="s">
        <v>3225</v>
      </c>
      <c r="L17" s="2971" t="s">
        <v>3226</v>
      </c>
      <c r="M17" s="2971" t="s">
        <v>3227</v>
      </c>
      <c r="N17" s="2971">
        <v>1943</v>
      </c>
      <c r="O17" s="2971">
        <v>69.69</v>
      </c>
      <c r="P17" s="2971">
        <v>746.66</v>
      </c>
      <c r="Q17" s="2971">
        <v>0</v>
      </c>
      <c r="R17" s="2971" t="s">
        <v>3159</v>
      </c>
    </row>
    <row r="18" spans="1:18">
      <c r="A18" s="2969" t="s">
        <v>3228</v>
      </c>
      <c r="B18" s="2969" t="s">
        <v>3151</v>
      </c>
      <c r="C18" s="2969" t="s">
        <v>3152</v>
      </c>
      <c r="D18" s="2969" t="s">
        <v>1331</v>
      </c>
      <c r="E18" s="2969" t="s">
        <v>3228</v>
      </c>
      <c r="F18" s="2969" t="s">
        <v>3229</v>
      </c>
      <c r="G18" s="2969" t="s">
        <v>3154</v>
      </c>
      <c r="H18" s="2969">
        <v>134204</v>
      </c>
      <c r="I18" s="2969">
        <v>644179.19999999995</v>
      </c>
      <c r="J18" s="2969" t="s">
        <v>3230</v>
      </c>
      <c r="K18" s="2969" t="s">
        <v>3231</v>
      </c>
      <c r="L18" s="2969" t="s">
        <v>3232</v>
      </c>
      <c r="M18" s="2969" t="s">
        <v>3233</v>
      </c>
      <c r="N18" s="2969">
        <v>7086</v>
      </c>
      <c r="O18" s="2969">
        <v>35.200000000000003</v>
      </c>
      <c r="P18" s="2969">
        <v>110</v>
      </c>
      <c r="Q18" s="2969">
        <v>0</v>
      </c>
      <c r="R18" s="2969" t="s">
        <v>3159</v>
      </c>
    </row>
    <row r="19" spans="1:18">
      <c r="A19" s="2969" t="s">
        <v>3234</v>
      </c>
      <c r="B19" s="2969" t="s">
        <v>3151</v>
      </c>
      <c r="C19" s="2969" t="s">
        <v>3152</v>
      </c>
      <c r="D19" s="2969" t="s">
        <v>1331</v>
      </c>
      <c r="E19" s="2969" t="s">
        <v>3234</v>
      </c>
      <c r="F19" s="2969" t="s">
        <v>3235</v>
      </c>
      <c r="G19" s="2969" t="s">
        <v>3154</v>
      </c>
      <c r="H19" s="2969">
        <v>34225.33</v>
      </c>
      <c r="I19" s="2969">
        <v>164281.57999999999</v>
      </c>
      <c r="J19" s="2969" t="s">
        <v>3230</v>
      </c>
      <c r="K19" s="2969" t="s">
        <v>3231</v>
      </c>
      <c r="L19" s="2969" t="s">
        <v>3232</v>
      </c>
      <c r="M19" s="2969" t="s">
        <v>3233</v>
      </c>
      <c r="N19" s="2969">
        <v>2102</v>
      </c>
      <c r="O19" s="2969">
        <v>40.94</v>
      </c>
      <c r="P19" s="2969">
        <v>127.95</v>
      </c>
      <c r="Q19" s="2969">
        <v>0</v>
      </c>
      <c r="R19" s="2969" t="s">
        <v>3159</v>
      </c>
    </row>
    <row r="20" spans="1:18">
      <c r="A20" s="2969" t="s">
        <v>3236</v>
      </c>
      <c r="B20" s="2969" t="s">
        <v>3151</v>
      </c>
      <c r="C20" s="2969" t="s">
        <v>3152</v>
      </c>
      <c r="D20" s="2969" t="s">
        <v>1331</v>
      </c>
      <c r="E20" s="2969" t="s">
        <v>3236</v>
      </c>
      <c r="F20" s="2969" t="s">
        <v>3237</v>
      </c>
      <c r="G20" s="2969" t="s">
        <v>3154</v>
      </c>
      <c r="H20" s="2969">
        <v>18814.89</v>
      </c>
      <c r="I20" s="2969">
        <v>90311.47</v>
      </c>
      <c r="J20" s="2969" t="s">
        <v>3230</v>
      </c>
      <c r="K20" s="2969" t="s">
        <v>3231</v>
      </c>
      <c r="L20" s="2969" t="s">
        <v>3232</v>
      </c>
      <c r="M20" s="2969" t="s">
        <v>3233</v>
      </c>
      <c r="N20" s="2969">
        <v>1306</v>
      </c>
      <c r="O20" s="2969">
        <v>46.28</v>
      </c>
      <c r="P20" s="2969">
        <v>144.61000000000001</v>
      </c>
      <c r="Q20" s="2969">
        <v>0</v>
      </c>
      <c r="R20" s="2969" t="s">
        <v>3159</v>
      </c>
    </row>
    <row r="21" spans="1:18" s="2971" customFormat="1">
      <c r="A21" s="2971" t="s">
        <v>3150</v>
      </c>
      <c r="B21" s="2971" t="s">
        <v>3151</v>
      </c>
      <c r="C21" s="2971" t="s">
        <v>3152</v>
      </c>
      <c r="D21" s="2971" t="s">
        <v>1331</v>
      </c>
      <c r="E21" s="2971" t="s">
        <v>3150</v>
      </c>
      <c r="F21" s="2971" t="s">
        <v>3238</v>
      </c>
      <c r="G21" s="2971" t="s">
        <v>3154</v>
      </c>
      <c r="H21" s="2971">
        <v>53309.8</v>
      </c>
      <c r="I21" s="2971">
        <v>31985.88</v>
      </c>
      <c r="J21" s="2971" t="s">
        <v>3239</v>
      </c>
      <c r="K21" s="2971" t="s">
        <v>3240</v>
      </c>
      <c r="L21" s="2971" t="s">
        <v>3241</v>
      </c>
      <c r="M21" s="2971" t="s">
        <v>3242</v>
      </c>
      <c r="N21" s="2971">
        <v>2468</v>
      </c>
      <c r="O21" s="2971">
        <v>30.86</v>
      </c>
      <c r="P21" s="2971">
        <v>771.59</v>
      </c>
      <c r="Q21" s="2971">
        <v>0</v>
      </c>
      <c r="R21" s="2971" t="s">
        <v>3159</v>
      </c>
    </row>
    <row r="22" spans="1:18">
      <c r="A22" s="2969" t="s">
        <v>3243</v>
      </c>
      <c r="B22" s="2969" t="s">
        <v>3151</v>
      </c>
      <c r="C22" s="2969" t="s">
        <v>3152</v>
      </c>
      <c r="D22" s="2969" t="s">
        <v>1331</v>
      </c>
      <c r="E22" s="2969" t="s">
        <v>3243</v>
      </c>
      <c r="F22" s="2969" t="s">
        <v>3244</v>
      </c>
      <c r="G22" s="2969" t="s">
        <v>3154</v>
      </c>
      <c r="H22" s="2969">
        <v>78652.5</v>
      </c>
      <c r="I22" s="2969">
        <v>432588.75</v>
      </c>
      <c r="J22" s="2969" t="s">
        <v>3168</v>
      </c>
      <c r="K22" s="2969" t="s">
        <v>3245</v>
      </c>
      <c r="L22" s="2969" t="s">
        <v>3246</v>
      </c>
      <c r="M22" s="2969" t="s">
        <v>3247</v>
      </c>
      <c r="N22" s="2969">
        <v>3925</v>
      </c>
      <c r="O22" s="2969">
        <v>33.270000000000003</v>
      </c>
      <c r="P22" s="2969">
        <v>90.73</v>
      </c>
      <c r="Q22" s="2969">
        <v>0</v>
      </c>
      <c r="R22" s="2969" t="s">
        <v>3159</v>
      </c>
    </row>
    <row r="23" spans="1:18">
      <c r="A23" s="2969" t="s">
        <v>3243</v>
      </c>
      <c r="B23" s="2969" t="s">
        <v>3151</v>
      </c>
      <c r="C23" s="2969" t="s">
        <v>3152</v>
      </c>
      <c r="D23" s="2969" t="s">
        <v>1331</v>
      </c>
      <c r="E23" s="2969" t="s">
        <v>3243</v>
      </c>
      <c r="F23" s="2969" t="s">
        <v>3248</v>
      </c>
      <c r="G23" s="2969" t="s">
        <v>3154</v>
      </c>
      <c r="H23" s="2969">
        <v>18598.7</v>
      </c>
      <c r="I23" s="2969">
        <v>102292.85</v>
      </c>
      <c r="J23" s="2969" t="s">
        <v>3168</v>
      </c>
      <c r="K23" s="2969" t="s">
        <v>3245</v>
      </c>
      <c r="L23" s="2969" t="s">
        <v>3246</v>
      </c>
      <c r="M23" s="2969" t="s">
        <v>3247</v>
      </c>
      <c r="N23" s="2969">
        <v>938</v>
      </c>
      <c r="O23" s="2969">
        <v>33.619999999999997</v>
      </c>
      <c r="P23" s="2969">
        <v>91.7</v>
      </c>
      <c r="Q23" s="2969">
        <v>0</v>
      </c>
      <c r="R23" s="2969" t="s">
        <v>3159</v>
      </c>
    </row>
    <row r="24" spans="1:18">
      <c r="A24" s="2969" t="s">
        <v>3249</v>
      </c>
      <c r="B24" s="2969" t="s">
        <v>3151</v>
      </c>
      <c r="C24" s="2969" t="s">
        <v>3152</v>
      </c>
      <c r="D24" s="2969" t="s">
        <v>1331</v>
      </c>
      <c r="E24" s="2969" t="s">
        <v>3249</v>
      </c>
      <c r="F24" s="2969" t="s">
        <v>3250</v>
      </c>
      <c r="G24" s="2969" t="s">
        <v>3154</v>
      </c>
      <c r="H24" s="2969">
        <v>13470.52</v>
      </c>
      <c r="I24" s="2969">
        <v>21552.83</v>
      </c>
      <c r="J24" s="2969" t="s">
        <v>3251</v>
      </c>
      <c r="K24" s="2969" t="s">
        <v>3252</v>
      </c>
      <c r="L24" s="2969" t="s">
        <v>3253</v>
      </c>
      <c r="M24" s="2969" t="s">
        <v>3254</v>
      </c>
      <c r="N24" s="2969">
        <v>469</v>
      </c>
      <c r="O24" s="2969">
        <v>23.21</v>
      </c>
      <c r="P24" s="2969">
        <v>217.59</v>
      </c>
      <c r="Q24" s="2969">
        <v>0</v>
      </c>
      <c r="R24" s="2969" t="s">
        <v>3159</v>
      </c>
    </row>
    <row r="25" spans="1:18">
      <c r="A25" s="2969" t="s">
        <v>3255</v>
      </c>
      <c r="B25" s="2969" t="s">
        <v>3151</v>
      </c>
      <c r="C25" s="2969" t="s">
        <v>3152</v>
      </c>
      <c r="D25" s="2969" t="s">
        <v>1331</v>
      </c>
      <c r="E25" s="2969" t="s">
        <v>3255</v>
      </c>
      <c r="F25" s="2969" t="s">
        <v>3256</v>
      </c>
      <c r="G25" s="2969" t="s">
        <v>3154</v>
      </c>
      <c r="H25" s="2969">
        <v>9979.7999999999993</v>
      </c>
      <c r="I25" s="2969">
        <v>21955.56</v>
      </c>
      <c r="J25" s="2969" t="s">
        <v>3257</v>
      </c>
      <c r="K25" s="2969" t="s">
        <v>3258</v>
      </c>
      <c r="L25" s="2969" t="s">
        <v>3259</v>
      </c>
      <c r="M25" s="2969" t="s">
        <v>3260</v>
      </c>
      <c r="N25" s="2969">
        <v>1848</v>
      </c>
      <c r="O25" s="2969">
        <v>123.45</v>
      </c>
      <c r="P25" s="2969">
        <v>841.7</v>
      </c>
      <c r="Q25" s="2969">
        <v>0</v>
      </c>
      <c r="R25" s="2969" t="s">
        <v>3159</v>
      </c>
    </row>
    <row r="26" spans="1:18">
      <c r="A26" s="2969" t="s">
        <v>3261</v>
      </c>
      <c r="B26" s="2969" t="s">
        <v>3151</v>
      </c>
      <c r="C26" s="2969" t="s">
        <v>3152</v>
      </c>
      <c r="D26" s="2969" t="s">
        <v>1331</v>
      </c>
      <c r="E26" s="2969" t="s">
        <v>3261</v>
      </c>
      <c r="F26" s="2969" t="s">
        <v>3262</v>
      </c>
      <c r="G26" s="2969" t="s">
        <v>3154</v>
      </c>
      <c r="H26" s="2969">
        <v>39998.11</v>
      </c>
      <c r="I26" s="2969">
        <v>59997.17</v>
      </c>
      <c r="J26" s="2969" t="s">
        <v>3263</v>
      </c>
      <c r="K26" s="2969" t="s">
        <v>3264</v>
      </c>
      <c r="L26" s="2969" t="s">
        <v>3265</v>
      </c>
      <c r="M26" s="2969" t="s">
        <v>3266</v>
      </c>
      <c r="N26" s="2969">
        <v>3408</v>
      </c>
      <c r="O26" s="2969">
        <v>56.8</v>
      </c>
      <c r="P26" s="2969">
        <v>568.02</v>
      </c>
      <c r="Q26" s="2969">
        <v>0</v>
      </c>
      <c r="R26" s="2969" t="s">
        <v>3159</v>
      </c>
    </row>
    <row r="27" spans="1:18" s="2970" customFormat="1" hidden="1">
      <c r="A27" s="2970" t="s">
        <v>3267</v>
      </c>
      <c r="B27" s="2970" t="s">
        <v>3151</v>
      </c>
      <c r="C27" s="2970" t="s">
        <v>3152</v>
      </c>
      <c r="D27" s="2970" t="s">
        <v>1331</v>
      </c>
      <c r="E27" s="2970" t="s">
        <v>3267</v>
      </c>
      <c r="F27" s="2970" t="s">
        <v>3268</v>
      </c>
      <c r="G27" s="2970" t="s">
        <v>3154</v>
      </c>
      <c r="H27" s="2970">
        <v>5534.52</v>
      </c>
      <c r="I27" s="2970">
        <v>1106.9000000000001</v>
      </c>
      <c r="J27" s="2970" t="s">
        <v>3269</v>
      </c>
      <c r="K27" s="2970" t="s">
        <v>3270</v>
      </c>
      <c r="L27" s="2970" t="s">
        <v>3271</v>
      </c>
      <c r="M27" s="2970" t="s">
        <v>3272</v>
      </c>
      <c r="N27" s="2970">
        <v>663</v>
      </c>
      <c r="O27" s="2970">
        <v>79.86</v>
      </c>
      <c r="P27" s="2970">
        <v>5989.69</v>
      </c>
      <c r="Q27" s="2970">
        <v>0</v>
      </c>
      <c r="R27" s="2970" t="s">
        <v>3159</v>
      </c>
    </row>
    <row r="28" spans="1:18" s="2970" customFormat="1" hidden="1">
      <c r="A28" s="2970" t="s">
        <v>3273</v>
      </c>
      <c r="B28" s="2970" t="s">
        <v>3151</v>
      </c>
      <c r="C28" s="2970" t="s">
        <v>3152</v>
      </c>
      <c r="D28" s="2970" t="s">
        <v>1331</v>
      </c>
      <c r="E28" s="2970" t="s">
        <v>3273</v>
      </c>
      <c r="F28" s="2970" t="s">
        <v>3274</v>
      </c>
      <c r="G28" s="2970" t="s">
        <v>3275</v>
      </c>
      <c r="H28" s="2970">
        <v>11159.15</v>
      </c>
      <c r="I28" s="2970">
        <v>3347.75</v>
      </c>
      <c r="J28" s="2970" t="s">
        <v>3276</v>
      </c>
      <c r="K28" s="2970" t="s">
        <v>3270</v>
      </c>
      <c r="L28" s="2970" t="s">
        <v>3271</v>
      </c>
      <c r="M28" s="2970" t="s">
        <v>3277</v>
      </c>
      <c r="N28" s="2970">
        <v>1697</v>
      </c>
      <c r="O28" s="2970">
        <v>101.38</v>
      </c>
      <c r="P28" s="2970">
        <v>5069.07</v>
      </c>
      <c r="Q28" s="2970">
        <v>121.25</v>
      </c>
      <c r="R28" s="2970" t="s">
        <v>3159</v>
      </c>
    </row>
    <row r="29" spans="1:18" s="2970" customFormat="1" hidden="1">
      <c r="A29" s="2970" t="s">
        <v>3278</v>
      </c>
      <c r="B29" s="2970" t="s">
        <v>3151</v>
      </c>
      <c r="C29" s="2970" t="s">
        <v>3152</v>
      </c>
      <c r="D29" s="2970" t="s">
        <v>1331</v>
      </c>
      <c r="E29" s="2970" t="s">
        <v>3278</v>
      </c>
      <c r="F29" s="2970" t="s">
        <v>3279</v>
      </c>
      <c r="G29" s="2970" t="s">
        <v>3154</v>
      </c>
      <c r="H29" s="2970">
        <v>1999.89</v>
      </c>
      <c r="I29" s="2970">
        <v>399.98</v>
      </c>
      <c r="J29" s="2970" t="s">
        <v>3179</v>
      </c>
      <c r="K29" s="2970" t="s">
        <v>3280</v>
      </c>
      <c r="L29" s="2970" t="s">
        <v>3281</v>
      </c>
      <c r="M29" s="2970" t="s">
        <v>3282</v>
      </c>
      <c r="N29" s="2970">
        <v>134</v>
      </c>
      <c r="O29" s="2970">
        <v>44.67</v>
      </c>
      <c r="P29" s="2970">
        <v>3350.17</v>
      </c>
      <c r="Q29" s="2970">
        <v>0</v>
      </c>
      <c r="R29" s="2970" t="s">
        <v>3159</v>
      </c>
    </row>
    <row r="30" spans="1:18">
      <c r="A30" s="2969" t="s">
        <v>3283</v>
      </c>
      <c r="B30" s="2969" t="s">
        <v>3151</v>
      </c>
      <c r="C30" s="2969" t="s">
        <v>3152</v>
      </c>
      <c r="D30" s="2969" t="s">
        <v>1331</v>
      </c>
      <c r="E30" s="2969" t="s">
        <v>3283</v>
      </c>
      <c r="F30" s="2969" t="s">
        <v>3284</v>
      </c>
      <c r="G30" s="2969" t="s">
        <v>3154</v>
      </c>
      <c r="H30" s="2969">
        <v>69191.199999999997</v>
      </c>
      <c r="I30" s="2969">
        <v>138382.39999999999</v>
      </c>
      <c r="J30" s="2969" t="s">
        <v>3285</v>
      </c>
      <c r="K30" s="2969" t="s">
        <v>3286</v>
      </c>
      <c r="L30" s="2969" t="s">
        <v>3287</v>
      </c>
      <c r="M30" s="2969" t="s">
        <v>3288</v>
      </c>
      <c r="N30" s="2969">
        <v>4581</v>
      </c>
      <c r="O30" s="2969">
        <v>44.14</v>
      </c>
      <c r="P30" s="2969">
        <v>331.04</v>
      </c>
      <c r="Q30" s="2969">
        <v>0</v>
      </c>
      <c r="R30" s="2969" t="s">
        <v>3159</v>
      </c>
    </row>
    <row r="31" spans="1:18">
      <c r="A31" s="2969" t="s">
        <v>3289</v>
      </c>
      <c r="B31" s="2969" t="s">
        <v>3151</v>
      </c>
      <c r="C31" s="2969" t="s">
        <v>3152</v>
      </c>
      <c r="D31" s="2969" t="s">
        <v>1331</v>
      </c>
      <c r="E31" s="2969" t="s">
        <v>3289</v>
      </c>
      <c r="F31" s="2969" t="s">
        <v>3290</v>
      </c>
      <c r="G31" s="2969" t="s">
        <v>3154</v>
      </c>
      <c r="H31" s="2969">
        <v>69234.87</v>
      </c>
      <c r="I31" s="2969">
        <v>138469.74</v>
      </c>
      <c r="J31" s="2969" t="s">
        <v>3285</v>
      </c>
      <c r="K31" s="2969" t="s">
        <v>3286</v>
      </c>
      <c r="L31" s="2969" t="s">
        <v>3287</v>
      </c>
      <c r="M31" s="2969" t="s">
        <v>3288</v>
      </c>
      <c r="N31" s="2969">
        <v>4639</v>
      </c>
      <c r="O31" s="2969">
        <v>44.67</v>
      </c>
      <c r="P31" s="2969">
        <v>335.01</v>
      </c>
      <c r="Q31" s="2969">
        <v>0</v>
      </c>
      <c r="R31" s="2969" t="s">
        <v>3159</v>
      </c>
    </row>
    <row r="32" spans="1:18">
      <c r="A32" s="2969" t="s">
        <v>3291</v>
      </c>
      <c r="B32" s="2969" t="s">
        <v>3151</v>
      </c>
      <c r="C32" s="2969" t="s">
        <v>3152</v>
      </c>
      <c r="D32" s="2969" t="s">
        <v>1331</v>
      </c>
      <c r="E32" s="2969" t="s">
        <v>3291</v>
      </c>
      <c r="F32" s="2969" t="s">
        <v>3292</v>
      </c>
      <c r="G32" s="2969" t="s">
        <v>3154</v>
      </c>
      <c r="H32" s="2969">
        <v>61415.47</v>
      </c>
      <c r="I32" s="2969">
        <v>122830.94</v>
      </c>
      <c r="J32" s="2969" t="s">
        <v>3285</v>
      </c>
      <c r="K32" s="2969" t="s">
        <v>3286</v>
      </c>
      <c r="L32" s="2969" t="s">
        <v>3287</v>
      </c>
      <c r="M32" s="2969" t="s">
        <v>3288</v>
      </c>
      <c r="N32" s="2969">
        <v>4066</v>
      </c>
      <c r="O32" s="2969">
        <v>44.14</v>
      </c>
      <c r="P32" s="2969">
        <v>331.01</v>
      </c>
      <c r="Q32" s="2969">
        <v>0</v>
      </c>
      <c r="R32" s="2969" t="s">
        <v>3159</v>
      </c>
    </row>
    <row r="33" spans="1:18">
      <c r="A33" s="2969" t="s">
        <v>3293</v>
      </c>
      <c r="B33" s="2969" t="s">
        <v>3151</v>
      </c>
      <c r="C33" s="2969" t="s">
        <v>3152</v>
      </c>
      <c r="D33" s="2969" t="s">
        <v>1331</v>
      </c>
      <c r="E33" s="2969" t="s">
        <v>3293</v>
      </c>
      <c r="F33" s="2969" t="s">
        <v>3294</v>
      </c>
      <c r="G33" s="2969" t="s">
        <v>3295</v>
      </c>
      <c r="H33" s="2969">
        <v>40000</v>
      </c>
      <c r="I33" s="2969">
        <v>32000</v>
      </c>
      <c r="J33" s="2969" t="s">
        <v>3296</v>
      </c>
      <c r="K33" s="2969" t="s">
        <v>3297</v>
      </c>
      <c r="L33" s="2969" t="s">
        <v>3298</v>
      </c>
      <c r="M33" s="2969" t="s">
        <v>3299</v>
      </c>
      <c r="N33" s="2969">
        <v>3105</v>
      </c>
      <c r="O33" s="2969">
        <v>51.75</v>
      </c>
      <c r="P33" s="2969">
        <v>970.3</v>
      </c>
      <c r="Q33" s="2969">
        <v>0</v>
      </c>
      <c r="R33" s="2969" t="s">
        <v>3159</v>
      </c>
    </row>
    <row r="37" spans="1:18">
      <c r="L37" s="2969">
        <f>80000/666</f>
        <v>120.12012012012012</v>
      </c>
      <c r="M37" s="2969">
        <v>50</v>
      </c>
      <c r="N37" s="2969">
        <f>M37*L37</f>
        <v>6006.0060060060059</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7" sqref="F1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2526</v>
      </c>
      <c r="B1" s="2565"/>
      <c r="C1" s="2565"/>
      <c r="D1" s="2565"/>
      <c r="E1" s="2566"/>
    </row>
    <row r="2" spans="1:6" ht="15.75">
      <c r="A2" s="2567" t="s">
        <v>2327</v>
      </c>
      <c r="B2" s="2568">
        <f ca="1">SUMIF(B6:B13,"&lt;&gt;#ref!",B6:B13)</f>
        <v>8376</v>
      </c>
      <c r="C2" s="2569" t="s">
        <v>2519</v>
      </c>
      <c r="D2" s="2570" t="s">
        <v>2520</v>
      </c>
      <c r="E2" s="2571">
        <f>SUM(E6:E13)</f>
        <v>8062.31</v>
      </c>
    </row>
    <row r="3" spans="1:6" ht="15.75">
      <c r="A3" s="2567" t="s">
        <v>1395</v>
      </c>
      <c r="B3" s="2568">
        <f ca="1">ROUND(B2*10000/E2,0)</f>
        <v>10389</v>
      </c>
      <c r="C3" s="2569" t="s">
        <v>2527</v>
      </c>
      <c r="D3" s="2572"/>
      <c r="E3" s="2573"/>
    </row>
    <row r="4" spans="1:6" ht="15.75">
      <c r="A4" s="2574"/>
      <c r="B4" s="2572"/>
      <c r="C4" s="2572"/>
      <c r="D4" s="2572"/>
      <c r="E4" s="2573"/>
    </row>
    <row r="5" spans="1:6" ht="15">
      <c r="A5" s="2575" t="s">
        <v>2521</v>
      </c>
      <c r="B5" s="3205" t="s">
        <v>2522</v>
      </c>
      <c r="C5" s="3205"/>
      <c r="D5" s="2576"/>
      <c r="E5" s="2577" t="s">
        <v>2523</v>
      </c>
      <c r="F5" s="2578" t="s">
        <v>2524</v>
      </c>
    </row>
    <row r="6" spans="1:6">
      <c r="A6" s="2579" t="str">
        <f>'数据-取费表'!AN6</f>
        <v>收益法（酒店）</v>
      </c>
      <c r="B6" s="2578">
        <f ca="1">IF(F6="是",'数据-取费表'!AO6,0)</f>
        <v>5605</v>
      </c>
      <c r="C6" s="2569" t="s">
        <v>2519</v>
      </c>
      <c r="D6" s="2572"/>
      <c r="E6" s="2580">
        <f>IF(OR(A6=0,F6="否"),0,'数据-取费表'!K6+'数据-取费表'!S6)</f>
        <v>5393.59</v>
      </c>
      <c r="F6" s="2581" t="s">
        <v>2525</v>
      </c>
    </row>
    <row r="7" spans="1:6">
      <c r="A7" s="2579" t="str">
        <f>'数据-取费表'!AN7</f>
        <v>收益法（独栋）</v>
      </c>
      <c r="B7" s="2578">
        <f ca="1">IF(F7="是",'数据-取费表'!AO7,0)</f>
        <v>2771</v>
      </c>
      <c r="C7" s="2569" t="s">
        <v>2519</v>
      </c>
      <c r="D7" s="2572"/>
      <c r="E7" s="2580">
        <f>IF(OR(A7=0,F7="否"),0,'数据-取费表'!K7+'数据-取费表'!S7)</f>
        <v>2668.7200000000003</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J51" sqref="J5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3108</v>
      </c>
      <c r="D1" s="1822" t="s">
        <v>70</v>
      </c>
      <c r="E1" s="1823" t="s">
        <v>1387</v>
      </c>
      <c r="F1" s="1286">
        <f ca="1">J53</f>
        <v>33.51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5605</v>
      </c>
      <c r="C2" s="1847" t="s">
        <v>1516</v>
      </c>
      <c r="D2" s="1847"/>
      <c r="E2" s="1848"/>
      <c r="F2" s="1849"/>
      <c r="G2" s="1850"/>
      <c r="H2" s="1842"/>
      <c r="I2" s="1842"/>
      <c r="J2" s="1842"/>
      <c r="K2" s="1843"/>
      <c r="L2" s="1842"/>
      <c r="M2" s="1842"/>
    </row>
    <row r="3" spans="1:37" ht="18" customHeight="1" thickBot="1">
      <c r="A3" s="1851" t="s">
        <v>1517</v>
      </c>
      <c r="B3" s="1852">
        <f ca="1">IF(ISERROR(B2*10000/F43),0,ROUND(B2*10000/F43,0))</f>
        <v>10392</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461</v>
      </c>
      <c r="D5" s="1824" t="s">
        <v>1402</v>
      </c>
      <c r="E5" s="1296"/>
      <c r="F5" s="1297"/>
      <c r="G5" s="1853"/>
      <c r="H5" s="344">
        <v>1</v>
      </c>
      <c r="I5" s="345" t="s">
        <v>1401</v>
      </c>
      <c r="J5" s="1295">
        <f ca="1">J6+J10+J12</f>
        <v>0</v>
      </c>
      <c r="K5" s="1824" t="s">
        <v>1402</v>
      </c>
      <c r="L5" s="1296"/>
      <c r="M5" s="1297"/>
    </row>
    <row r="6" spans="1:37" ht="18" customHeight="1">
      <c r="A6" s="1294" t="s">
        <v>1035</v>
      </c>
      <c r="B6" s="3208" t="s">
        <v>1403</v>
      </c>
      <c r="C6" s="1299">
        <f ca="1">ROUND(F6*F8*F7*(1-F9)/10000,0)</f>
        <v>461</v>
      </c>
      <c r="D6" s="164" t="s">
        <v>3032</v>
      </c>
      <c r="E6" s="347" t="s">
        <v>1405</v>
      </c>
      <c r="F6" s="348">
        <f ca="1">INDIRECT("'数据-取费表'!u"&amp;$G$1)</f>
        <v>2.6</v>
      </c>
      <c r="G6" s="1853"/>
      <c r="H6" s="1294" t="s">
        <v>1035</v>
      </c>
      <c r="I6" s="3208" t="s">
        <v>1403</v>
      </c>
      <c r="J6" s="346">
        <f ca="1">ROUND(M6*M8*M7*(1-M9)/10000,0)</f>
        <v>0</v>
      </c>
      <c r="K6" s="164" t="s">
        <v>3031</v>
      </c>
      <c r="L6" s="347" t="s">
        <v>1405</v>
      </c>
      <c r="M6" s="348">
        <f ca="1">INDIRECT("'数据-取费表'!z"&amp;$G$1)</f>
        <v>0</v>
      </c>
    </row>
    <row r="7" spans="1:37" ht="18" customHeight="1">
      <c r="A7" s="1298"/>
      <c r="B7" s="3209"/>
      <c r="C7" s="1300"/>
      <c r="D7" s="352"/>
      <c r="E7" s="1301" t="s">
        <v>1406</v>
      </c>
      <c r="F7" s="348">
        <f ca="1">IF(INDIRECT("'数据-取费表'!ah"&amp;$G$1)="",INDIRECT("'数据-取费表'!k"&amp;$G$1),INDIRECT("'数据-取费表'!ah"&amp;$G$1))</f>
        <v>5393.59</v>
      </c>
      <c r="G7" s="1853"/>
      <c r="H7" s="349"/>
      <c r="I7" s="3209"/>
      <c r="J7" s="351"/>
      <c r="K7" s="352"/>
      <c r="L7" s="347" t="s">
        <v>1406</v>
      </c>
      <c r="M7" s="348">
        <f ca="1">F7</f>
        <v>5393.59</v>
      </c>
    </row>
    <row r="8" spans="1:37" ht="18" customHeight="1">
      <c r="A8" s="349"/>
      <c r="B8" s="3209"/>
      <c r="C8" s="351"/>
      <c r="D8" s="352"/>
      <c r="E8" s="347" t="s">
        <v>1407</v>
      </c>
      <c r="F8" s="348">
        <f ca="1">INDIRECT("'数据-取费表'!ai"&amp;$G$1)</f>
        <v>365</v>
      </c>
      <c r="G8" s="1853"/>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53"/>
      <c r="H9" s="349"/>
      <c r="I9" s="321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4280</v>
      </c>
      <c r="D13" s="1334" t="s">
        <v>1415</v>
      </c>
      <c r="E13" s="1334" t="s">
        <v>1416</v>
      </c>
      <c r="F13" s="1335">
        <f ca="1">INDIRECT("'数据-取费表'!y"&amp;$G$1)</f>
        <v>0.9</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2697</v>
      </c>
      <c r="D14" s="1802" t="s">
        <v>1418</v>
      </c>
      <c r="E14" s="1796"/>
      <c r="F14" s="364"/>
      <c r="G14" s="1853"/>
      <c r="H14" s="1204" t="s">
        <v>1035</v>
      </c>
      <c r="I14" s="347" t="s">
        <v>1419</v>
      </c>
      <c r="J14" s="24">
        <f ca="1">C29</f>
        <v>4756</v>
      </c>
      <c r="K14" s="15"/>
      <c r="L14" s="982"/>
      <c r="M14" s="983"/>
    </row>
    <row r="15" spans="1:37" s="1860" customFormat="1" ht="18" customHeight="1" thickBot="1">
      <c r="A15" s="1204" t="s">
        <v>1036</v>
      </c>
      <c r="B15" s="347" t="s">
        <v>1420</v>
      </c>
      <c r="C15" s="24">
        <f ca="1">ROUND(C14*F15,0)</f>
        <v>135</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144</v>
      </c>
      <c r="K16" s="1340" t="s">
        <v>1425</v>
      </c>
      <c r="L16" s="1341"/>
      <c r="M16" s="1297"/>
    </row>
    <row r="17" spans="1:37" s="1860" customFormat="1" ht="18" customHeight="1">
      <c r="A17" s="1204" t="s">
        <v>1390</v>
      </c>
      <c r="B17" s="347" t="s">
        <v>1426</v>
      </c>
      <c r="C17" s="24">
        <f ca="1">ROUND(F17*(F43+INDIRECT("'数据-取费表'!S"&amp;$G$1))/10000,0)</f>
        <v>270</v>
      </c>
      <c r="D17" s="347" t="s">
        <v>1427</v>
      </c>
      <c r="E17" s="347" t="s">
        <v>1428</v>
      </c>
      <c r="F17" s="26">
        <f>'数据-取费表'!B35</f>
        <v>500</v>
      </c>
      <c r="G17" s="1856"/>
      <c r="H17" s="1204" t="s">
        <v>1035</v>
      </c>
      <c r="I17" s="347" t="s">
        <v>1429</v>
      </c>
      <c r="J17" s="24">
        <f ca="1">ROUND(IF(项目基本情况!B11="自然人",J5*M17,J18+J19+J20),1)</f>
        <v>72.5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3142</v>
      </c>
      <c r="D19" s="140" t="s">
        <v>1436</v>
      </c>
      <c r="E19" s="1820"/>
      <c r="F19" s="26"/>
      <c r="G19" s="1853"/>
      <c r="H19" s="1204" t="s">
        <v>1036</v>
      </c>
      <c r="I19" s="347" t="s">
        <v>1437</v>
      </c>
      <c r="J19" s="24">
        <f ca="1">IF(K19="按租金收入计税",ROUND(J5*M19,2),ROUND(C29*M19*0.7,2))</f>
        <v>39.950000000000003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94</v>
      </c>
      <c r="D20" s="369" t="s">
        <v>1440</v>
      </c>
      <c r="E20" s="347" t="s">
        <v>1422</v>
      </c>
      <c r="F20" s="367">
        <f>'数据-取费表'!B37</f>
        <v>0.03</v>
      </c>
      <c r="G20" s="1856"/>
      <c r="H20" s="1204" t="s">
        <v>1389</v>
      </c>
      <c r="I20" s="164" t="s">
        <v>1441</v>
      </c>
      <c r="J20" s="25">
        <f ca="1">ROUND(M20*M21/10000,2)</f>
        <v>32.549999999999997</v>
      </c>
      <c r="K20" s="370" t="s">
        <v>1442</v>
      </c>
      <c r="L20" s="347" t="s">
        <v>1443</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0.05</v>
      </c>
      <c r="G21" s="1856"/>
      <c r="H21" s="372"/>
      <c r="I21" s="356"/>
      <c r="J21" s="29"/>
      <c r="K21" s="373"/>
      <c r="L21" s="347" t="s">
        <v>1447</v>
      </c>
      <c r="M21" s="348">
        <f ca="1">INDIRECT("'数据-取费表'!r"&amp;$G$1)</f>
        <v>54251.8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71.3</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153</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2.3999999999999998E-3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-144</v>
      </c>
      <c r="K25" s="1348" t="s">
        <v>1464</v>
      </c>
      <c r="L25" s="1349"/>
      <c r="M25" s="1350"/>
    </row>
    <row r="26" spans="1:37">
      <c r="A26" s="1204" t="s">
        <v>1034</v>
      </c>
      <c r="B26" s="347" t="s">
        <v>1465</v>
      </c>
      <c r="C26" s="24">
        <f ca="1">ROUND((C19+C20)*F26,0)</f>
        <v>809</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1.2500000000000001E-2</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4756</v>
      </c>
      <c r="D29" s="1345"/>
      <c r="E29" s="1343"/>
      <c r="F29" s="1346"/>
      <c r="G29" s="1856"/>
      <c r="H29" s="380" t="s">
        <v>1033</v>
      </c>
      <c r="I29" s="381" t="s">
        <v>1479</v>
      </c>
      <c r="J29" s="382">
        <f ca="1">ROUND(J26/(1+F40)^F41,0)</f>
        <v>0</v>
      </c>
      <c r="K29" s="383" t="s">
        <v>1480</v>
      </c>
      <c r="L29" s="384"/>
      <c r="M29" s="385">
        <f ca="1">INDIRECT("'数据-取费表'!k"&amp;$G$1)</f>
        <v>5393.59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194</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112</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24.15</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55.32</v>
      </c>
      <c r="D33" s="1830" t="s">
        <v>3116</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32.549999999999997</v>
      </c>
      <c r="D34" s="370" t="s">
        <v>1442</v>
      </c>
      <c r="E34" s="347" t="s">
        <v>1443</v>
      </c>
      <c r="F34" s="371">
        <f>'数据-取费表'!B52</f>
        <v>6</v>
      </c>
      <c r="G34" s="1853"/>
      <c r="H34" s="745"/>
      <c r="I34" s="1862"/>
      <c r="J34" s="1863"/>
      <c r="K34" s="1865"/>
      <c r="L34" s="1866"/>
      <c r="M34" s="1866"/>
    </row>
    <row r="35" spans="1:18" ht="18" customHeight="1">
      <c r="A35" s="1356"/>
      <c r="B35" s="1354"/>
      <c r="C35" s="29"/>
      <c r="D35" s="373"/>
      <c r="E35" s="347" t="s">
        <v>1447</v>
      </c>
      <c r="F35" s="348">
        <f ca="1">INDIRECT("'数据-取费表'!r"&amp;$G$1)</f>
        <v>54251.8</v>
      </c>
      <c r="G35" s="1853"/>
      <c r="H35" s="745"/>
      <c r="I35" s="1862"/>
      <c r="J35" s="1863"/>
      <c r="K35" s="1864"/>
      <c r="L35" s="1861"/>
      <c r="M35" s="1861"/>
    </row>
    <row r="36" spans="1:18" ht="18" customHeight="1">
      <c r="A36" s="1355" t="s">
        <v>1039</v>
      </c>
      <c r="B36" s="347" t="s">
        <v>1449</v>
      </c>
      <c r="C36" s="24">
        <f ca="1">ROUND(C29*F36,1)</f>
        <v>71.3</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6.4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4.5999999999999996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267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5499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33.51</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10195</v>
      </c>
      <c r="D43" s="383" t="s">
        <v>1488</v>
      </c>
      <c r="E43" s="384" t="s">
        <v>1489</v>
      </c>
      <c r="F43" s="385">
        <f ca="1">INDIRECT("'数据-取费表'!k"&amp;$G$1)</f>
        <v>5393.59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-12793</v>
      </c>
      <c r="D46" s="1874" t="str">
        <f>C2</f>
        <v>万元</v>
      </c>
      <c r="E46" s="1868"/>
      <c r="F46" s="1868"/>
      <c r="I46" s="1875" t="s">
        <v>1521</v>
      </c>
      <c r="J46" s="1876"/>
      <c r="K46" s="1877"/>
      <c r="L46" s="1878">
        <f ca="1">IF(M47="住宅",0,IF(L48&gt;J51,L60,J60))</f>
        <v>106</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3113</v>
      </c>
      <c r="K47" s="1884" t="s">
        <v>1527</v>
      </c>
      <c r="L47" s="1885">
        <f ca="1">INDIRECT("'数据-取费表'!d"&amp;$G$1)</f>
        <v>40</v>
      </c>
      <c r="M47" s="1840" t="str">
        <f>IF(ISNUMBER(FIND("住宅",C1)),"住宅","非住宅")</f>
        <v>非住宅</v>
      </c>
      <c r="O47" s="1886" t="s">
        <v>1040</v>
      </c>
      <c r="P47" s="1887" t="s">
        <v>1528</v>
      </c>
      <c r="Q47" s="1888">
        <f ca="1">C40+J29</f>
        <v>5499</v>
      </c>
      <c r="R47" s="1888" t="s">
        <v>1529</v>
      </c>
    </row>
    <row r="48" spans="1:18" s="1844" customFormat="1" ht="28.5" thickBot="1">
      <c r="A48" s="1363" t="s">
        <v>1135</v>
      </c>
      <c r="B48" s="345" t="s">
        <v>1401</v>
      </c>
      <c r="C48" s="1819">
        <f ca="1">C49+C53+C55</f>
        <v>0</v>
      </c>
      <c r="D48" s="1365"/>
      <c r="E48" s="1366"/>
      <c r="F48" s="1184"/>
      <c r="G48" s="792"/>
      <c r="H48" s="793"/>
      <c r="I48" s="1889" t="s">
        <v>1530</v>
      </c>
      <c r="J48" s="1890" t="s">
        <v>3114</v>
      </c>
      <c r="K48" s="1891" t="s">
        <v>1531</v>
      </c>
      <c r="L48" s="1892">
        <f ca="1">INDIRECT("'数据-取费表'!f"&amp;$G$1)</f>
        <v>33.51</v>
      </c>
      <c r="O48" s="1886" t="s">
        <v>1041</v>
      </c>
      <c r="P48" s="1887" t="s">
        <v>1532</v>
      </c>
      <c r="Q48" s="1888">
        <f ca="1">J60</f>
        <v>106</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2966">
        <v>2012</v>
      </c>
      <c r="K49" s="1891" t="s">
        <v>1535</v>
      </c>
      <c r="L49" s="1895"/>
      <c r="O49" s="1896" t="s">
        <v>1042</v>
      </c>
      <c r="P49" s="1887" t="s">
        <v>1536</v>
      </c>
      <c r="Q49" s="1888">
        <f ca="1">C29</f>
        <v>4756</v>
      </c>
      <c r="R49" s="1888" t="s">
        <v>1529</v>
      </c>
    </row>
    <row r="50" spans="1:18" s="1844" customFormat="1" ht="13.5" thickBot="1">
      <c r="A50" s="1198"/>
      <c r="B50" s="1201"/>
      <c r="C50" s="1371"/>
      <c r="D50" s="1175"/>
      <c r="E50" s="1280" t="s">
        <v>1406</v>
      </c>
      <c r="F50" s="1281">
        <f ca="1">F7</f>
        <v>5393.59</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54</v>
      </c>
      <c r="K51" s="1902" t="s">
        <v>1541</v>
      </c>
      <c r="L51" s="1903">
        <f ca="1">ROUND(-PV(INDIRECT("'数据-取费表'!h"&amp;$G$1),L48,(C39-C13*C76),0),0)</f>
        <v>-1559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33.51</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33.51</v>
      </c>
      <c r="K53" s="3206" t="s">
        <v>1548</v>
      </c>
      <c r="L53" s="3207"/>
      <c r="O53" s="1886" t="s">
        <v>1046</v>
      </c>
      <c r="P53" s="1887" t="s">
        <v>1549</v>
      </c>
      <c r="Q53" s="1888">
        <f ca="1">Q47+Q48</f>
        <v>5605</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0.34200000000000003</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4280</v>
      </c>
      <c r="D56" s="1916"/>
      <c r="E56" s="1917"/>
      <c r="F56" s="1909"/>
      <c r="I56" s="1918" t="s">
        <v>1554</v>
      </c>
      <c r="J56" s="1919" t="s">
        <v>3115</v>
      </c>
      <c r="K56" s="1889" t="s">
        <v>1555</v>
      </c>
      <c r="L56" s="1892" t="str">
        <f ca="1">IF(L48&lt;J51,"——",L48-J53)</f>
        <v>——</v>
      </c>
      <c r="O56" s="1886" t="s">
        <v>1040</v>
      </c>
      <c r="P56" s="1887" t="s">
        <v>1528</v>
      </c>
      <c r="Q56" s="1888">
        <f ca="1">C40+J29</f>
        <v>5499</v>
      </c>
      <c r="R56" s="1888" t="s">
        <v>1529</v>
      </c>
    </row>
    <row r="57" spans="1:18" s="1844" customFormat="1" ht="24.75" thickBot="1">
      <c r="A57" s="1920"/>
      <c r="B57" s="1172" t="s">
        <v>1478</v>
      </c>
      <c r="C57" s="282">
        <f ca="1">C29</f>
        <v>4756</v>
      </c>
      <c r="D57" s="1921"/>
      <c r="E57" s="1922"/>
      <c r="F57" s="1923"/>
      <c r="I57" s="1924" t="s">
        <v>1556</v>
      </c>
      <c r="J57" s="1925">
        <f ca="1">IF(OR(M47="住宅",J51&lt;L48,J56="是"),"——",J51-L48)</f>
        <v>20.490000000000002</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510</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432.1</v>
      </c>
      <c r="D59" s="1185" t="s">
        <v>1430</v>
      </c>
      <c r="E59" s="1186" t="s">
        <v>1431</v>
      </c>
      <c r="F59" s="368" t="str">
        <f ca="1">IF(项目基本情况!B11="企业","",IF(INDIRECT("'数据-取费表'!c"&amp;$G$1)="住宅",5%,IF(F49*F50*F51/12/(1+'数据-取费表'!C42)&gt;20000,12%,7%)))</f>
        <v/>
      </c>
      <c r="I59" s="1924" t="s">
        <v>1563</v>
      </c>
      <c r="J59" s="1925">
        <f ca="1">IF(OR(M47="住宅",J51&lt;L48,J56="是"),"——",ROUND(C29*J58,0))</f>
        <v>1902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f ca="1">IF(OR(M47="住宅",J51&lt;L48,J56="是"),"0",ROUND(J59/(1+J52)^J53,0))</f>
        <v>106</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399.5</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32.549999999999997</v>
      </c>
      <c r="D62" s="1187" t="s">
        <v>1497</v>
      </c>
      <c r="E62" s="1172" t="s">
        <v>1498</v>
      </c>
      <c r="F62" s="371">
        <f t="shared" si="0"/>
        <v>6</v>
      </c>
      <c r="I62" s="1931" t="s">
        <v>1570</v>
      </c>
      <c r="J62" s="1932" t="s">
        <v>1571</v>
      </c>
      <c r="K62" s="1932" t="s">
        <v>1572</v>
      </c>
      <c r="L62" s="1932" t="s">
        <v>1573</v>
      </c>
      <c r="M62" s="1933" t="s">
        <v>1574</v>
      </c>
      <c r="O62" s="1886" t="s">
        <v>1046</v>
      </c>
      <c r="P62" s="1887" t="s">
        <v>1575</v>
      </c>
      <c r="Q62" s="1888">
        <f ca="1">Q56+Q57</f>
        <v>5499</v>
      </c>
      <c r="R62" s="1888" t="s">
        <v>1047</v>
      </c>
    </row>
    <row r="63" spans="1:18" s="1844" customFormat="1" ht="13.5" thickBot="1">
      <c r="A63" s="372"/>
      <c r="B63" s="1178"/>
      <c r="C63" s="29"/>
      <c r="D63" s="1188"/>
      <c r="E63" s="1172" t="s">
        <v>1499</v>
      </c>
      <c r="F63" s="348">
        <f t="shared" ca="1" si="0"/>
        <v>54251.8</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71.3</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6.4</v>
      </c>
      <c r="D65" s="1186" t="s">
        <v>1454</v>
      </c>
      <c r="E65" s="1172" t="s">
        <v>1455</v>
      </c>
      <c r="F65" s="376">
        <f t="shared" ca="1" si="0"/>
        <v>1.5E-3</v>
      </c>
      <c r="I65" s="1931" t="s">
        <v>1579</v>
      </c>
      <c r="J65" s="1932">
        <v>40</v>
      </c>
      <c r="K65" s="1932">
        <v>30</v>
      </c>
      <c r="L65" s="1932">
        <v>50</v>
      </c>
      <c r="M65" s="1934">
        <v>0.02</v>
      </c>
      <c r="O65" s="1886" t="s">
        <v>1040</v>
      </c>
      <c r="P65" s="1887" t="s">
        <v>1580</v>
      </c>
      <c r="Q65" s="1888">
        <f ca="1">C40+J29</f>
        <v>5499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-510</v>
      </c>
      <c r="D67" s="1185" t="s">
        <v>1464</v>
      </c>
      <c r="E67" s="1190"/>
      <c r="F67" s="1191"/>
      <c r="O67" s="1896" t="s">
        <v>1042</v>
      </c>
      <c r="P67" s="1887" t="s">
        <v>1562</v>
      </c>
      <c r="Q67" s="1935">
        <f ca="1">L51</f>
        <v>-1559</v>
      </c>
      <c r="R67" s="1888" t="s">
        <v>1582</v>
      </c>
    </row>
    <row r="68" spans="1:18" s="1844" customFormat="1" ht="16.5" thickBot="1">
      <c r="A68" s="1169" t="s">
        <v>1032</v>
      </c>
      <c r="B68" s="1170" t="s">
        <v>1485</v>
      </c>
      <c r="C68" s="346">
        <f ca="1">ROUND(C67*(1-((1+F70)/(1+F68))^F69)/(F68-F70),0)</f>
        <v>-7294</v>
      </c>
      <c r="D68" s="1187" t="s">
        <v>1469</v>
      </c>
      <c r="E68" s="1172" t="s">
        <v>1470</v>
      </c>
      <c r="F68" s="357">
        <f ca="1">F40</f>
        <v>0.06</v>
      </c>
      <c r="O68" s="1896" t="s">
        <v>1043</v>
      </c>
      <c r="P68" s="1936" t="s">
        <v>1583</v>
      </c>
      <c r="Q68" s="1888">
        <f ca="1">ROUND(Q69-Q70*Q71,0)</f>
        <v>-97</v>
      </c>
      <c r="R68" s="1888" t="s">
        <v>1051</v>
      </c>
    </row>
    <row r="69" spans="1:18" s="1844" customFormat="1" ht="13.5" thickBot="1">
      <c r="A69" s="1173"/>
      <c r="B69" s="1174"/>
      <c r="C69" s="351"/>
      <c r="D69" s="1192" t="s">
        <v>1473</v>
      </c>
      <c r="E69" s="1172" t="s">
        <v>1474</v>
      </c>
      <c r="F69" s="379">
        <f ca="1">F41</f>
        <v>33.51</v>
      </c>
      <c r="O69" s="1896" t="s">
        <v>1048</v>
      </c>
      <c r="P69" s="1936" t="s">
        <v>1584</v>
      </c>
      <c r="Q69" s="1888">
        <f ca="1">C39</f>
        <v>267</v>
      </c>
      <c r="R69" s="1888" t="s">
        <v>1529</v>
      </c>
    </row>
    <row r="70" spans="1:18" s="1844" customFormat="1" ht="13.5" thickBot="1">
      <c r="A70" s="1176"/>
      <c r="B70" s="1177"/>
      <c r="C70" s="355"/>
      <c r="D70" s="1188"/>
      <c r="E70" s="1172" t="s">
        <v>1477</v>
      </c>
      <c r="F70" s="1278"/>
      <c r="O70" s="1896" t="s">
        <v>1049</v>
      </c>
      <c r="P70" s="1936" t="s">
        <v>1585</v>
      </c>
      <c r="Q70" s="1888">
        <f ca="1">C13</f>
        <v>4280</v>
      </c>
      <c r="R70" s="1888" t="s">
        <v>1529</v>
      </c>
    </row>
    <row r="71" spans="1:18" s="1844" customFormat="1" ht="13.5" thickBot="1">
      <c r="A71" s="1193" t="s">
        <v>1033</v>
      </c>
      <c r="B71" s="1194" t="s">
        <v>1487</v>
      </c>
      <c r="C71" s="382">
        <f ca="1">ROUND(C68*10000/F71,0)</f>
        <v>-13523</v>
      </c>
      <c r="D71" s="1195" t="s">
        <v>1488</v>
      </c>
      <c r="E71" s="1196" t="s">
        <v>1489</v>
      </c>
      <c r="F71" s="385">
        <f ca="1">F43</f>
        <v>5393.59</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364</v>
      </c>
      <c r="D75" s="1844"/>
      <c r="E75" s="1844"/>
      <c r="F75" s="1844"/>
      <c r="K75" s="1870"/>
      <c r="L75" s="1844"/>
      <c r="O75" s="1886" t="s">
        <v>1046</v>
      </c>
      <c r="P75" s="1887" t="s">
        <v>1549</v>
      </c>
      <c r="Q75" s="1888">
        <f ca="1">Q65+Q66</f>
        <v>5499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-0.36299999999999999</v>
      </c>
    </row>
    <row r="80" spans="1:18">
      <c r="B80" s="386" t="s">
        <v>1511</v>
      </c>
      <c r="C80" s="318">
        <f ca="1">ROUND(C75/C39,3)</f>
        <v>1.363</v>
      </c>
    </row>
    <row r="81" spans="2:3">
      <c r="B81" s="314" t="s">
        <v>1512</v>
      </c>
      <c r="C81" s="282"/>
    </row>
    <row r="82" spans="2:3">
      <c r="B82" s="317" t="s">
        <v>1513</v>
      </c>
      <c r="C82" s="319">
        <f ca="1">1-C83</f>
        <v>0.22199999999999998</v>
      </c>
    </row>
    <row r="83" spans="2:3">
      <c r="B83" s="317" t="s">
        <v>1514</v>
      </c>
      <c r="C83" s="318">
        <f ca="1">ROUND(C13/C40,3)</f>
        <v>0.77800000000000002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J68" sqref="J6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3109</v>
      </c>
      <c r="D1" s="1822" t="s">
        <v>70</v>
      </c>
      <c r="E1" s="1823" t="s">
        <v>1387</v>
      </c>
      <c r="F1" s="1286">
        <f ca="1">J53</f>
        <v>33.51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2771</v>
      </c>
      <c r="C2" s="1847" t="s">
        <v>1516</v>
      </c>
      <c r="D2" s="1847"/>
      <c r="E2" s="1848"/>
      <c r="F2" s="1849"/>
      <c r="G2" s="1850"/>
      <c r="H2" s="1842"/>
      <c r="I2" s="1842"/>
      <c r="J2" s="1842"/>
      <c r="K2" s="1843"/>
      <c r="L2" s="1842"/>
      <c r="M2" s="1842"/>
    </row>
    <row r="3" spans="1:37" ht="18" customHeight="1" thickBot="1">
      <c r="A3" s="1851" t="s">
        <v>1517</v>
      </c>
      <c r="B3" s="1852">
        <f ca="1">IF(ISERROR(B2*10000/F43),0,ROUND(B2*10000/F43,0))</f>
        <v>10383</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228</v>
      </c>
      <c r="D5" s="1824" t="s">
        <v>1402</v>
      </c>
      <c r="E5" s="1296"/>
      <c r="F5" s="1297"/>
      <c r="G5" s="1853"/>
      <c r="H5" s="344">
        <v>1</v>
      </c>
      <c r="I5" s="345" t="s">
        <v>1401</v>
      </c>
      <c r="J5" s="1295">
        <f ca="1">J6+J10+J12</f>
        <v>0</v>
      </c>
      <c r="K5" s="1824" t="s">
        <v>1402</v>
      </c>
      <c r="L5" s="1296"/>
      <c r="M5" s="1297"/>
    </row>
    <row r="6" spans="1:37" ht="18" customHeight="1">
      <c r="A6" s="1294" t="s">
        <v>1035</v>
      </c>
      <c r="B6" s="3208" t="s">
        <v>1403</v>
      </c>
      <c r="C6" s="1299">
        <f ca="1">ROUND(F6*F8*F7*(1-F9)/10000,0)</f>
        <v>228</v>
      </c>
      <c r="D6" s="164" t="s">
        <v>3032</v>
      </c>
      <c r="E6" s="347" t="s">
        <v>1405</v>
      </c>
      <c r="F6" s="348">
        <f ca="1">INDIRECT("'数据-取费表'!u"&amp;$G$1)</f>
        <v>2.6</v>
      </c>
      <c r="G6" s="1853"/>
      <c r="H6" s="1294" t="s">
        <v>1035</v>
      </c>
      <c r="I6" s="3208" t="s">
        <v>1403</v>
      </c>
      <c r="J6" s="346">
        <f ca="1">ROUND(M6*M8*M7*(1-M9)/10000,0)</f>
        <v>0</v>
      </c>
      <c r="K6" s="164" t="s">
        <v>3031</v>
      </c>
      <c r="L6" s="347" t="s">
        <v>1405</v>
      </c>
      <c r="M6" s="348">
        <f ca="1">INDIRECT("'数据-取费表'!z"&amp;$G$1)</f>
        <v>0</v>
      </c>
    </row>
    <row r="7" spans="1:37" ht="18" customHeight="1">
      <c r="A7" s="1298"/>
      <c r="B7" s="3209"/>
      <c r="C7" s="1300"/>
      <c r="D7" s="352"/>
      <c r="E7" s="2948" t="s">
        <v>1406</v>
      </c>
      <c r="F7" s="348">
        <f ca="1">IF(INDIRECT("'数据-取费表'!ah"&amp;$G$1)="",INDIRECT("'数据-取费表'!k"&amp;$G$1),INDIRECT("'数据-取费表'!ah"&amp;$G$1))</f>
        <v>2668.7200000000003</v>
      </c>
      <c r="G7" s="1853"/>
      <c r="H7" s="349"/>
      <c r="I7" s="3209"/>
      <c r="J7" s="351"/>
      <c r="K7" s="352"/>
      <c r="L7" s="347" t="s">
        <v>1406</v>
      </c>
      <c r="M7" s="348">
        <f ca="1">F7</f>
        <v>2668.7200000000003</v>
      </c>
    </row>
    <row r="8" spans="1:37" ht="18" customHeight="1">
      <c r="A8" s="349"/>
      <c r="B8" s="3209"/>
      <c r="C8" s="351"/>
      <c r="D8" s="352"/>
      <c r="E8" s="347" t="s">
        <v>1407</v>
      </c>
      <c r="F8" s="348">
        <f ca="1">INDIRECT("'数据-取费表'!ai"&amp;$G$1)</f>
        <v>365</v>
      </c>
      <c r="G8" s="1853"/>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53"/>
      <c r="H9" s="349"/>
      <c r="I9" s="321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2118</v>
      </c>
      <c r="D13" s="1334" t="s">
        <v>1415</v>
      </c>
      <c r="E13" s="1334" t="s">
        <v>1416</v>
      </c>
      <c r="F13" s="1335">
        <f ca="1">INDIRECT("'数据-取费表'!y"&amp;$G$1)</f>
        <v>0.9</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1334</v>
      </c>
      <c r="D14" s="2951" t="s">
        <v>1418</v>
      </c>
      <c r="E14" s="2950"/>
      <c r="F14" s="364"/>
      <c r="G14" s="1853"/>
      <c r="H14" s="1204" t="s">
        <v>1035</v>
      </c>
      <c r="I14" s="347" t="s">
        <v>1419</v>
      </c>
      <c r="J14" s="24">
        <f ca="1">C29</f>
        <v>2353</v>
      </c>
      <c r="K14" s="2947"/>
      <c r="L14" s="982"/>
      <c r="M14" s="983"/>
    </row>
    <row r="15" spans="1:37" s="1860" customFormat="1" ht="18" customHeight="1" thickBot="1">
      <c r="A15" s="1204" t="s">
        <v>1036</v>
      </c>
      <c r="B15" s="347" t="s">
        <v>1420</v>
      </c>
      <c r="C15" s="24">
        <f ca="1">ROUND(C14*F15,0)</f>
        <v>67</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71</v>
      </c>
      <c r="K16" s="1340" t="s">
        <v>1425</v>
      </c>
      <c r="L16" s="2953"/>
      <c r="M16" s="1297"/>
    </row>
    <row r="17" spans="1:37" s="1860" customFormat="1" ht="18" customHeight="1">
      <c r="A17" s="1204" t="s">
        <v>1390</v>
      </c>
      <c r="B17" s="347" t="s">
        <v>1426</v>
      </c>
      <c r="C17" s="24">
        <f ca="1">ROUND(F17*(F43+INDIRECT("'数据-取费表'!S"&amp;$G$1))/10000,0)</f>
        <v>133</v>
      </c>
      <c r="D17" s="347" t="s">
        <v>1427</v>
      </c>
      <c r="E17" s="347" t="s">
        <v>1428</v>
      </c>
      <c r="F17" s="26">
        <f>'数据-取费表'!B35</f>
        <v>500</v>
      </c>
      <c r="G17" s="1856"/>
      <c r="H17" s="1204" t="s">
        <v>1035</v>
      </c>
      <c r="I17" s="347" t="s">
        <v>1429</v>
      </c>
      <c r="J17" s="24">
        <f ca="1">ROUND(IF(项目基本情况!B11="自然人",J5*M17,J18+J19+J20),1)</f>
        <v>35.9</v>
      </c>
      <c r="K17" s="2951" t="s">
        <v>1430</v>
      </c>
      <c r="L17" s="2952"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20</v>
      </c>
      <c r="D18" s="347" t="s">
        <v>1421</v>
      </c>
      <c r="E18" s="347" t="s">
        <v>1422</v>
      </c>
      <c r="F18" s="367">
        <f>'数据-取费表'!B36</f>
        <v>1.4999999999999999E-2</v>
      </c>
      <c r="G18" s="1856"/>
      <c r="H18" s="1204" t="s">
        <v>1034</v>
      </c>
      <c r="I18" s="347" t="s">
        <v>1433</v>
      </c>
      <c r="J18" s="24">
        <f ca="1">ROUND(J5*M18/(1+'数据-取费表'!C42),2)</f>
        <v>0</v>
      </c>
      <c r="K18" s="2952"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1554</v>
      </c>
      <c r="D19" s="140" t="s">
        <v>1436</v>
      </c>
      <c r="E19" s="2946"/>
      <c r="F19" s="26"/>
      <c r="G19" s="1853"/>
      <c r="H19" s="1204" t="s">
        <v>1036</v>
      </c>
      <c r="I19" s="347" t="s">
        <v>1437</v>
      </c>
      <c r="J19" s="24">
        <f ca="1">IF(K19="按租金收入计税",ROUND(J5*M19,2),ROUND(C29*M19*0.7,2))</f>
        <v>19.77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47</v>
      </c>
      <c r="D20" s="369" t="s">
        <v>1440</v>
      </c>
      <c r="E20" s="347" t="s">
        <v>1422</v>
      </c>
      <c r="F20" s="367">
        <f>'数据-取费表'!B37</f>
        <v>0.03</v>
      </c>
      <c r="G20" s="1856"/>
      <c r="H20" s="1204" t="s">
        <v>1389</v>
      </c>
      <c r="I20" s="164" t="s">
        <v>1441</v>
      </c>
      <c r="J20" s="25">
        <f ca="1">ROUND(M20*M21/10000,2)</f>
        <v>16.11</v>
      </c>
      <c r="K20" s="370" t="s">
        <v>1442</v>
      </c>
      <c r="L20" s="347" t="s">
        <v>1443</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0.05</v>
      </c>
      <c r="G21" s="1856"/>
      <c r="H21" s="372"/>
      <c r="I21" s="356"/>
      <c r="J21" s="29"/>
      <c r="K21" s="373"/>
      <c r="L21" s="347" t="s">
        <v>1447</v>
      </c>
      <c r="M21" s="348">
        <f ca="1">INDIRECT("'数据-取费表'!r"&amp;$G$1)</f>
        <v>26843.51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3"/>
      <c r="H22" s="1204" t="s">
        <v>1039</v>
      </c>
      <c r="I22" s="347" t="s">
        <v>1449</v>
      </c>
      <c r="J22" s="24">
        <f ca="1">ROUND(J14*M22,1)</f>
        <v>35.299999999999997</v>
      </c>
      <c r="K22" s="2952"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2952"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2.3999999999999998E-3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6"/>
      <c r="F25" s="26"/>
      <c r="G25" s="1853"/>
      <c r="H25" s="1332" t="s">
        <v>1031</v>
      </c>
      <c r="I25" s="1347" t="s">
        <v>1463</v>
      </c>
      <c r="J25" s="355">
        <f ca="1">J5-J16</f>
        <v>-71</v>
      </c>
      <c r="K25" s="1348" t="s">
        <v>1464</v>
      </c>
      <c r="L25" s="1349"/>
      <c r="M25" s="1350"/>
    </row>
    <row r="26" spans="1:37">
      <c r="A26" s="1204" t="s">
        <v>1034</v>
      </c>
      <c r="B26" s="347" t="s">
        <v>1465</v>
      </c>
      <c r="C26" s="24">
        <f ca="1">ROUND((C19+C20)*F26,0)</f>
        <v>400</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1.2500000000000001E-2</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2353</v>
      </c>
      <c r="D29" s="1345"/>
      <c r="E29" s="1343"/>
      <c r="F29" s="1346"/>
      <c r="G29" s="1856"/>
      <c r="H29" s="380" t="s">
        <v>1033</v>
      </c>
      <c r="I29" s="381" t="s">
        <v>1479</v>
      </c>
      <c r="J29" s="382">
        <f ca="1">ROUND(J26/(1+F40)^F41,0)</f>
        <v>0</v>
      </c>
      <c r="K29" s="383" t="s">
        <v>1480</v>
      </c>
      <c r="L29" s="384"/>
      <c r="M29" s="385">
        <f ca="1">INDIRECT("'数据-取费表'!k"&amp;$G$1)</f>
        <v>2668.7200000000003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96</v>
      </c>
      <c r="D30" s="1340" t="s">
        <v>1425</v>
      </c>
      <c r="E30" s="2953"/>
      <c r="F30" s="1297"/>
      <c r="G30" s="1853"/>
      <c r="H30" s="745"/>
      <c r="I30" s="746"/>
      <c r="J30" s="747"/>
      <c r="K30" s="748"/>
      <c r="L30" s="749"/>
      <c r="M30" s="750"/>
    </row>
    <row r="31" spans="1:37" ht="18" customHeight="1">
      <c r="A31" s="1204" t="s">
        <v>1035</v>
      </c>
      <c r="B31" s="347" t="s">
        <v>1429</v>
      </c>
      <c r="C31" s="24">
        <f ca="1">ROUND(IF(项目基本情况!B11="自然人",C5*F31,C32+C33+C34),1)</f>
        <v>55.4</v>
      </c>
      <c r="D31" s="2951" t="s">
        <v>1430</v>
      </c>
      <c r="E31" s="2952"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11.94</v>
      </c>
      <c r="D32" s="2952"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27.36</v>
      </c>
      <c r="D33" s="1830" t="s">
        <v>3116</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16.11</v>
      </c>
      <c r="D34" s="370" t="s">
        <v>1442</v>
      </c>
      <c r="E34" s="347" t="s">
        <v>1443</v>
      </c>
      <c r="F34" s="371">
        <f>'数据-取费表'!B52</f>
        <v>6</v>
      </c>
      <c r="G34" s="1853"/>
      <c r="H34" s="745"/>
      <c r="I34" s="1862"/>
      <c r="J34" s="1863"/>
      <c r="K34" s="1865"/>
      <c r="L34" s="1866"/>
      <c r="M34" s="1866"/>
    </row>
    <row r="35" spans="1:18" ht="18" customHeight="1">
      <c r="A35" s="1356"/>
      <c r="B35" s="1354"/>
      <c r="C35" s="29"/>
      <c r="D35" s="373"/>
      <c r="E35" s="347" t="s">
        <v>1447</v>
      </c>
      <c r="F35" s="348">
        <f ca="1">INDIRECT("'数据-取费表'!r"&amp;$G$1)</f>
        <v>26843.51</v>
      </c>
      <c r="G35" s="1853"/>
      <c r="H35" s="745"/>
      <c r="I35" s="1862"/>
      <c r="J35" s="1863"/>
      <c r="K35" s="1864"/>
      <c r="L35" s="1861"/>
      <c r="M35" s="1861"/>
    </row>
    <row r="36" spans="1:18" ht="18" customHeight="1">
      <c r="A36" s="1355" t="s">
        <v>1039</v>
      </c>
      <c r="B36" s="347" t="s">
        <v>1449</v>
      </c>
      <c r="C36" s="24">
        <f ca="1">ROUND(C29*F36,1)</f>
        <v>35.299999999999997</v>
      </c>
      <c r="D36" s="2952"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3.2</v>
      </c>
      <c r="D37" s="2952"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2.2999999999999998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132</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2719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33.51</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10188</v>
      </c>
      <c r="D43" s="383" t="s">
        <v>1488</v>
      </c>
      <c r="E43" s="384" t="s">
        <v>1489</v>
      </c>
      <c r="F43" s="385">
        <f ca="1">INDIRECT("'数据-取费表'!k"&amp;$G$1)</f>
        <v>2668.7200000000003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-6323</v>
      </c>
      <c r="D46" s="1874" t="str">
        <f>C2</f>
        <v>万元</v>
      </c>
      <c r="E46" s="1868"/>
      <c r="F46" s="1868"/>
      <c r="I46" s="1875" t="s">
        <v>1521</v>
      </c>
      <c r="J46" s="1876"/>
      <c r="K46" s="1877"/>
      <c r="L46" s="1878">
        <f ca="1">IF(M47="住宅",0,IF(L48&gt;J51,L60,J60))</f>
        <v>52</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3113</v>
      </c>
      <c r="K47" s="1884" t="s">
        <v>1527</v>
      </c>
      <c r="L47" s="1885">
        <f ca="1">INDIRECT("'数据-取费表'!d"&amp;$G$1)</f>
        <v>40</v>
      </c>
      <c r="M47" s="1840" t="str">
        <f>IF(ISNUMBER(FIND("住宅",C1)),"住宅","非住宅")</f>
        <v>非住宅</v>
      </c>
      <c r="O47" s="1886" t="s">
        <v>1040</v>
      </c>
      <c r="P47" s="1887" t="s">
        <v>1528</v>
      </c>
      <c r="Q47" s="1888">
        <f ca="1">C40+J29</f>
        <v>2719</v>
      </c>
      <c r="R47" s="1888" t="s">
        <v>1529</v>
      </c>
    </row>
    <row r="48" spans="1:18" s="1844" customFormat="1" ht="28.5" thickBot="1">
      <c r="A48" s="1363" t="s">
        <v>1135</v>
      </c>
      <c r="B48" s="345" t="s">
        <v>1401</v>
      </c>
      <c r="C48" s="2945">
        <f ca="1">C49+C53+C55</f>
        <v>0</v>
      </c>
      <c r="D48" s="1365"/>
      <c r="E48" s="1366"/>
      <c r="F48" s="1184"/>
      <c r="G48" s="792"/>
      <c r="H48" s="793"/>
      <c r="I48" s="1889" t="s">
        <v>1530</v>
      </c>
      <c r="J48" s="1890" t="s">
        <v>3114</v>
      </c>
      <c r="K48" s="1891" t="s">
        <v>1531</v>
      </c>
      <c r="L48" s="1892">
        <f ca="1">INDIRECT("'数据-取费表'!f"&amp;$G$1)</f>
        <v>33.51</v>
      </c>
      <c r="O48" s="1886" t="s">
        <v>1041</v>
      </c>
      <c r="P48" s="1887" t="s">
        <v>1532</v>
      </c>
      <c r="Q48" s="1888">
        <f ca="1">J60</f>
        <v>52</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2966">
        <v>2012</v>
      </c>
      <c r="K49" s="1891" t="s">
        <v>1535</v>
      </c>
      <c r="L49" s="1895"/>
      <c r="O49" s="1896" t="s">
        <v>1042</v>
      </c>
      <c r="P49" s="1887" t="s">
        <v>1536</v>
      </c>
      <c r="Q49" s="1888">
        <f ca="1">C29</f>
        <v>2353</v>
      </c>
      <c r="R49" s="1888" t="s">
        <v>1529</v>
      </c>
    </row>
    <row r="50" spans="1:18" s="1844" customFormat="1" ht="13.5" thickBot="1">
      <c r="A50" s="1198"/>
      <c r="B50" s="1201"/>
      <c r="C50" s="1371"/>
      <c r="D50" s="1175"/>
      <c r="E50" s="1280" t="s">
        <v>1406</v>
      </c>
      <c r="F50" s="1281">
        <f ca="1">F7</f>
        <v>2668.7200000000003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54</v>
      </c>
      <c r="K51" s="1902" t="s">
        <v>1541</v>
      </c>
      <c r="L51" s="1903">
        <f ca="1">ROUND(-PV(INDIRECT("'数据-取费表'!h"&amp;$G$1),L48,(C39-C13*C76),0),0)</f>
        <v>-773</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33.51</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33.51</v>
      </c>
      <c r="K53" s="3206" t="s">
        <v>1548</v>
      </c>
      <c r="L53" s="3207"/>
      <c r="O53" s="1886" t="s">
        <v>1046</v>
      </c>
      <c r="P53" s="1887" t="s">
        <v>1549</v>
      </c>
      <c r="Q53" s="1888">
        <f ca="1">Q47+Q48</f>
        <v>2771</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f ca="1">ROUND(IF(J47="钢混",J57/J50,1-(1-2%)*(J50-J57)/J50),3)</f>
        <v>0.34200000000000003</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2118</v>
      </c>
      <c r="D56" s="1916"/>
      <c r="E56" s="1917"/>
      <c r="F56" s="1909"/>
      <c r="I56" s="1918" t="s">
        <v>1554</v>
      </c>
      <c r="J56" s="1919" t="s">
        <v>3115</v>
      </c>
      <c r="K56" s="1889" t="s">
        <v>1555</v>
      </c>
      <c r="L56" s="1892" t="str">
        <f ca="1">IF(L48&lt;J51,"——",L48-J53)</f>
        <v>——</v>
      </c>
      <c r="O56" s="1886" t="s">
        <v>1040</v>
      </c>
      <c r="P56" s="1887" t="s">
        <v>1528</v>
      </c>
      <c r="Q56" s="1888">
        <f ca="1">C40+J29</f>
        <v>2719</v>
      </c>
      <c r="R56" s="1888" t="s">
        <v>1529</v>
      </c>
    </row>
    <row r="57" spans="1:18" s="1844" customFormat="1" ht="24.75" thickBot="1">
      <c r="A57" s="1920"/>
      <c r="B57" s="1172" t="s">
        <v>1478</v>
      </c>
      <c r="C57" s="282">
        <f ca="1">C29</f>
        <v>2353</v>
      </c>
      <c r="D57" s="1921"/>
      <c r="E57" s="1922"/>
      <c r="F57" s="1923"/>
      <c r="I57" s="1924" t="s">
        <v>1556</v>
      </c>
      <c r="J57" s="1925">
        <f ca="1">IF(OR(M47="住宅",J51&lt;L48,J56="是"),"——",J51-L48)</f>
        <v>20.490000000000002</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252</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213.8</v>
      </c>
      <c r="D59" s="1185" t="s">
        <v>1430</v>
      </c>
      <c r="E59" s="1186" t="s">
        <v>1431</v>
      </c>
      <c r="F59" s="368" t="str">
        <f ca="1">IF(项目基本情况!B11="企业","",IF(INDIRECT("'数据-取费表'!c"&amp;$G$1)="住宅",5%,IF(F49*F50*F51/12/(1+'数据-取费表'!C42)&gt;20000,12%,7%)))</f>
        <v/>
      </c>
      <c r="I59" s="1924" t="s">
        <v>1563</v>
      </c>
      <c r="J59" s="1925">
        <f ca="1">IF(OR(M47="住宅",J51&lt;L48,J56="是"),"——",ROUND(C29*J58,0))</f>
        <v>941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f ca="1">IF(OR(M47="住宅",J51&lt;L48,J56="是"),"0",ROUND(J59/(1+J52)^J53,0))</f>
        <v>52</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197.65</v>
      </c>
      <c r="D61" s="1830" t="s">
        <v>1438</v>
      </c>
      <c r="E61" s="1172"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16.11</v>
      </c>
      <c r="D62" s="1187" t="s">
        <v>1442</v>
      </c>
      <c r="E62" s="1172" t="s">
        <v>1443</v>
      </c>
      <c r="F62" s="371">
        <f t="shared" si="0"/>
        <v>6</v>
      </c>
      <c r="I62" s="1931" t="s">
        <v>1570</v>
      </c>
      <c r="J62" s="1932" t="s">
        <v>1571</v>
      </c>
      <c r="K62" s="1932" t="s">
        <v>1572</v>
      </c>
      <c r="L62" s="1932" t="s">
        <v>1573</v>
      </c>
      <c r="M62" s="1933" t="s">
        <v>1574</v>
      </c>
      <c r="O62" s="1886" t="s">
        <v>1046</v>
      </c>
      <c r="P62" s="1887" t="s">
        <v>1549</v>
      </c>
      <c r="Q62" s="1888">
        <f ca="1">Q56+Q57</f>
        <v>2719</v>
      </c>
      <c r="R62" s="1888" t="s">
        <v>1047</v>
      </c>
    </row>
    <row r="63" spans="1:18" s="1844" customFormat="1" ht="13.5" thickBot="1">
      <c r="A63" s="372"/>
      <c r="B63" s="1178"/>
      <c r="C63" s="29"/>
      <c r="D63" s="1188"/>
      <c r="E63" s="1172" t="s">
        <v>1447</v>
      </c>
      <c r="F63" s="348">
        <f t="shared" ca="1" si="0"/>
        <v>26843.51</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35.299999999999997</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3.2</v>
      </c>
      <c r="D65" s="1186" t="s">
        <v>1454</v>
      </c>
      <c r="E65" s="1172" t="s">
        <v>1422</v>
      </c>
      <c r="F65" s="376">
        <f t="shared" ca="1" si="0"/>
        <v>1.5E-3</v>
      </c>
      <c r="I65" s="1931" t="s">
        <v>1579</v>
      </c>
      <c r="J65" s="1932">
        <v>40</v>
      </c>
      <c r="K65" s="1932">
        <v>30</v>
      </c>
      <c r="L65" s="1932">
        <v>50</v>
      </c>
      <c r="M65" s="1934">
        <v>0.02</v>
      </c>
      <c r="O65" s="1886" t="s">
        <v>1040</v>
      </c>
      <c r="P65" s="1887" t="s">
        <v>1528</v>
      </c>
      <c r="Q65" s="1888">
        <f ca="1">C40+J29</f>
        <v>2719</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-252</v>
      </c>
      <c r="D67" s="1185" t="s">
        <v>1464</v>
      </c>
      <c r="E67" s="1190"/>
      <c r="F67" s="1191"/>
      <c r="O67" s="1896" t="s">
        <v>1042</v>
      </c>
      <c r="P67" s="1887" t="s">
        <v>1562</v>
      </c>
      <c r="Q67" s="1935">
        <f ca="1">L51</f>
        <v>-773</v>
      </c>
      <c r="R67" s="1888" t="s">
        <v>1582</v>
      </c>
    </row>
    <row r="68" spans="1:18" s="1844" customFormat="1" ht="16.5" thickBot="1">
      <c r="A68" s="1169" t="s">
        <v>1032</v>
      </c>
      <c r="B68" s="1170" t="s">
        <v>1485</v>
      </c>
      <c r="C68" s="346">
        <f ca="1">ROUND(C67*(1-((1+F70)/(1+F68))^F69)/(F68-F70),0)</f>
        <v>-3604</v>
      </c>
      <c r="D68" s="1187" t="s">
        <v>1469</v>
      </c>
      <c r="E68" s="1172" t="s">
        <v>1470</v>
      </c>
      <c r="F68" s="357">
        <f ca="1">F40</f>
        <v>0.06</v>
      </c>
      <c r="O68" s="1896" t="s">
        <v>1043</v>
      </c>
      <c r="P68" s="1936" t="s">
        <v>1583</v>
      </c>
      <c r="Q68" s="1888">
        <f ca="1">ROUND(Q69-Q70*Q71,0)</f>
        <v>-48</v>
      </c>
      <c r="R68" s="1888" t="s">
        <v>1051</v>
      </c>
    </row>
    <row r="69" spans="1:18" s="1844" customFormat="1" ht="13.5" thickBot="1">
      <c r="A69" s="1173"/>
      <c r="B69" s="1174"/>
      <c r="C69" s="351"/>
      <c r="D69" s="1192" t="s">
        <v>1473</v>
      </c>
      <c r="E69" s="1172" t="s">
        <v>1474</v>
      </c>
      <c r="F69" s="379">
        <f ca="1">F41</f>
        <v>33.51</v>
      </c>
      <c r="O69" s="1896" t="s">
        <v>1048</v>
      </c>
      <c r="P69" s="1936" t="s">
        <v>1584</v>
      </c>
      <c r="Q69" s="1888">
        <f ca="1">C39</f>
        <v>132</v>
      </c>
      <c r="R69" s="1888" t="s">
        <v>1529</v>
      </c>
    </row>
    <row r="70" spans="1:18" s="1844" customFormat="1" ht="13.5" thickBot="1">
      <c r="A70" s="1176"/>
      <c r="B70" s="1177"/>
      <c r="C70" s="355"/>
      <c r="D70" s="1188"/>
      <c r="E70" s="1172" t="s">
        <v>1477</v>
      </c>
      <c r="F70" s="1278"/>
      <c r="O70" s="1896" t="s">
        <v>1049</v>
      </c>
      <c r="P70" s="1936" t="s">
        <v>1585</v>
      </c>
      <c r="Q70" s="1888">
        <f ca="1">C13</f>
        <v>2118</v>
      </c>
      <c r="R70" s="1888" t="s">
        <v>1529</v>
      </c>
    </row>
    <row r="71" spans="1:18" s="1844" customFormat="1" ht="13.5" thickBot="1">
      <c r="A71" s="1193" t="s">
        <v>1033</v>
      </c>
      <c r="B71" s="1194" t="s">
        <v>1487</v>
      </c>
      <c r="C71" s="382">
        <f ca="1">ROUND(C68*10000/F71,0)</f>
        <v>-13505</v>
      </c>
      <c r="D71" s="1195" t="s">
        <v>1488</v>
      </c>
      <c r="E71" s="1196" t="s">
        <v>1489</v>
      </c>
      <c r="F71" s="385">
        <f ca="1">F43</f>
        <v>2668.7200000000003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180</v>
      </c>
      <c r="D75" s="1844"/>
      <c r="E75" s="1844"/>
      <c r="F75" s="1844"/>
      <c r="K75" s="1870"/>
      <c r="L75" s="1844"/>
      <c r="O75" s="1886" t="s">
        <v>1046</v>
      </c>
      <c r="P75" s="1887" t="s">
        <v>1549</v>
      </c>
      <c r="Q75" s="1888">
        <f ca="1">Q65+Q66</f>
        <v>2719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-0.3640000000000001</v>
      </c>
    </row>
    <row r="80" spans="1:18">
      <c r="B80" s="386" t="s">
        <v>1511</v>
      </c>
      <c r="C80" s="318">
        <f ca="1">ROUND(C75/C39,3)</f>
        <v>1.3640000000000001</v>
      </c>
    </row>
    <row r="81" spans="2:3">
      <c r="B81" s="314" t="s">
        <v>1512</v>
      </c>
      <c r="C81" s="282"/>
    </row>
    <row r="82" spans="2:3">
      <c r="B82" s="317" t="s">
        <v>1513</v>
      </c>
      <c r="C82" s="319">
        <f ca="1">1-C83</f>
        <v>0.22099999999999997</v>
      </c>
    </row>
    <row r="83" spans="2:3">
      <c r="B83" s="317" t="s">
        <v>1514</v>
      </c>
      <c r="C83" s="318">
        <f ca="1">ROUND(C13/C40,3)</f>
        <v>0.77900000000000003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8" t="s">
        <v>1403</v>
      </c>
      <c r="C6" s="1299">
        <f ca="1">ROUND(F6*F8*F7*(1-F9),0)</f>
        <v>0</v>
      </c>
      <c r="D6" s="164" t="s">
        <v>3029</v>
      </c>
      <c r="E6" s="347" t="s">
        <v>1405</v>
      </c>
      <c r="F6" s="348">
        <f ca="1">INDIRECT("'数据-取费表'!u"&amp;$G$1)</f>
        <v>0</v>
      </c>
      <c r="G6" s="1853"/>
      <c r="H6" s="1294" t="s">
        <v>1035</v>
      </c>
      <c r="I6" s="3208" t="s">
        <v>1403</v>
      </c>
      <c r="J6" s="346">
        <f ca="1">ROUND(M6*M8*M7*(1-M9),0)</f>
        <v>0</v>
      </c>
      <c r="K6" s="1836" t="s">
        <v>3030</v>
      </c>
      <c r="L6" s="347" t="s">
        <v>1405</v>
      </c>
      <c r="M6" s="348">
        <f ca="1">INDIRECT("'数据-取费表'!z"&amp;$G$1)</f>
        <v>0</v>
      </c>
    </row>
    <row r="7" spans="1:37" ht="18" customHeight="1">
      <c r="A7" s="1298"/>
      <c r="B7" s="3209"/>
      <c r="C7" s="1300"/>
      <c r="D7" s="352"/>
      <c r="E7" s="1301" t="s">
        <v>1406</v>
      </c>
      <c r="F7" s="348">
        <f ca="1">IF(INDIRECT("'数据-取费表'!ah"&amp;$G$1)="",INDIRECT("'数据-取费表'!k"&amp;$G$1),INDIRECT("'数据-取费表'!ah"&amp;$G$1))</f>
        <v>0</v>
      </c>
      <c r="G7" s="1853"/>
      <c r="H7" s="349"/>
      <c r="I7" s="3209"/>
      <c r="J7" s="351"/>
      <c r="K7" s="352"/>
      <c r="L7" s="347" t="s">
        <v>1406</v>
      </c>
      <c r="M7" s="348">
        <f ca="1">F7</f>
        <v>0</v>
      </c>
    </row>
    <row r="8" spans="1:37" ht="18" customHeight="1">
      <c r="A8" s="349"/>
      <c r="B8" s="3209"/>
      <c r="C8" s="351"/>
      <c r="D8" s="352"/>
      <c r="E8" s="347" t="s">
        <v>1407</v>
      </c>
      <c r="F8" s="348">
        <f ca="1">INDIRECT("'数据-取费表'!ai"&amp;$G$1)</f>
        <v>0</v>
      </c>
      <c r="G8" s="1853"/>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53"/>
      <c r="H9" s="349"/>
      <c r="I9" s="321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500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0.05</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2.3999999999999998E-3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6</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6" t="s">
        <v>1548</v>
      </c>
      <c r="L53" s="3207"/>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受贵公司委托，我公司对江苏省盐城市阜宁县阜城镇祥光路719号东方花园酒店项目局部商业服务用房房地产房地产抵押价值进行了预评估。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盐城市阜宁县阜城镇祥光路719号东方花园酒店项目局部商业服务用房房地产房地产，为阜宁县城市投资发展有限责任公司所有。根据《国有土地使用证》[阜国用（2014）第005621号等共4本]，估价对象（分摊）出让国有建设用地使用权面积为81095.31平方米。根据《房屋所有权证》[阜房权证阜城字第00063702号等共4本]、《测绘报告》[]，估价对象建筑面积为8062.31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盐城市阜宁县阜城镇祥光路719号东方花园酒店项目局部商业服务用房房地产房地产,属阜宁县城市投资发展有限责任公司开发建设的商业项目，该项目尚在开发建设中。根据《国有土地使用证》[阜国用（2014）第005621号等共4本]，估价对象（分摊）出让国有建设用地使用权面积为81095.31平方米。根据《房屋所有权证》[阜房权证阜城字第00063702号等共4本]、《测绘报告》[]，估价对象规划建筑面积为8062.31平方米。</v>
      </c>
    </row>
    <row r="11" spans="1:1" ht="76.5">
      <c r="A11" s="1953" t="s">
        <v>1616</v>
      </c>
    </row>
    <row r="12" spans="1:1" ht="18.75">
      <c r="A12" s="1951" t="s">
        <v>1617</v>
      </c>
    </row>
    <row r="13" spans="1:1" ht="38.25" customHeight="1">
      <c r="A13" s="1954" t="str">
        <f>IF(项目基本情况!B8="抵押",IF(项目基本情况!B5=项目基本情况!B6,定义!C51,定义!B51),定义!D51)</f>
        <v>阜宁县城市投资发展有限责任公司拟使用江苏省盐城市阜宁县阜城镇祥光路719号东方花园酒店项目局部商业服务用房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2018年10月31日（评估专业人员实地查勘之日）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31日，估价对象规划用途为商业服务，土地取得方式为出让，出让国有建设用地使用权剩余土地使用年限为商业服用33.51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实际开发程度为宗地红线外“七通”（即通路、通电、通讯、通上水、通下水、、）、红线内场地平整条件下，剩余土地使用年限为商业服用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1" sqref="A21:G21"/>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7">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39"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5" t="s">
        <v>2529</v>
      </c>
      <c r="C1" s="1636" t="s">
        <v>2530</v>
      </c>
      <c r="D1" s="1623"/>
      <c r="E1" s="2586"/>
      <c r="F1" s="2587" t="s">
        <v>2531</v>
      </c>
      <c r="G1" s="1633" t="s">
        <v>2532</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9"/>
      <c r="D2" s="1368" t="e">
        <f ca="1">SUMIF(INDIRECT("'"&amp;F2&amp;"'"&amp;"!A:A"),"承租人权益价值",INDIRECT("'"&amp;F2&amp;"'"&amp;"!c:c"))</f>
        <v>#REF!</v>
      </c>
      <c r="E2" s="2590" t="s">
        <v>2533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2534</v>
      </c>
      <c r="D3" s="399">
        <f>IF(D1="",'数据-汇总表'!E3,SUMIF('数据-汇总表'!$C19:$C33,D1,'数据-汇总表'!$E19:$E33))</f>
        <v>8062.31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2535</v>
      </c>
      <c r="B4" s="402"/>
      <c r="C4" s="3166" t="s">
        <v>2536</v>
      </c>
      <c r="D4" s="3179"/>
      <c r="E4" s="3180" t="s">
        <v>2537</v>
      </c>
      <c r="F4" s="3181"/>
      <c r="G4" s="3166" t="s">
        <v>2538</v>
      </c>
      <c r="H4" s="3179"/>
      <c r="I4" s="3166" t="s">
        <v>2539</v>
      </c>
      <c r="J4" s="3179"/>
      <c r="K4" s="2599" t="s">
        <v>2540</v>
      </c>
      <c r="L4" s="1133"/>
      <c r="M4" s="1134"/>
      <c r="N4" s="1134"/>
      <c r="O4" s="1134"/>
      <c r="P4" s="3182" t="s">
        <v>2541</v>
      </c>
      <c r="Q4" s="3183"/>
      <c r="R4" s="3188" t="s">
        <v>2537</v>
      </c>
      <c r="S4" s="3189"/>
      <c r="T4" s="3188" t="s">
        <v>2538</v>
      </c>
      <c r="U4" s="3189"/>
      <c r="V4" s="3175" t="s">
        <v>2539</v>
      </c>
      <c r="W4" s="3175"/>
      <c r="X4" s="1815"/>
      <c r="Y4" s="3188" t="s">
        <v>2541</v>
      </c>
      <c r="Z4" s="3189"/>
      <c r="AA4" s="3176" t="s">
        <v>2537</v>
      </c>
      <c r="AB4" s="3176" t="s">
        <v>2538</v>
      </c>
      <c r="AC4" s="3176" t="s">
        <v>2539</v>
      </c>
    </row>
    <row r="5" spans="1:29" ht="15">
      <c r="A5" s="404"/>
      <c r="B5" s="405"/>
      <c r="C5" s="3196" t="s">
        <v>2542</v>
      </c>
      <c r="D5" s="3197"/>
      <c r="E5" s="3203" t="s">
        <v>2543</v>
      </c>
      <c r="F5" s="3204"/>
      <c r="G5" s="3196" t="s">
        <v>2544</v>
      </c>
      <c r="H5" s="3197"/>
      <c r="I5" s="3196" t="s">
        <v>2545</v>
      </c>
      <c r="J5" s="3197"/>
      <c r="K5" s="2600"/>
      <c r="L5" s="1133"/>
      <c r="M5" s="1134"/>
      <c r="N5" s="1134"/>
      <c r="O5" s="1134"/>
      <c r="P5" s="3184"/>
      <c r="Q5" s="3185"/>
      <c r="R5" s="3190"/>
      <c r="S5" s="3191"/>
      <c r="T5" s="3190"/>
      <c r="U5" s="3191"/>
      <c r="V5" s="3175"/>
      <c r="W5" s="3175"/>
      <c r="X5" s="1815"/>
      <c r="Y5" s="3190"/>
      <c r="Z5" s="3191"/>
      <c r="AA5" s="3177"/>
      <c r="AB5" s="3177"/>
      <c r="AC5" s="3177"/>
    </row>
    <row r="6" spans="1:29" ht="15.75" thickBot="1">
      <c r="A6" s="406"/>
      <c r="B6" s="407"/>
      <c r="C6" s="3194" t="s">
        <v>2546</v>
      </c>
      <c r="D6" s="3195"/>
      <c r="E6" s="3201" t="s">
        <v>2546</v>
      </c>
      <c r="F6" s="3202"/>
      <c r="G6" s="3194" t="s">
        <v>2546</v>
      </c>
      <c r="H6" s="3195"/>
      <c r="I6" s="3194" t="s">
        <v>2546</v>
      </c>
      <c r="J6" s="3195"/>
      <c r="K6" s="2600" t="s">
        <v>2547</v>
      </c>
      <c r="L6" s="1133"/>
      <c r="M6" s="1134"/>
      <c r="N6" s="1134"/>
      <c r="O6" s="1134"/>
      <c r="P6" s="3186"/>
      <c r="Q6" s="3187"/>
      <c r="R6" s="3190"/>
      <c r="S6" s="3191"/>
      <c r="T6" s="3192"/>
      <c r="U6" s="3193"/>
      <c r="V6" s="3175"/>
      <c r="W6" s="3175"/>
      <c r="X6" s="1815"/>
      <c r="Y6" s="3192"/>
      <c r="Z6" s="3193"/>
      <c r="AA6" s="3178"/>
      <c r="AB6" s="3178"/>
      <c r="AC6" s="3178"/>
    </row>
    <row r="7" spans="1:29" s="117" customFormat="1" ht="15.75" thickBot="1">
      <c r="A7" s="408" t="s">
        <v>2548</v>
      </c>
      <c r="B7" s="409"/>
      <c r="C7" s="410">
        <f>'数据-取费表'!B2</f>
        <v>43404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8" t="s">
        <v>2549</v>
      </c>
      <c r="Q7" s="3200"/>
      <c r="R7" s="770" t="s">
        <v>23</v>
      </c>
      <c r="S7" s="771">
        <f t="shared" ref="S7:S15" si="0">F7</f>
        <v>0</v>
      </c>
      <c r="T7" s="770" t="s">
        <v>23</v>
      </c>
      <c r="U7" s="771">
        <f t="shared" ref="U7:U15" si="1">H7</f>
        <v>0</v>
      </c>
      <c r="V7" s="770" t="s">
        <v>23</v>
      </c>
      <c r="W7" s="771">
        <f t="shared" ref="W7:W15" si="2">J7</f>
        <v>0</v>
      </c>
      <c r="X7" s="772"/>
      <c r="Y7" s="3198" t="s">
        <v>2549</v>
      </c>
      <c r="Z7" s="3199"/>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8" t="s">
        <v>2552</v>
      </c>
      <c r="Q8" s="3199"/>
      <c r="R8" s="770" t="s">
        <v>23</v>
      </c>
      <c r="S8" s="771">
        <f t="shared" si="0"/>
        <v>0</v>
      </c>
      <c r="T8" s="770" t="s">
        <v>23</v>
      </c>
      <c r="U8" s="771">
        <f t="shared" si="1"/>
        <v>0</v>
      </c>
      <c r="V8" s="770" t="s">
        <v>23</v>
      </c>
      <c r="W8" s="771">
        <f t="shared" si="2"/>
        <v>0</v>
      </c>
      <c r="X8" s="772"/>
      <c r="Y8" s="3198" t="s">
        <v>2552</v>
      </c>
      <c r="Z8" s="319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68"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7"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68"/>
      <c r="Q12" s="1797">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68"/>
      <c r="Q13" s="1797">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68"/>
      <c r="Q14" s="1797">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2559</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2560</v>
      </c>
      <c r="Q15" s="1812" t="str">
        <f t="shared" si="6"/>
        <v>居住社区成熟度</v>
      </c>
      <c r="R15" s="774" t="s">
        <v>21</v>
      </c>
      <c r="S15" s="775">
        <f t="shared" si="0"/>
        <v>100</v>
      </c>
      <c r="T15" s="774" t="s">
        <v>21</v>
      </c>
      <c r="U15" s="775">
        <f t="shared" si="1"/>
        <v>100</v>
      </c>
      <c r="V15" s="774" t="s">
        <v>21</v>
      </c>
      <c r="W15" s="775">
        <f t="shared" si="2"/>
        <v>100</v>
      </c>
      <c r="X15" s="1815"/>
      <c r="Y15" s="3171" t="s">
        <v>2560</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3"/>
      <c r="M16" s="1134"/>
      <c r="N16" s="1134"/>
      <c r="O16" s="1134"/>
      <c r="P16" s="3239"/>
      <c r="Q16" s="1812"/>
      <c r="R16" s="774"/>
      <c r="S16" s="775"/>
      <c r="T16" s="774"/>
      <c r="U16" s="775"/>
      <c r="V16" s="774"/>
      <c r="W16" s="775"/>
      <c r="X16" s="1815"/>
      <c r="Y16" s="3172"/>
      <c r="Z16" s="1816"/>
      <c r="AA16" s="1813">
        <v>1</v>
      </c>
      <c r="AB16" s="1813">
        <v>1</v>
      </c>
      <c r="AC16" s="1813">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2" t="str">
        <f>B17</f>
        <v>交通便捷度</v>
      </c>
      <c r="R17" s="774" t="s">
        <v>21</v>
      </c>
      <c r="S17" s="775">
        <f>F17</f>
        <v>100</v>
      </c>
      <c r="T17" s="774" t="s">
        <v>21</v>
      </c>
      <c r="U17" s="775">
        <f>H17</f>
        <v>100</v>
      </c>
      <c r="V17" s="774" t="s">
        <v>21</v>
      </c>
      <c r="W17" s="775">
        <f>J17</f>
        <v>100</v>
      </c>
      <c r="X17" s="1815"/>
      <c r="Y17" s="3172"/>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3"/>
      <c r="M18" s="1134"/>
      <c r="N18" s="1134"/>
      <c r="O18" s="1134"/>
      <c r="P18" s="3239"/>
      <c r="Q18" s="1812"/>
      <c r="R18" s="774"/>
      <c r="S18" s="775"/>
      <c r="T18" s="774"/>
      <c r="U18" s="775"/>
      <c r="V18" s="774"/>
      <c r="W18" s="775"/>
      <c r="X18" s="1815"/>
      <c r="Y18" s="3172"/>
      <c r="Z18" s="1816"/>
      <c r="AA18" s="1813">
        <v>1</v>
      </c>
      <c r="AB18" s="1813">
        <v>1</v>
      </c>
      <c r="AC18" s="1813">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2" t="str">
        <f>B19</f>
        <v>公共配套设施</v>
      </c>
      <c r="R19" s="774" t="s">
        <v>21</v>
      </c>
      <c r="S19" s="775">
        <f>F19</f>
        <v>100</v>
      </c>
      <c r="T19" s="774" t="s">
        <v>21</v>
      </c>
      <c r="U19" s="775">
        <f>H19</f>
        <v>100</v>
      </c>
      <c r="V19" s="774" t="s">
        <v>21</v>
      </c>
      <c r="W19" s="775">
        <f>J19</f>
        <v>100</v>
      </c>
      <c r="X19" s="1815"/>
      <c r="Y19" s="3172"/>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3"/>
      <c r="M20" s="1134"/>
      <c r="N20" s="1134"/>
      <c r="O20" s="1134"/>
      <c r="P20" s="3239"/>
      <c r="Q20" s="1812"/>
      <c r="R20" s="774"/>
      <c r="S20" s="775"/>
      <c r="T20" s="774"/>
      <c r="U20" s="775"/>
      <c r="V20" s="774"/>
      <c r="W20" s="775"/>
      <c r="X20" s="1815"/>
      <c r="Y20" s="3172"/>
      <c r="Z20" s="1816"/>
      <c r="AA20" s="1813">
        <v>1</v>
      </c>
      <c r="AB20" s="1813">
        <v>1</v>
      </c>
      <c r="AC20" s="1813">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8"/>
      <c r="G22" s="2614"/>
      <c r="H22" s="448"/>
      <c r="I22" s="447"/>
      <c r="J22" s="448"/>
      <c r="K22" s="2615"/>
      <c r="L22" s="1143"/>
      <c r="M22" s="1134"/>
      <c r="N22" s="1134"/>
      <c r="O22" s="1134"/>
      <c r="P22" s="3239"/>
      <c r="Q22" s="1812"/>
      <c r="R22" s="774"/>
      <c r="S22" s="775"/>
      <c r="T22" s="774"/>
      <c r="U22" s="775"/>
      <c r="V22" s="774"/>
      <c r="W22" s="775"/>
      <c r="X22" s="1815"/>
      <c r="Y22" s="3172"/>
      <c r="Z22" s="1816"/>
      <c r="AA22" s="1813">
        <v>1</v>
      </c>
      <c r="AB22" s="1813">
        <v>1</v>
      </c>
      <c r="AC22" s="1813">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2" t="str">
        <f>B23</f>
        <v>自然及人文环境</v>
      </c>
      <c r="R23" s="774" t="s">
        <v>21</v>
      </c>
      <c r="S23" s="775">
        <f>F23</f>
        <v>100</v>
      </c>
      <c r="T23" s="774" t="s">
        <v>21</v>
      </c>
      <c r="U23" s="775">
        <f>H23</f>
        <v>100</v>
      </c>
      <c r="V23" s="774" t="s">
        <v>21</v>
      </c>
      <c r="W23" s="775">
        <f>J23</f>
        <v>100</v>
      </c>
      <c r="X23" s="1815"/>
      <c r="Y23" s="3172"/>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3"/>
      <c r="M24" s="1134"/>
      <c r="N24" s="1134"/>
      <c r="O24" s="1134"/>
      <c r="P24" s="3239"/>
      <c r="Q24" s="1812"/>
      <c r="R24" s="774"/>
      <c r="S24" s="775"/>
      <c r="T24" s="774"/>
      <c r="U24" s="775"/>
      <c r="V24" s="774"/>
      <c r="W24" s="775"/>
      <c r="X24" s="1815"/>
      <c r="Y24" s="3172"/>
      <c r="Z24" s="1816"/>
      <c r="AA24" s="1813">
        <v>1</v>
      </c>
      <c r="AB24" s="1813">
        <v>1</v>
      </c>
      <c r="AC24" s="1813">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2"/>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9"/>
      <c r="Q26" s="1812" t="str">
        <f t="shared" si="11"/>
        <v>朝向</v>
      </c>
      <c r="R26" s="774" t="s">
        <v>21</v>
      </c>
      <c r="S26" s="775">
        <f t="shared" si="12"/>
        <v>100</v>
      </c>
      <c r="T26" s="774" t="s">
        <v>21</v>
      </c>
      <c r="U26" s="775">
        <f t="shared" si="13"/>
        <v>100</v>
      </c>
      <c r="V26" s="774" t="s">
        <v>21</v>
      </c>
      <c r="W26" s="775">
        <f t="shared" si="14"/>
        <v>100</v>
      </c>
      <c r="X26" s="1815"/>
      <c r="Y26" s="3172"/>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9"/>
      <c r="Q27" s="1797">
        <f t="shared" si="11"/>
        <v>111</v>
      </c>
      <c r="R27" s="770" t="s">
        <v>21</v>
      </c>
      <c r="S27" s="771">
        <f t="shared" si="12"/>
        <v>100</v>
      </c>
      <c r="T27" s="770" t="s">
        <v>21</v>
      </c>
      <c r="U27" s="771">
        <f t="shared" si="13"/>
        <v>100</v>
      </c>
      <c r="V27" s="770" t="s">
        <v>21</v>
      </c>
      <c r="W27" s="771">
        <f t="shared" si="14"/>
        <v>100</v>
      </c>
      <c r="X27" s="772"/>
      <c r="Y27" s="3172"/>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9"/>
      <c r="Q28" s="1812">
        <f t="shared" si="11"/>
        <v>111</v>
      </c>
      <c r="R28" s="774" t="s">
        <v>21</v>
      </c>
      <c r="S28" s="775">
        <f t="shared" si="12"/>
        <v>100</v>
      </c>
      <c r="T28" s="774" t="s">
        <v>21</v>
      </c>
      <c r="U28" s="775">
        <f t="shared" si="13"/>
        <v>100</v>
      </c>
      <c r="V28" s="774" t="s">
        <v>21</v>
      </c>
      <c r="W28" s="775">
        <f t="shared" si="14"/>
        <v>100</v>
      </c>
      <c r="X28" s="1815"/>
      <c r="Y28" s="3172"/>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9"/>
      <c r="Q29" s="1812">
        <f t="shared" si="11"/>
        <v>111</v>
      </c>
      <c r="R29" s="774" t="s">
        <v>21</v>
      </c>
      <c r="S29" s="775">
        <f t="shared" si="12"/>
        <v>100</v>
      </c>
      <c r="T29" s="774" t="s">
        <v>21</v>
      </c>
      <c r="U29" s="775">
        <f t="shared" si="13"/>
        <v>100</v>
      </c>
      <c r="V29" s="774" t="s">
        <v>21</v>
      </c>
      <c r="W29" s="775">
        <f t="shared" si="14"/>
        <v>100</v>
      </c>
      <c r="X29" s="1815"/>
      <c r="Y29" s="3172"/>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9"/>
      <c r="Q30" s="1812">
        <f t="shared" si="11"/>
        <v>111</v>
      </c>
      <c r="R30" s="774" t="s">
        <v>21</v>
      </c>
      <c r="S30" s="775">
        <f t="shared" si="12"/>
        <v>100</v>
      </c>
      <c r="T30" s="774" t="s">
        <v>21</v>
      </c>
      <c r="U30" s="775">
        <f t="shared" si="13"/>
        <v>100</v>
      </c>
      <c r="V30" s="774" t="s">
        <v>21</v>
      </c>
      <c r="W30" s="775">
        <f t="shared" si="14"/>
        <v>100</v>
      </c>
      <c r="X30" s="1815"/>
      <c r="Y30" s="3172"/>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9"/>
      <c r="Q31" s="1812">
        <f t="shared" si="11"/>
        <v>111</v>
      </c>
      <c r="R31" s="774" t="s">
        <v>21</v>
      </c>
      <c r="S31" s="775">
        <f t="shared" si="12"/>
        <v>100</v>
      </c>
      <c r="T31" s="774" t="s">
        <v>21</v>
      </c>
      <c r="U31" s="775">
        <f t="shared" si="13"/>
        <v>100</v>
      </c>
      <c r="V31" s="774" t="s">
        <v>21</v>
      </c>
      <c r="W31" s="775">
        <f t="shared" si="14"/>
        <v>100</v>
      </c>
      <c r="X31" s="1815"/>
      <c r="Y31" s="3172"/>
      <c r="Z31" s="1816">
        <f t="shared" si="18"/>
        <v>111</v>
      </c>
      <c r="AA31" s="1813">
        <f t="shared" si="15"/>
        <v>1</v>
      </c>
      <c r="AB31" s="1813">
        <f t="shared" si="16"/>
        <v>1</v>
      </c>
      <c r="AC31" s="1813">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4" t="s">
        <v>2565</v>
      </c>
      <c r="Q32" s="1812" t="str">
        <f t="shared" si="11"/>
        <v>建筑类型</v>
      </c>
      <c r="R32" s="774" t="s">
        <v>21</v>
      </c>
      <c r="S32" s="775">
        <f t="shared" si="12"/>
        <v>100</v>
      </c>
      <c r="T32" s="774" t="s">
        <v>21</v>
      </c>
      <c r="U32" s="775">
        <f t="shared" si="13"/>
        <v>100</v>
      </c>
      <c r="V32" s="774" t="s">
        <v>21</v>
      </c>
      <c r="W32" s="775">
        <f t="shared" si="14"/>
        <v>100</v>
      </c>
      <c r="X32" s="1815"/>
      <c r="Y32" s="3174" t="s">
        <v>2565</v>
      </c>
      <c r="Z32" s="1816" t="str">
        <f t="shared" si="18"/>
        <v>建筑类型</v>
      </c>
      <c r="AA32" s="1813">
        <f t="shared" si="15"/>
        <v>1</v>
      </c>
      <c r="AB32" s="1813">
        <f t="shared" si="16"/>
        <v>1</v>
      </c>
      <c r="AC32" s="181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1813" t="e">
        <f t="shared" si="15"/>
        <v>#N/A</v>
      </c>
      <c r="AB33" s="1813" t="e">
        <f t="shared" si="16"/>
        <v>#N/A</v>
      </c>
      <c r="AC33" s="1813"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5"/>
      <c r="Q34" s="1812" t="str">
        <f t="shared" si="11"/>
        <v>建筑结构</v>
      </c>
      <c r="R34" s="774" t="s">
        <v>21</v>
      </c>
      <c r="S34" s="775">
        <f t="shared" si="12"/>
        <v>100</v>
      </c>
      <c r="T34" s="774" t="s">
        <v>21</v>
      </c>
      <c r="U34" s="775">
        <f t="shared" si="13"/>
        <v>100</v>
      </c>
      <c r="V34" s="774" t="s">
        <v>21</v>
      </c>
      <c r="W34" s="775">
        <f t="shared" si="14"/>
        <v>100</v>
      </c>
      <c r="X34" s="1815"/>
      <c r="Y34" s="3174"/>
      <c r="Z34" s="1816" t="str">
        <f t="shared" si="18"/>
        <v>建筑结构</v>
      </c>
      <c r="AA34" s="1813">
        <f t="shared" si="15"/>
        <v>1</v>
      </c>
      <c r="AB34" s="1813">
        <f t="shared" si="16"/>
        <v>1</v>
      </c>
      <c r="AC34" s="1813">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5"/>
      <c r="Q35" s="1812" t="str">
        <f t="shared" si="11"/>
        <v>建筑品质</v>
      </c>
      <c r="R35" s="774" t="s">
        <v>21</v>
      </c>
      <c r="S35" s="775">
        <f t="shared" si="12"/>
        <v>100</v>
      </c>
      <c r="T35" s="774" t="s">
        <v>21</v>
      </c>
      <c r="U35" s="775">
        <f t="shared" si="13"/>
        <v>100</v>
      </c>
      <c r="V35" s="774" t="s">
        <v>21</v>
      </c>
      <c r="W35" s="775">
        <f t="shared" si="14"/>
        <v>100</v>
      </c>
      <c r="X35" s="1815"/>
      <c r="Y35" s="3174"/>
      <c r="Z35" s="1816" t="str">
        <f t="shared" si="18"/>
        <v>建筑品质</v>
      </c>
      <c r="AA35" s="1813">
        <f t="shared" si="15"/>
        <v>1</v>
      </c>
      <c r="AB35" s="1813">
        <f t="shared" si="16"/>
        <v>1</v>
      </c>
      <c r="AC35" s="1813">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5"/>
      <c r="Q36" s="1812" t="str">
        <f t="shared" si="11"/>
        <v>公共部分装修</v>
      </c>
      <c r="R36" s="774" t="s">
        <v>21</v>
      </c>
      <c r="S36" s="775">
        <f t="shared" si="12"/>
        <v>100</v>
      </c>
      <c r="T36" s="774" t="s">
        <v>21</v>
      </c>
      <c r="U36" s="775">
        <f t="shared" si="13"/>
        <v>100</v>
      </c>
      <c r="V36" s="774" t="s">
        <v>21</v>
      </c>
      <c r="W36" s="775">
        <f t="shared" si="14"/>
        <v>100</v>
      </c>
      <c r="X36" s="1815"/>
      <c r="Y36" s="3174"/>
      <c r="Z36" s="1816" t="str">
        <f t="shared" si="18"/>
        <v>公共部分装修</v>
      </c>
      <c r="AA36" s="1813">
        <f t="shared" si="15"/>
        <v>1</v>
      </c>
      <c r="AB36" s="1813">
        <f t="shared" si="16"/>
        <v>1</v>
      </c>
      <c r="AC36" s="181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7"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5" t="s">
        <v>2565</v>
      </c>
      <c r="Q38" s="1812" t="str">
        <f t="shared" si="11"/>
        <v>物业管理</v>
      </c>
      <c r="R38" s="774" t="s">
        <v>21</v>
      </c>
      <c r="S38" s="775">
        <f t="shared" si="12"/>
        <v>100</v>
      </c>
      <c r="T38" s="774" t="s">
        <v>21</v>
      </c>
      <c r="U38" s="775">
        <f t="shared" si="13"/>
        <v>100</v>
      </c>
      <c r="V38" s="774" t="s">
        <v>21</v>
      </c>
      <c r="W38" s="775">
        <f t="shared" si="14"/>
        <v>100</v>
      </c>
      <c r="X38" s="1815"/>
      <c r="Y38" s="3174" t="s">
        <v>2565</v>
      </c>
      <c r="Z38" s="1816" t="str">
        <f t="shared" si="18"/>
        <v>物业管理</v>
      </c>
      <c r="AA38" s="1813">
        <f t="shared" si="15"/>
        <v>1</v>
      </c>
      <c r="AB38" s="1813">
        <f t="shared" si="16"/>
        <v>1</v>
      </c>
      <c r="AC38" s="1813">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5"/>
      <c r="Q39" s="1812" t="str">
        <f t="shared" si="11"/>
        <v>市政基础设施</v>
      </c>
      <c r="R39" s="774" t="s">
        <v>21</v>
      </c>
      <c r="S39" s="775">
        <f t="shared" si="12"/>
        <v>100</v>
      </c>
      <c r="T39" s="774" t="s">
        <v>21</v>
      </c>
      <c r="U39" s="775">
        <f t="shared" si="13"/>
        <v>100</v>
      </c>
      <c r="V39" s="774" t="s">
        <v>21</v>
      </c>
      <c r="W39" s="775">
        <f t="shared" si="14"/>
        <v>100</v>
      </c>
      <c r="X39" s="1815"/>
      <c r="Y39" s="3174"/>
      <c r="Z39" s="1816" t="str">
        <f t="shared" si="18"/>
        <v>市政基础设施</v>
      </c>
      <c r="AA39" s="1813">
        <f t="shared" si="15"/>
        <v>1</v>
      </c>
      <c r="AB39" s="1813">
        <f t="shared" si="16"/>
        <v>1</v>
      </c>
      <c r="AC39" s="1813">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5"/>
      <c r="Q40" s="1812" t="str">
        <f t="shared" si="11"/>
        <v>房型</v>
      </c>
      <c r="R40" s="774" t="s">
        <v>21</v>
      </c>
      <c r="S40" s="775">
        <f t="shared" si="12"/>
        <v>100</v>
      </c>
      <c r="T40" s="774" t="s">
        <v>21</v>
      </c>
      <c r="U40" s="775">
        <f t="shared" si="13"/>
        <v>100</v>
      </c>
      <c r="V40" s="774" t="s">
        <v>21</v>
      </c>
      <c r="W40" s="775">
        <f t="shared" si="14"/>
        <v>100</v>
      </c>
      <c r="X40" s="1815"/>
      <c r="Y40" s="3174"/>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3">
        <f t="shared" si="15"/>
        <v>1</v>
      </c>
      <c r="AB41" s="1813">
        <f t="shared" si="16"/>
        <v>1</v>
      </c>
      <c r="AC41" s="1813">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5"/>
      <c r="Q42" s="1812" t="str">
        <f t="shared" si="11"/>
        <v>内部装修</v>
      </c>
      <c r="R42" s="774" t="s">
        <v>21</v>
      </c>
      <c r="S42" s="775">
        <f t="shared" si="12"/>
        <v>100</v>
      </c>
      <c r="T42" s="774" t="s">
        <v>21</v>
      </c>
      <c r="U42" s="775">
        <f t="shared" si="13"/>
        <v>100</v>
      </c>
      <c r="V42" s="774" t="s">
        <v>21</v>
      </c>
      <c r="W42" s="775">
        <f t="shared" si="14"/>
        <v>100</v>
      </c>
      <c r="X42" s="1815"/>
      <c r="Y42" s="3174"/>
      <c r="Z42" s="1816" t="str">
        <f t="shared" si="18"/>
        <v>内部装修</v>
      </c>
      <c r="AA42" s="1813">
        <f t="shared" si="15"/>
        <v>1</v>
      </c>
      <c r="AB42" s="1813">
        <f t="shared" si="16"/>
        <v>1</v>
      </c>
      <c r="AC42" s="1813">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5"/>
      <c r="Q43" s="1812" t="str">
        <f t="shared" si="11"/>
        <v>内部装修维护情况</v>
      </c>
      <c r="R43" s="774" t="s">
        <v>21</v>
      </c>
      <c r="S43" s="775">
        <f t="shared" si="12"/>
        <v>100</v>
      </c>
      <c r="T43" s="774" t="s">
        <v>21</v>
      </c>
      <c r="U43" s="775">
        <f t="shared" si="13"/>
        <v>100</v>
      </c>
      <c r="V43" s="774" t="s">
        <v>21</v>
      </c>
      <c r="W43" s="775">
        <f t="shared" si="14"/>
        <v>100</v>
      </c>
      <c r="X43" s="1815"/>
      <c r="Y43" s="3174"/>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5"/>
      <c r="Q44" s="1797">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5"/>
      <c r="Q45" s="1812">
        <f t="shared" si="11"/>
        <v>111</v>
      </c>
      <c r="R45" s="774" t="s">
        <v>21</v>
      </c>
      <c r="S45" s="775">
        <f t="shared" si="12"/>
        <v>100</v>
      </c>
      <c r="T45" s="774" t="s">
        <v>21</v>
      </c>
      <c r="U45" s="775">
        <f t="shared" si="13"/>
        <v>100</v>
      </c>
      <c r="V45" s="774" t="s">
        <v>21</v>
      </c>
      <c r="W45" s="775">
        <f t="shared" si="14"/>
        <v>100</v>
      </c>
      <c r="X45" s="1815"/>
      <c r="Y45" s="3174"/>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6"/>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2577</v>
      </c>
      <c r="B47" s="480"/>
      <c r="C47" s="1410" t="s">
        <v>19</v>
      </c>
      <c r="D47" s="1411"/>
      <c r="E47" s="1412"/>
      <c r="F47" s="1413"/>
      <c r="G47" s="1414"/>
      <c r="H47" s="1415"/>
      <c r="I47" s="1412"/>
      <c r="J47" s="1415"/>
      <c r="K47" s="2624"/>
      <c r="L47" s="1146"/>
      <c r="M47" s="1147"/>
      <c r="N47" s="1134"/>
      <c r="O47" s="1147"/>
      <c r="P47" s="3169" t="str">
        <f>A47</f>
        <v>成交单价（元/平方米）</v>
      </c>
      <c r="Q47" s="3169"/>
      <c r="R47" s="3233">
        <f>E47</f>
        <v>0</v>
      </c>
      <c r="S47" s="3233"/>
      <c r="T47" s="3233">
        <f>G47</f>
        <v>0</v>
      </c>
      <c r="U47" s="3233"/>
      <c r="V47" s="3233">
        <f>I47</f>
        <v>0</v>
      </c>
      <c r="W47" s="3233"/>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5"/>
      <c r="L48" s="1146"/>
      <c r="M48" s="1147"/>
      <c r="N48" s="1147"/>
      <c r="O48" s="1147"/>
      <c r="P48" s="3169" t="str">
        <f>A48</f>
        <v>比较价值（元/平方米）</v>
      </c>
      <c r="Q48" s="316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6"/>
      <c r="L49" s="1146"/>
      <c r="M49" s="1147"/>
      <c r="N49" s="1147"/>
      <c r="O49" s="1147"/>
      <c r="P49" s="3163" t="str">
        <f>A49</f>
        <v>估价对象XX用房的比较价值（楼面单价，元/平方米）</v>
      </c>
      <c r="Q49" s="3164"/>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29"/>
      <c r="Q57" s="504"/>
    </row>
    <row r="58" spans="1:29" s="508" customFormat="1" ht="15">
      <c r="A58" s="505" t="s">
        <v>2584</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2588</v>
      </c>
      <c r="B63" s="528" t="s">
        <v>2554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2604</v>
      </c>
      <c r="D82" s="539" t="s">
        <v>2605</v>
      </c>
      <c r="E82" s="539" t="s">
        <v>2606</v>
      </c>
      <c r="F82" s="539" t="s">
        <v>2607</v>
      </c>
      <c r="G82" s="539" t="s">
        <v>2608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2563</v>
      </c>
      <c r="B100" s="528" t="s">
        <v>2612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7">
        <v>6</v>
      </c>
      <c r="C139" s="1088">
        <v>96</v>
      </c>
      <c r="D139" s="2651" t="s">
        <v>2631</v>
      </c>
      <c r="E139" s="1089">
        <v>100</v>
      </c>
      <c r="F139" s="1090">
        <v>102.5</v>
      </c>
      <c r="G139" s="2651" t="s">
        <v>2631</v>
      </c>
      <c r="H139" s="1091">
        <v>105</v>
      </c>
      <c r="I139" s="2652" t="s">
        <v>2632</v>
      </c>
      <c r="J139" s="1088">
        <v>20</v>
      </c>
      <c r="K139" s="1092">
        <f>C145/(J139-2)</f>
        <v>4.0555555555555553E-3</v>
      </c>
    </row>
    <row r="140" spans="1:17" ht="15">
      <c r="B140" s="1093">
        <v>5</v>
      </c>
      <c r="C140" s="1094">
        <v>100</v>
      </c>
      <c r="D140" s="1094"/>
      <c r="E140" s="1095"/>
      <c r="F140" s="1096">
        <v>102</v>
      </c>
      <c r="G140" s="1094"/>
      <c r="H140" s="1097"/>
      <c r="I140" s="2653" t="s">
        <v>2633</v>
      </c>
      <c r="J140" s="315">
        <f>ROUNDUP((J139-1)/2,0)</f>
        <v>10</v>
      </c>
      <c r="K140" s="1098">
        <v>100</v>
      </c>
    </row>
    <row r="141" spans="1:17" ht="15">
      <c r="B141" s="1093">
        <v>4</v>
      </c>
      <c r="C141" s="1094">
        <v>102</v>
      </c>
      <c r="D141" s="1094"/>
      <c r="E141" s="1095"/>
      <c r="F141" s="1096">
        <v>101.5</v>
      </c>
      <c r="G141" s="1094"/>
      <c r="H141" s="1097"/>
      <c r="I141" s="2653" t="s">
        <v>2634</v>
      </c>
      <c r="J141" s="315">
        <v>1</v>
      </c>
      <c r="K141" s="1099">
        <f>ROUND(100+(J141-J140)*K139*100,1)</f>
        <v>96.4</v>
      </c>
    </row>
    <row r="142" spans="1:17" ht="15">
      <c r="B142" s="1093">
        <v>3</v>
      </c>
      <c r="C142" s="1094">
        <v>103</v>
      </c>
      <c r="D142" s="1094"/>
      <c r="E142" s="1095"/>
      <c r="F142" s="1096">
        <v>101</v>
      </c>
      <c r="G142" s="1094"/>
      <c r="H142" s="1097"/>
      <c r="I142" s="2653" t="s">
        <v>2635</v>
      </c>
      <c r="J142" s="315">
        <f>J139</f>
        <v>20</v>
      </c>
      <c r="K142" s="1100">
        <v>95</v>
      </c>
    </row>
    <row r="143" spans="1:17" ht="15">
      <c r="B143" s="1093">
        <v>2</v>
      </c>
      <c r="C143" s="1094">
        <v>100</v>
      </c>
      <c r="D143" s="1094"/>
      <c r="E143" s="1095"/>
      <c r="F143" s="1096">
        <v>100.5</v>
      </c>
      <c r="G143" s="1094"/>
      <c r="H143" s="1097"/>
      <c r="I143" s="2653" t="s">
        <v>2636</v>
      </c>
      <c r="J143" s="1094">
        <v>15</v>
      </c>
      <c r="K143" s="1099">
        <f>ROUND(100+(J143-J140)*K139*100,1)</f>
        <v>102</v>
      </c>
    </row>
    <row r="144" spans="1:17" ht="15">
      <c r="B144" s="1093">
        <v>1</v>
      </c>
      <c r="C144" s="1094">
        <v>98</v>
      </c>
      <c r="D144" s="2654" t="s">
        <v>2637</v>
      </c>
      <c r="E144" s="1095">
        <v>102</v>
      </c>
      <c r="F144" s="1101">
        <v>100</v>
      </c>
      <c r="G144" s="2654" t="s">
        <v>2637</v>
      </c>
      <c r="H144" s="1097">
        <v>105</v>
      </c>
      <c r="I144" s="2653" t="s">
        <v>2636</v>
      </c>
      <c r="J144" s="1094">
        <v>18</v>
      </c>
      <c r="K144" s="1099">
        <f>ROUND(100+(J144-J140)*K139*100,1)</f>
        <v>103.2</v>
      </c>
    </row>
    <row r="145" spans="2:11" ht="15.75" thickBot="1">
      <c r="B145" s="2655" t="s">
        <v>2638</v>
      </c>
      <c r="C145" s="1102">
        <f>ROUND(MAX(C139:C144)/MIN(C139:C144)-1,3)</f>
        <v>7.2999999999999995E-2</v>
      </c>
      <c r="D145" s="1103"/>
      <c r="E145" s="1103"/>
      <c r="F145" s="2656" t="s">
        <v>2639</v>
      </c>
      <c r="G145" s="2657"/>
      <c r="H145" s="2658"/>
      <c r="I145" s="2659" t="s">
        <v>2636</v>
      </c>
      <c r="J145" s="1104">
        <v>8</v>
      </c>
      <c r="K145" s="1105">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5" t="s">
        <v>2642</v>
      </c>
      <c r="C1" s="1636" t="s">
        <v>2530</v>
      </c>
      <c r="D1" s="1623"/>
      <c r="E1" s="2660"/>
      <c r="F1" s="2587"/>
      <c r="G1" s="1633" t="s">
        <v>2643</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2327</v>
      </c>
      <c r="B2" s="1421" t="e">
        <f ca="1">IF(C2="——",ROUND(C49*D3/10000,0),ROUND(C49*D3/10000,0)-D2)</f>
        <v>#DIV/0!</v>
      </c>
      <c r="C2" s="2589"/>
      <c r="D2" s="1368" t="e">
        <f ca="1">SUMIF(INDIRECT("'"&amp;F2&amp;"'"&amp;"!A:A"),"承租人权益价值",INDIRECT("'"&amp;F2&amp;"'"&amp;"!c:c"))</f>
        <v>#REF!</v>
      </c>
      <c r="E2" s="2590" t="s">
        <v>2328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2329</v>
      </c>
      <c r="B3" s="609" t="e">
        <f ca="1">IF(C2="——",C49,ROUND(B2*10000/D3,0))</f>
        <v>#DIV/0!</v>
      </c>
      <c r="C3" s="400" t="s">
        <v>2644</v>
      </c>
      <c r="D3" s="399">
        <f>IF(D1="",'数据-汇总表'!E3,SUMIF('数据-汇总表'!$C19:$C33,D1,'数据-汇总表'!$E19:$E33))</f>
        <v>8062.31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5" t="s">
        <v>2648</v>
      </c>
      <c r="AC4" s="3176" t="s">
        <v>2649</v>
      </c>
    </row>
    <row r="5" spans="1:29" ht="15">
      <c r="A5" s="404"/>
      <c r="B5" s="405"/>
      <c r="C5" s="3196" t="s">
        <v>2542</v>
      </c>
      <c r="D5" s="3197"/>
      <c r="E5" s="3203" t="s">
        <v>2543</v>
      </c>
      <c r="F5" s="3204"/>
      <c r="G5" s="3196" t="s">
        <v>2544</v>
      </c>
      <c r="H5" s="3197"/>
      <c r="I5" s="3196" t="s">
        <v>2545</v>
      </c>
      <c r="J5" s="3197"/>
      <c r="K5" s="610"/>
      <c r="L5" s="1133"/>
      <c r="M5" s="1134"/>
      <c r="N5" s="1134"/>
      <c r="O5" s="1134"/>
      <c r="P5" s="3184"/>
      <c r="Q5" s="3185"/>
      <c r="R5" s="3190"/>
      <c r="S5" s="3191"/>
      <c r="T5" s="3190"/>
      <c r="U5" s="3191"/>
      <c r="V5" s="3175"/>
      <c r="W5" s="3175"/>
      <c r="X5" s="1815"/>
      <c r="Y5" s="3190"/>
      <c r="Z5" s="3191"/>
      <c r="AA5" s="3177"/>
      <c r="AB5" s="3175"/>
      <c r="AC5" s="3177"/>
    </row>
    <row r="6" spans="1:29" ht="15.75" thickBot="1">
      <c r="A6" s="406"/>
      <c r="B6" s="407"/>
      <c r="C6" s="3194" t="s">
        <v>2546</v>
      </c>
      <c r="D6" s="3195"/>
      <c r="E6" s="3201" t="s">
        <v>2546</v>
      </c>
      <c r="F6" s="3202"/>
      <c r="G6" s="3194" t="s">
        <v>2546</v>
      </c>
      <c r="H6" s="3195"/>
      <c r="I6" s="3194" t="s">
        <v>2546</v>
      </c>
      <c r="J6" s="3195"/>
      <c r="K6" s="610" t="s">
        <v>2547</v>
      </c>
      <c r="L6" s="1133"/>
      <c r="M6" s="1134"/>
      <c r="N6" s="1134"/>
      <c r="O6" s="1134"/>
      <c r="P6" s="3186"/>
      <c r="Q6" s="3187"/>
      <c r="R6" s="3190"/>
      <c r="S6" s="3191"/>
      <c r="T6" s="3192"/>
      <c r="U6" s="3193"/>
      <c r="V6" s="3175"/>
      <c r="W6" s="3175"/>
      <c r="X6" s="1815"/>
      <c r="Y6" s="3192"/>
      <c r="Z6" s="3193"/>
      <c r="AA6" s="3178"/>
      <c r="AB6" s="3175"/>
      <c r="AC6" s="3178"/>
    </row>
    <row r="7" spans="1:29" s="117" customFormat="1" ht="15.75" thickBot="1">
      <c r="A7" s="408" t="s">
        <v>2548</v>
      </c>
      <c r="B7" s="409"/>
      <c r="C7" s="410">
        <f>'数据-取费表'!B2</f>
        <v>43404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8" t="s">
        <v>2549</v>
      </c>
      <c r="Q7" s="3200"/>
      <c r="R7" s="770" t="s">
        <v>17</v>
      </c>
      <c r="S7" s="771">
        <f t="shared" ref="S7:S15" si="0">F7</f>
        <v>0</v>
      </c>
      <c r="T7" s="770" t="s">
        <v>17</v>
      </c>
      <c r="U7" s="771">
        <f t="shared" ref="U7:U15" si="1">H7</f>
        <v>0</v>
      </c>
      <c r="V7" s="770" t="s">
        <v>17</v>
      </c>
      <c r="W7" s="771">
        <f t="shared" ref="W7:W15" si="2">J7</f>
        <v>0</v>
      </c>
      <c r="X7" s="772"/>
      <c r="Y7" s="3198" t="s">
        <v>2549</v>
      </c>
      <c r="Z7" s="319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8" t="s">
        <v>2552</v>
      </c>
      <c r="Q8" s="3199"/>
      <c r="R8" s="770" t="s">
        <v>17</v>
      </c>
      <c r="S8" s="771">
        <f t="shared" si="0"/>
        <v>0</v>
      </c>
      <c r="T8" s="770" t="s">
        <v>17</v>
      </c>
      <c r="U8" s="771">
        <f t="shared" si="1"/>
        <v>0</v>
      </c>
      <c r="V8" s="770" t="s">
        <v>17</v>
      </c>
      <c r="W8" s="771">
        <f t="shared" si="2"/>
        <v>0</v>
      </c>
      <c r="X8" s="772"/>
      <c r="Y8" s="3198" t="s">
        <v>2552</v>
      </c>
      <c r="Z8" s="319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2560</v>
      </c>
      <c r="Q15" s="1812" t="str">
        <f t="shared" si="6"/>
        <v>商业繁华度</v>
      </c>
      <c r="R15" s="774" t="s">
        <v>17</v>
      </c>
      <c r="S15" s="775">
        <f t="shared" si="0"/>
        <v>100</v>
      </c>
      <c r="T15" s="774" t="s">
        <v>17</v>
      </c>
      <c r="U15" s="775">
        <f t="shared" si="1"/>
        <v>100</v>
      </c>
      <c r="V15" s="774" t="s">
        <v>17</v>
      </c>
      <c r="W15" s="775">
        <f t="shared" si="2"/>
        <v>100</v>
      </c>
      <c r="X15" s="1815"/>
      <c r="Y15" s="3171"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9"/>
      <c r="Q16" s="1812"/>
      <c r="R16" s="774"/>
      <c r="S16" s="775"/>
      <c r="T16" s="774"/>
      <c r="U16" s="775"/>
      <c r="V16" s="774"/>
      <c r="W16" s="775"/>
      <c r="X16" s="1815"/>
      <c r="Y16" s="3172"/>
      <c r="Z16" s="1816"/>
      <c r="AA16" s="1813">
        <v>1</v>
      </c>
      <c r="AB16" s="1813">
        <v>1</v>
      </c>
      <c r="AC16" s="1813">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34"/>
      <c r="P18" s="3239"/>
      <c r="Q18" s="1812"/>
      <c r="R18" s="774"/>
      <c r="S18" s="775"/>
      <c r="T18" s="774"/>
      <c r="U18" s="775"/>
      <c r="V18" s="774"/>
      <c r="W18" s="775"/>
      <c r="X18" s="1815"/>
      <c r="Y18" s="3172"/>
      <c r="Z18" s="1816"/>
      <c r="AA18" s="1813">
        <v>1</v>
      </c>
      <c r="AB18" s="1813">
        <v>1</v>
      </c>
      <c r="AC18" s="1813">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34"/>
      <c r="P20" s="3239"/>
      <c r="Q20" s="1812"/>
      <c r="R20" s="774"/>
      <c r="S20" s="775"/>
      <c r="T20" s="774"/>
      <c r="U20" s="775"/>
      <c r="V20" s="774"/>
      <c r="W20" s="775"/>
      <c r="X20" s="1815"/>
      <c r="Y20" s="3172"/>
      <c r="Z20" s="1816"/>
      <c r="AA20" s="1813">
        <v>1</v>
      </c>
      <c r="AB20" s="1813">
        <v>1</v>
      </c>
      <c r="AC20" s="1813">
        <v>1</v>
      </c>
    </row>
    <row r="21" spans="1:29" ht="28.5">
      <c r="A21" s="428"/>
      <c r="B21" s="1387"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34"/>
      <c r="P22" s="3239"/>
      <c r="Q22" s="1812"/>
      <c r="R22" s="774"/>
      <c r="S22" s="775"/>
      <c r="T22" s="774"/>
      <c r="U22" s="775"/>
      <c r="V22" s="774"/>
      <c r="W22" s="775"/>
      <c r="X22" s="1815"/>
      <c r="Y22" s="3172"/>
      <c r="Z22" s="1816"/>
      <c r="AA22" s="1813">
        <v>1</v>
      </c>
      <c r="AB22" s="1813">
        <v>1</v>
      </c>
      <c r="AC22" s="1813">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2" t="str">
        <f>B23</f>
        <v>自然及人文环境</v>
      </c>
      <c r="R23" s="774" t="s">
        <v>17</v>
      </c>
      <c r="S23" s="775">
        <f>F23</f>
        <v>100</v>
      </c>
      <c r="T23" s="774" t="s">
        <v>17</v>
      </c>
      <c r="U23" s="775">
        <f>H23</f>
        <v>100</v>
      </c>
      <c r="V23" s="774" t="s">
        <v>17</v>
      </c>
      <c r="W23" s="775">
        <f>J23</f>
        <v>100</v>
      </c>
      <c r="X23" s="1815"/>
      <c r="Y23" s="3172"/>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3"/>
      <c r="M24" s="1134"/>
      <c r="N24" s="1134"/>
      <c r="O24" s="1134"/>
      <c r="P24" s="3239"/>
      <c r="Q24" s="1812"/>
      <c r="R24" s="774"/>
      <c r="S24" s="775"/>
      <c r="T24" s="774"/>
      <c r="U24" s="775"/>
      <c r="V24" s="774"/>
      <c r="W24" s="775"/>
      <c r="X24" s="1815"/>
      <c r="Y24" s="3172"/>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2" t="str">
        <f t="shared" ref="Q25:Q46" si="11">B25</f>
        <v>临街状况</v>
      </c>
      <c r="R25" s="774" t="s">
        <v>17</v>
      </c>
      <c r="S25" s="775">
        <f>F25</f>
        <v>100</v>
      </c>
      <c r="T25" s="774" t="s">
        <v>17</v>
      </c>
      <c r="U25" s="775">
        <f>H25</f>
        <v>100</v>
      </c>
      <c r="V25" s="774" t="s">
        <v>17</v>
      </c>
      <c r="W25" s="775">
        <f>J25</f>
        <v>100</v>
      </c>
      <c r="X25" s="1815"/>
      <c r="Y25" s="3172"/>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2" t="str">
        <f t="shared" si="11"/>
        <v>平面位置/可视性</v>
      </c>
      <c r="R26" s="774" t="s">
        <v>17</v>
      </c>
      <c r="S26" s="775">
        <f>F26</f>
        <v>100</v>
      </c>
      <c r="T26" s="774" t="s">
        <v>17</v>
      </c>
      <c r="U26" s="775">
        <f>H26</f>
        <v>100</v>
      </c>
      <c r="V26" s="774" t="s">
        <v>17</v>
      </c>
      <c r="W26" s="775">
        <f>J26</f>
        <v>100</v>
      </c>
      <c r="X26" s="1815"/>
      <c r="Y26" s="3172"/>
      <c r="Z26" s="1816" t="str">
        <f>Q26</f>
        <v>平面位置/可视性</v>
      </c>
      <c r="AA26" s="1813">
        <f t="shared" si="3"/>
        <v>1</v>
      </c>
      <c r="AB26" s="1813">
        <f t="shared" si="4"/>
        <v>1</v>
      </c>
      <c r="AC26" s="1813">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9"/>
      <c r="Q27" s="1797" t="str">
        <f t="shared" si="11"/>
        <v>人流量</v>
      </c>
      <c r="R27" s="770" t="s">
        <v>17</v>
      </c>
      <c r="S27" s="771">
        <f>F27</f>
        <v>100</v>
      </c>
      <c r="T27" s="770" t="s">
        <v>17</v>
      </c>
      <c r="U27" s="771">
        <f>H27</f>
        <v>100</v>
      </c>
      <c r="V27" s="770" t="s">
        <v>17</v>
      </c>
      <c r="W27" s="771">
        <f>J27</f>
        <v>100</v>
      </c>
      <c r="X27" s="772"/>
      <c r="Y27" s="3172"/>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2">
        <f t="shared" si="11"/>
        <v>111</v>
      </c>
      <c r="R29" s="774" t="s">
        <v>17</v>
      </c>
      <c r="S29" s="775">
        <f t="shared" si="12"/>
        <v>100</v>
      </c>
      <c r="T29" s="774" t="s">
        <v>17</v>
      </c>
      <c r="U29" s="775">
        <f t="shared" si="13"/>
        <v>100</v>
      </c>
      <c r="V29" s="774" t="s">
        <v>17</v>
      </c>
      <c r="W29" s="775">
        <f t="shared" si="14"/>
        <v>100</v>
      </c>
      <c r="X29" s="1815"/>
      <c r="Y29" s="317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7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72"/>
      <c r="Z31" s="1816">
        <f t="shared" si="15"/>
        <v>111</v>
      </c>
      <c r="AA31" s="1813">
        <f t="shared" si="3"/>
        <v>1</v>
      </c>
      <c r="AB31" s="1813">
        <f t="shared" si="4"/>
        <v>1</v>
      </c>
      <c r="AC31" s="1813">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4" t="s">
        <v>2565</v>
      </c>
      <c r="Q32" s="1812" t="str">
        <f t="shared" si="11"/>
        <v>商业类型</v>
      </c>
      <c r="R32" s="774" t="s">
        <v>17</v>
      </c>
      <c r="S32" s="775">
        <f t="shared" si="12"/>
        <v>100</v>
      </c>
      <c r="T32" s="774" t="s">
        <v>17</v>
      </c>
      <c r="U32" s="775">
        <f t="shared" si="13"/>
        <v>100</v>
      </c>
      <c r="V32" s="774" t="s">
        <v>17</v>
      </c>
      <c r="W32" s="775">
        <f t="shared" si="14"/>
        <v>100</v>
      </c>
      <c r="X32" s="1815"/>
      <c r="Y32" s="3174"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3" t="e">
        <f t="shared" si="3"/>
        <v>#N/A</v>
      </c>
      <c r="AB33" s="1813" t="e">
        <f t="shared" si="4"/>
        <v>#N/A</v>
      </c>
      <c r="AC33" s="1813"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5"/>
      <c r="Q34" s="1812" t="str">
        <f t="shared" si="11"/>
        <v>建筑结构</v>
      </c>
      <c r="R34" s="774" t="s">
        <v>17</v>
      </c>
      <c r="S34" s="775">
        <f t="shared" si="12"/>
        <v>100</v>
      </c>
      <c r="T34" s="774" t="s">
        <v>17</v>
      </c>
      <c r="U34" s="775">
        <f t="shared" si="13"/>
        <v>100</v>
      </c>
      <c r="V34" s="774" t="s">
        <v>17</v>
      </c>
      <c r="W34" s="775">
        <f t="shared" si="14"/>
        <v>100</v>
      </c>
      <c r="X34" s="1815"/>
      <c r="Y34" s="3174"/>
      <c r="Z34" s="1816" t="str">
        <f t="shared" si="15"/>
        <v>建筑结构</v>
      </c>
      <c r="AA34" s="1813">
        <f t="shared" si="3"/>
        <v>1</v>
      </c>
      <c r="AB34" s="1813">
        <f t="shared" si="4"/>
        <v>1</v>
      </c>
      <c r="AC34" s="1813">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5"/>
      <c r="Q35" s="1812" t="str">
        <f t="shared" si="11"/>
        <v>公共部分装修</v>
      </c>
      <c r="R35" s="774" t="s">
        <v>17</v>
      </c>
      <c r="S35" s="775">
        <f t="shared" si="12"/>
        <v>100</v>
      </c>
      <c r="T35" s="774" t="s">
        <v>17</v>
      </c>
      <c r="U35" s="775">
        <f t="shared" si="13"/>
        <v>100</v>
      </c>
      <c r="V35" s="774" t="s">
        <v>17</v>
      </c>
      <c r="W35" s="775">
        <f t="shared" si="14"/>
        <v>100</v>
      </c>
      <c r="X35" s="1815"/>
      <c r="Y35" s="3174"/>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2" t="str">
        <f t="shared" si="11"/>
        <v>成新度</v>
      </c>
      <c r="R36" s="774" t="s">
        <v>17</v>
      </c>
      <c r="S36" s="775" t="e">
        <f t="shared" si="12"/>
        <v>#N/A</v>
      </c>
      <c r="T36" s="774" t="s">
        <v>17</v>
      </c>
      <c r="U36" s="775" t="e">
        <f t="shared" si="13"/>
        <v>#N/A</v>
      </c>
      <c r="V36" s="774" t="s">
        <v>17</v>
      </c>
      <c r="W36" s="775" t="e">
        <f t="shared" si="14"/>
        <v>#N/A</v>
      </c>
      <c r="X36" s="1815"/>
      <c r="Y36" s="3174"/>
      <c r="Z36" s="1816" t="str">
        <f t="shared" si="15"/>
        <v>成新度</v>
      </c>
      <c r="AA36" s="1813" t="e">
        <f t="shared" si="3"/>
        <v>#N/A</v>
      </c>
      <c r="AB36" s="1813" t="e">
        <f t="shared" si="4"/>
        <v>#N/A</v>
      </c>
      <c r="AC36" s="1813"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5"/>
      <c r="Q37" s="1797"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5" t="s">
        <v>2565</v>
      </c>
      <c r="Q38" s="1812" t="str">
        <f t="shared" si="11"/>
        <v>业态</v>
      </c>
      <c r="R38" s="774" t="s">
        <v>17</v>
      </c>
      <c r="S38" s="775">
        <f t="shared" si="12"/>
        <v>100</v>
      </c>
      <c r="T38" s="774" t="s">
        <v>17</v>
      </c>
      <c r="U38" s="775">
        <f t="shared" si="13"/>
        <v>100</v>
      </c>
      <c r="V38" s="774" t="s">
        <v>17</v>
      </c>
      <c r="W38" s="775">
        <f t="shared" si="14"/>
        <v>100</v>
      </c>
      <c r="X38" s="1815"/>
      <c r="Y38" s="3174" t="s">
        <v>2565</v>
      </c>
      <c r="Z38" s="1816" t="str">
        <f t="shared" si="15"/>
        <v>业态</v>
      </c>
      <c r="AA38" s="1813">
        <f t="shared" si="3"/>
        <v>1</v>
      </c>
      <c r="AB38" s="1813">
        <f t="shared" si="4"/>
        <v>1</v>
      </c>
      <c r="AC38" s="1813">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5"/>
      <c r="Q39" s="1812" t="str">
        <f t="shared" si="11"/>
        <v>层高</v>
      </c>
      <c r="R39" s="774" t="s">
        <v>17</v>
      </c>
      <c r="S39" s="775">
        <f t="shared" si="12"/>
        <v>100</v>
      </c>
      <c r="T39" s="774" t="s">
        <v>17</v>
      </c>
      <c r="U39" s="775">
        <f t="shared" si="13"/>
        <v>100</v>
      </c>
      <c r="V39" s="774" t="s">
        <v>17</v>
      </c>
      <c r="W39" s="775">
        <f t="shared" si="14"/>
        <v>100</v>
      </c>
      <c r="X39" s="1815"/>
      <c r="Y39" s="3174"/>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2" t="str">
        <f t="shared" si="11"/>
        <v>单套建筑面积</v>
      </c>
      <c r="R40" s="774" t="s">
        <v>17</v>
      </c>
      <c r="S40" s="775">
        <f t="shared" si="12"/>
        <v>100</v>
      </c>
      <c r="T40" s="774" t="s">
        <v>17</v>
      </c>
      <c r="U40" s="775">
        <f t="shared" si="13"/>
        <v>100</v>
      </c>
      <c r="V40" s="774" t="s">
        <v>17</v>
      </c>
      <c r="W40" s="775">
        <f t="shared" si="14"/>
        <v>100</v>
      </c>
      <c r="X40" s="1815"/>
      <c r="Y40" s="3174"/>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3">
        <f t="shared" si="3"/>
        <v>1</v>
      </c>
      <c r="AB41" s="1813">
        <f t="shared" si="4"/>
        <v>1</v>
      </c>
      <c r="AC41" s="1813">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5"/>
      <c r="Q42" s="1812" t="str">
        <f t="shared" si="11"/>
        <v>内部装修</v>
      </c>
      <c r="R42" s="774" t="s">
        <v>17</v>
      </c>
      <c r="S42" s="775">
        <f t="shared" si="12"/>
        <v>100</v>
      </c>
      <c r="T42" s="774" t="s">
        <v>17</v>
      </c>
      <c r="U42" s="775">
        <f t="shared" si="13"/>
        <v>100</v>
      </c>
      <c r="V42" s="774" t="s">
        <v>17</v>
      </c>
      <c r="W42" s="775">
        <f t="shared" si="14"/>
        <v>100</v>
      </c>
      <c r="X42" s="1815"/>
      <c r="Y42" s="3174"/>
      <c r="Z42" s="1816" t="str">
        <f t="shared" si="15"/>
        <v>内部装修</v>
      </c>
      <c r="AA42" s="1813">
        <f t="shared" si="3"/>
        <v>1</v>
      </c>
      <c r="AB42" s="1813">
        <f t="shared" si="4"/>
        <v>1</v>
      </c>
      <c r="AC42" s="1813">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5"/>
      <c r="Q43" s="1812" t="str">
        <f t="shared" si="11"/>
        <v>内部装修维护情况</v>
      </c>
      <c r="R43" s="774" t="s">
        <v>17</v>
      </c>
      <c r="S43" s="775">
        <f t="shared" si="12"/>
        <v>100</v>
      </c>
      <c r="T43" s="774" t="s">
        <v>17</v>
      </c>
      <c r="U43" s="775">
        <f t="shared" si="13"/>
        <v>100</v>
      </c>
      <c r="V43" s="774" t="s">
        <v>17</v>
      </c>
      <c r="W43" s="775">
        <f t="shared" si="14"/>
        <v>100</v>
      </c>
      <c r="X43" s="1815"/>
      <c r="Y43" s="317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7">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2">
        <f t="shared" si="11"/>
        <v>111</v>
      </c>
      <c r="R45" s="774" t="s">
        <v>17</v>
      </c>
      <c r="S45" s="775">
        <f t="shared" si="12"/>
        <v>100</v>
      </c>
      <c r="T45" s="774" t="s">
        <v>17</v>
      </c>
      <c r="U45" s="775">
        <f t="shared" si="13"/>
        <v>100</v>
      </c>
      <c r="V45" s="774" t="s">
        <v>17</v>
      </c>
      <c r="W45" s="775">
        <f t="shared" si="14"/>
        <v>100</v>
      </c>
      <c r="X45" s="1815"/>
      <c r="Y45" s="3174"/>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169" t="str">
        <f>A47</f>
        <v>成交单价（元/平方米）</v>
      </c>
      <c r="Q47" s="3169"/>
      <c r="R47" s="3175">
        <f>E47</f>
        <v>0</v>
      </c>
      <c r="S47" s="3175"/>
      <c r="T47" s="3175">
        <f>G47</f>
        <v>0</v>
      </c>
      <c r="U47" s="3175"/>
      <c r="V47" s="3175">
        <f>I47</f>
        <v>0</v>
      </c>
      <c r="W47" s="3175"/>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163" t="str">
        <f>A49</f>
        <v>估价对象XX用房的比较价值（楼面单价，元/平方米）</v>
      </c>
      <c r="Q49" s="3164"/>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2548</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2588</v>
      </c>
      <c r="B63" s="528" t="s">
        <v>2554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2563</v>
      </c>
      <c r="B100" s="528" t="s">
        <v>2681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R43" sqref="R43:W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2" t="s">
        <v>2686</v>
      </c>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IF(C2="——",ROUND(C50*D3/10000,0),ROUND(C50*D3/10000,0)-D2)</f>
        <v>#DIV/0!</v>
      </c>
      <c r="C2" s="2589"/>
      <c r="D2" s="1368" t="e">
        <f ca="1">SUMIF(INDIRECT("'"&amp;F2&amp;"'"&amp;"!A:A"),"承租人权益价值",INDIRECT("'"&amp;F2&amp;"'"&amp;"!c:c"))</f>
        <v>#REF!</v>
      </c>
      <c r="E2" s="2590" t="s">
        <v>2328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8062.31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246" t="s">
        <v>2651</v>
      </c>
      <c r="Q4" s="3247"/>
      <c r="R4" s="3250" t="s">
        <v>2647</v>
      </c>
      <c r="S4" s="3251"/>
      <c r="T4" s="3250" t="s">
        <v>2648</v>
      </c>
      <c r="U4" s="3251"/>
      <c r="V4" s="3252" t="s">
        <v>2649</v>
      </c>
      <c r="W4" s="3252"/>
      <c r="X4" s="2673"/>
      <c r="Y4" s="3250" t="s">
        <v>2651</v>
      </c>
      <c r="Z4" s="3251"/>
      <c r="AA4" s="3254" t="s">
        <v>2647</v>
      </c>
      <c r="AB4" s="3254" t="s">
        <v>2648</v>
      </c>
      <c r="AC4" s="3243" t="s">
        <v>2649</v>
      </c>
    </row>
    <row r="5" spans="1:29" ht="15">
      <c r="A5" s="404"/>
      <c r="B5" s="405"/>
      <c r="C5" s="3196" t="s">
        <v>2542</v>
      </c>
      <c r="D5" s="3197"/>
      <c r="E5" s="3203" t="s">
        <v>2543</v>
      </c>
      <c r="F5" s="3204"/>
      <c r="G5" s="3196" t="s">
        <v>2544</v>
      </c>
      <c r="H5" s="3197"/>
      <c r="I5" s="3196" t="s">
        <v>2545</v>
      </c>
      <c r="J5" s="3197"/>
      <c r="K5" s="610"/>
      <c r="L5" s="1133"/>
      <c r="M5" s="1134"/>
      <c r="N5" s="1134"/>
      <c r="O5" s="1134"/>
      <c r="P5" s="3248"/>
      <c r="Q5" s="3185"/>
      <c r="R5" s="3190"/>
      <c r="S5" s="3191"/>
      <c r="T5" s="3190"/>
      <c r="U5" s="3191"/>
      <c r="V5" s="3175"/>
      <c r="W5" s="3175"/>
      <c r="X5" s="1815"/>
      <c r="Y5" s="3190"/>
      <c r="Z5" s="3191"/>
      <c r="AA5" s="3177"/>
      <c r="AB5" s="3177"/>
      <c r="AC5" s="3244"/>
    </row>
    <row r="6" spans="1:29" ht="15.75" thickBot="1">
      <c r="A6" s="406"/>
      <c r="B6" s="407"/>
      <c r="C6" s="3194" t="s">
        <v>2546</v>
      </c>
      <c r="D6" s="3195"/>
      <c r="E6" s="3201" t="s">
        <v>2546</v>
      </c>
      <c r="F6" s="3202"/>
      <c r="G6" s="3194" t="s">
        <v>2546</v>
      </c>
      <c r="H6" s="3195"/>
      <c r="I6" s="3194" t="s">
        <v>2546</v>
      </c>
      <c r="J6" s="3195"/>
      <c r="K6" s="610" t="s">
        <v>2547</v>
      </c>
      <c r="L6" s="1133"/>
      <c r="M6" s="1134"/>
      <c r="N6" s="1134"/>
      <c r="O6" s="1134"/>
      <c r="P6" s="3249"/>
      <c r="Q6" s="3187"/>
      <c r="R6" s="3190"/>
      <c r="S6" s="3191"/>
      <c r="T6" s="3192"/>
      <c r="U6" s="3193"/>
      <c r="V6" s="3175"/>
      <c r="W6" s="3175"/>
      <c r="X6" s="1815"/>
      <c r="Y6" s="3192"/>
      <c r="Z6" s="3193"/>
      <c r="AA6" s="3178"/>
      <c r="AB6" s="3178"/>
      <c r="AC6" s="3245"/>
    </row>
    <row r="7" spans="1:29" s="117" customFormat="1" ht="15.75" thickBot="1">
      <c r="A7" s="408" t="s">
        <v>2548</v>
      </c>
      <c r="B7" s="409"/>
      <c r="C7" s="410">
        <f>'数据-取费表'!B2</f>
        <v>43404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2549</v>
      </c>
      <c r="Q7" s="3200"/>
      <c r="R7" s="770" t="s">
        <v>17</v>
      </c>
      <c r="S7" s="771">
        <f t="shared" ref="S7:S15" si="0">F7</f>
        <v>0</v>
      </c>
      <c r="T7" s="770" t="s">
        <v>17</v>
      </c>
      <c r="U7" s="771">
        <f t="shared" ref="U7:U15" si="1">H7</f>
        <v>0</v>
      </c>
      <c r="V7" s="770" t="s">
        <v>17</v>
      </c>
      <c r="W7" s="771">
        <f t="shared" ref="W7:W15" si="2">J7</f>
        <v>0</v>
      </c>
      <c r="X7" s="772"/>
      <c r="Y7" s="3198" t="s">
        <v>2549</v>
      </c>
      <c r="Z7" s="3199"/>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2552</v>
      </c>
      <c r="Q8" s="3199"/>
      <c r="R8" s="770" t="s">
        <v>17</v>
      </c>
      <c r="S8" s="771">
        <f t="shared" si="0"/>
        <v>0</v>
      </c>
      <c r="T8" s="770" t="s">
        <v>17</v>
      </c>
      <c r="U8" s="771">
        <f t="shared" si="1"/>
        <v>0</v>
      </c>
      <c r="V8" s="770" t="s">
        <v>17</v>
      </c>
      <c r="W8" s="771">
        <f t="shared" si="2"/>
        <v>0</v>
      </c>
      <c r="X8" s="772"/>
      <c r="Y8" s="3198" t="s">
        <v>2552</v>
      </c>
      <c r="Z8" s="3199"/>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68"/>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68"/>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68"/>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2560</v>
      </c>
      <c r="Q15" s="1812" t="str">
        <f t="shared" si="6"/>
        <v>办公集聚程度</v>
      </c>
      <c r="R15" s="774" t="s">
        <v>17</v>
      </c>
      <c r="S15" s="775">
        <f t="shared" si="0"/>
        <v>100</v>
      </c>
      <c r="T15" s="774" t="s">
        <v>17</v>
      </c>
      <c r="U15" s="775">
        <f t="shared" si="1"/>
        <v>100</v>
      </c>
      <c r="V15" s="774" t="s">
        <v>17</v>
      </c>
      <c r="W15" s="775">
        <f t="shared" si="2"/>
        <v>100</v>
      </c>
      <c r="X15" s="1815"/>
      <c r="Y15" s="3171" t="s">
        <v>2560</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3"/>
      <c r="M16" s="1134"/>
      <c r="N16" s="1134"/>
      <c r="O16" s="1134"/>
      <c r="P16" s="3239"/>
      <c r="Q16" s="1812"/>
      <c r="R16" s="774"/>
      <c r="S16" s="775"/>
      <c r="T16" s="774"/>
      <c r="U16" s="775"/>
      <c r="V16" s="774"/>
      <c r="W16" s="775"/>
      <c r="X16" s="1815"/>
      <c r="Y16" s="3172"/>
      <c r="Z16" s="1816"/>
      <c r="AA16" s="1813">
        <v>1</v>
      </c>
      <c r="AB16" s="1813">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9"/>
      <c r="Q18" s="1812"/>
      <c r="R18" s="774"/>
      <c r="S18" s="775"/>
      <c r="T18" s="774"/>
      <c r="U18" s="775"/>
      <c r="V18" s="774"/>
      <c r="W18" s="775"/>
      <c r="X18" s="1815"/>
      <c r="Y18" s="3172"/>
      <c r="Z18" s="1816"/>
      <c r="AA18" s="1813">
        <v>1</v>
      </c>
      <c r="AB18" s="1813">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9"/>
      <c r="Q20" s="1812"/>
      <c r="R20" s="774"/>
      <c r="S20" s="775"/>
      <c r="T20" s="774"/>
      <c r="U20" s="775"/>
      <c r="V20" s="774"/>
      <c r="W20" s="775"/>
      <c r="X20" s="1815"/>
      <c r="Y20" s="3172"/>
      <c r="Z20" s="1816"/>
      <c r="AA20" s="1813">
        <v>1</v>
      </c>
      <c r="AB20" s="1813">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9"/>
      <c r="Q22" s="1812"/>
      <c r="R22" s="774"/>
      <c r="S22" s="775"/>
      <c r="T22" s="774"/>
      <c r="U22" s="775"/>
      <c r="V22" s="774"/>
      <c r="W22" s="775"/>
      <c r="X22" s="1815"/>
      <c r="Y22" s="3172"/>
      <c r="Z22" s="1816"/>
      <c r="AA22" s="1813">
        <v>1</v>
      </c>
      <c r="AB22" s="1813">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2" t="str">
        <f>B23</f>
        <v>环境质量</v>
      </c>
      <c r="R23" s="774" t="s">
        <v>17</v>
      </c>
      <c r="S23" s="775">
        <f>F23</f>
        <v>100</v>
      </c>
      <c r="T23" s="774" t="s">
        <v>17</v>
      </c>
      <c r="U23" s="775">
        <f>H23</f>
        <v>100</v>
      </c>
      <c r="V23" s="774" t="s">
        <v>17</v>
      </c>
      <c r="W23" s="775">
        <f>J23</f>
        <v>100</v>
      </c>
      <c r="X23" s="1815"/>
      <c r="Y23" s="3172"/>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9"/>
      <c r="Q24" s="1812"/>
      <c r="R24" s="774"/>
      <c r="S24" s="775"/>
      <c r="T24" s="774"/>
      <c r="U24" s="775"/>
      <c r="V24" s="774"/>
      <c r="W24" s="775"/>
      <c r="X24" s="1815"/>
      <c r="Y24" s="3172"/>
      <c r="Z24" s="1816"/>
      <c r="AA24" s="1813">
        <v>1</v>
      </c>
      <c r="AB24" s="1813">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9"/>
      <c r="Q25" s="1812" t="str">
        <f>B25</f>
        <v>毗邻道路的类型与等级</v>
      </c>
      <c r="R25" s="774" t="s">
        <v>17</v>
      </c>
      <c r="S25" s="775">
        <f>F25</f>
        <v>100</v>
      </c>
      <c r="T25" s="774" t="s">
        <v>17</v>
      </c>
      <c r="U25" s="775">
        <f>H25</f>
        <v>100</v>
      </c>
      <c r="V25" s="774" t="s">
        <v>17</v>
      </c>
      <c r="W25" s="775">
        <f>J25</f>
        <v>100</v>
      </c>
      <c r="X25" s="1815"/>
      <c r="Y25" s="3172"/>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3"/>
      <c r="M26" s="1134"/>
      <c r="N26" s="1134"/>
      <c r="O26" s="1134"/>
      <c r="P26" s="3239"/>
      <c r="Q26" s="1812"/>
      <c r="R26" s="774"/>
      <c r="S26" s="775"/>
      <c r="T26" s="774"/>
      <c r="U26" s="775"/>
      <c r="V26" s="774"/>
      <c r="W26" s="775"/>
      <c r="X26" s="1815"/>
      <c r="Y26" s="3172"/>
      <c r="Z26" s="1816"/>
      <c r="AA26" s="1813">
        <v>1</v>
      </c>
      <c r="AB26" s="1813">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2" t="str">
        <f t="shared" ref="Q27:Q47" si="11">B27</f>
        <v>楼层</v>
      </c>
      <c r="R27" s="774" t="s">
        <v>17</v>
      </c>
      <c r="S27" s="775">
        <f>F27</f>
        <v>100</v>
      </c>
      <c r="T27" s="774" t="s">
        <v>17</v>
      </c>
      <c r="U27" s="775">
        <f>H27</f>
        <v>100</v>
      </c>
      <c r="V27" s="774" t="s">
        <v>17</v>
      </c>
      <c r="W27" s="775">
        <f>J27</f>
        <v>100</v>
      </c>
      <c r="X27" s="1815"/>
      <c r="Y27" s="3172"/>
      <c r="Z27" s="1816" t="str">
        <f>Q27</f>
        <v>楼层</v>
      </c>
      <c r="AA27" s="1813">
        <f t="shared" si="3"/>
        <v>1</v>
      </c>
      <c r="AB27" s="1813">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9"/>
      <c r="Q28" s="1797" t="str">
        <f t="shared" si="11"/>
        <v>朝向</v>
      </c>
      <c r="R28" s="770" t="s">
        <v>17</v>
      </c>
      <c r="S28" s="771">
        <f>F28</f>
        <v>100</v>
      </c>
      <c r="T28" s="770" t="s">
        <v>17</v>
      </c>
      <c r="U28" s="771">
        <f>H28</f>
        <v>100</v>
      </c>
      <c r="V28" s="770" t="s">
        <v>17</v>
      </c>
      <c r="W28" s="771">
        <f>J28</f>
        <v>100</v>
      </c>
      <c r="X28" s="772"/>
      <c r="Y28" s="3172"/>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9"/>
      <c r="Q29" s="1812">
        <f t="shared" si="11"/>
        <v>111</v>
      </c>
      <c r="R29" s="774" t="s">
        <v>17</v>
      </c>
      <c r="S29" s="775">
        <f t="shared" ref="S29:S47" si="12">F29</f>
        <v>100</v>
      </c>
      <c r="T29" s="774" t="s">
        <v>17</v>
      </c>
      <c r="U29" s="775">
        <f t="shared" ref="U29:U47" si="13">H29</f>
        <v>100</v>
      </c>
      <c r="V29" s="774" t="s">
        <v>17</v>
      </c>
      <c r="W29" s="775">
        <f t="shared" ref="W29:W47" si="14">J29</f>
        <v>100</v>
      </c>
      <c r="X29" s="1815"/>
      <c r="Y29" s="3172"/>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72"/>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72"/>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9"/>
      <c r="Q32" s="1812">
        <f t="shared" si="11"/>
        <v>111</v>
      </c>
      <c r="R32" s="774" t="s">
        <v>17</v>
      </c>
      <c r="S32" s="775">
        <f t="shared" si="12"/>
        <v>100</v>
      </c>
      <c r="T32" s="774" t="s">
        <v>17</v>
      </c>
      <c r="U32" s="775">
        <f t="shared" si="13"/>
        <v>100</v>
      </c>
      <c r="V32" s="774" t="s">
        <v>17</v>
      </c>
      <c r="W32" s="775">
        <f t="shared" si="14"/>
        <v>100</v>
      </c>
      <c r="X32" s="1815"/>
      <c r="Y32" s="3172"/>
      <c r="Z32" s="1816">
        <f t="shared" si="15"/>
        <v>111</v>
      </c>
      <c r="AA32" s="1813">
        <f t="shared" si="3"/>
        <v>1</v>
      </c>
      <c r="AB32" s="1813">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4" t="s">
        <v>2565</v>
      </c>
      <c r="Q33" s="1812" t="str">
        <f t="shared" si="11"/>
        <v>建筑类型</v>
      </c>
      <c r="R33" s="774" t="s">
        <v>17</v>
      </c>
      <c r="S33" s="775">
        <f t="shared" si="12"/>
        <v>100</v>
      </c>
      <c r="T33" s="774" t="s">
        <v>17</v>
      </c>
      <c r="U33" s="775">
        <f t="shared" si="13"/>
        <v>100</v>
      </c>
      <c r="V33" s="774" t="s">
        <v>17</v>
      </c>
      <c r="W33" s="775">
        <f t="shared" si="14"/>
        <v>100</v>
      </c>
      <c r="X33" s="1815"/>
      <c r="Y33" s="3174" t="s">
        <v>2565</v>
      </c>
      <c r="Z33" s="1816" t="str">
        <f t="shared" si="15"/>
        <v>建筑类型</v>
      </c>
      <c r="AA33" s="1813">
        <f t="shared" si="3"/>
        <v>1</v>
      </c>
      <c r="AB33" s="1813">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3" t="e">
        <f t="shared" si="3"/>
        <v>#N/A</v>
      </c>
      <c r="AB34" s="1813"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2" t="str">
        <f t="shared" si="11"/>
        <v>建筑结构</v>
      </c>
      <c r="R35" s="774" t="s">
        <v>17</v>
      </c>
      <c r="S35" s="775">
        <f t="shared" si="12"/>
        <v>100</v>
      </c>
      <c r="T35" s="774" t="s">
        <v>17</v>
      </c>
      <c r="U35" s="775">
        <f t="shared" si="13"/>
        <v>100</v>
      </c>
      <c r="V35" s="774" t="s">
        <v>17</v>
      </c>
      <c r="W35" s="775">
        <f t="shared" si="14"/>
        <v>100</v>
      </c>
      <c r="X35" s="1815"/>
      <c r="Y35" s="3174"/>
      <c r="Z35" s="1816" t="str">
        <f t="shared" si="15"/>
        <v>建筑结构</v>
      </c>
      <c r="AA35" s="1813">
        <f t="shared" si="3"/>
        <v>1</v>
      </c>
      <c r="AB35" s="1813">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2" t="str">
        <f t="shared" si="11"/>
        <v>公共部分装修</v>
      </c>
      <c r="R36" s="774" t="s">
        <v>17</v>
      </c>
      <c r="S36" s="775">
        <f t="shared" si="12"/>
        <v>100</v>
      </c>
      <c r="T36" s="774" t="s">
        <v>17</v>
      </c>
      <c r="U36" s="775">
        <f t="shared" si="13"/>
        <v>100</v>
      </c>
      <c r="V36" s="774" t="s">
        <v>17</v>
      </c>
      <c r="W36" s="775">
        <f t="shared" si="14"/>
        <v>100</v>
      </c>
      <c r="X36" s="1815"/>
      <c r="Y36" s="3174"/>
      <c r="Z36" s="1816" t="str">
        <f t="shared" si="15"/>
        <v>公共部分装修</v>
      </c>
      <c r="AA36" s="1813">
        <f t="shared" si="3"/>
        <v>1</v>
      </c>
      <c r="AB36" s="1813">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2" t="str">
        <f t="shared" si="11"/>
        <v>成新度</v>
      </c>
      <c r="R37" s="774" t="s">
        <v>17</v>
      </c>
      <c r="S37" s="775" t="e">
        <f t="shared" si="12"/>
        <v>#N/A</v>
      </c>
      <c r="T37" s="774" t="s">
        <v>17</v>
      </c>
      <c r="U37" s="775" t="e">
        <f t="shared" si="13"/>
        <v>#N/A</v>
      </c>
      <c r="V37" s="774" t="s">
        <v>17</v>
      </c>
      <c r="W37" s="775" t="e">
        <f t="shared" si="14"/>
        <v>#N/A</v>
      </c>
      <c r="X37" s="1815"/>
      <c r="Y37" s="3174"/>
      <c r="Z37" s="1816" t="str">
        <f t="shared" si="15"/>
        <v>成新度</v>
      </c>
      <c r="AA37" s="1813" t="e">
        <f t="shared" si="3"/>
        <v>#N/A</v>
      </c>
      <c r="AB37" s="1813"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7"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2565</v>
      </c>
      <c r="Q39" s="1812" t="str">
        <f t="shared" si="11"/>
        <v>物业管理</v>
      </c>
      <c r="R39" s="774" t="s">
        <v>17</v>
      </c>
      <c r="S39" s="775">
        <f t="shared" si="12"/>
        <v>100</v>
      </c>
      <c r="T39" s="774" t="s">
        <v>17</v>
      </c>
      <c r="U39" s="775">
        <f t="shared" si="13"/>
        <v>100</v>
      </c>
      <c r="V39" s="774" t="s">
        <v>17</v>
      </c>
      <c r="W39" s="775">
        <f t="shared" si="14"/>
        <v>100</v>
      </c>
      <c r="X39" s="1815"/>
      <c r="Y39" s="3174" t="s">
        <v>2565</v>
      </c>
      <c r="Z39" s="1816" t="str">
        <f t="shared" si="15"/>
        <v>物业管理</v>
      </c>
      <c r="AA39" s="1813">
        <f t="shared" si="3"/>
        <v>1</v>
      </c>
      <c r="AB39" s="1813">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2" t="str">
        <f t="shared" si="11"/>
        <v>市政基础设施</v>
      </c>
      <c r="R40" s="774" t="s">
        <v>17</v>
      </c>
      <c r="S40" s="775">
        <f t="shared" si="12"/>
        <v>100</v>
      </c>
      <c r="T40" s="774" t="s">
        <v>17</v>
      </c>
      <c r="U40" s="775">
        <f t="shared" si="13"/>
        <v>100</v>
      </c>
      <c r="V40" s="774" t="s">
        <v>17</v>
      </c>
      <c r="W40" s="775">
        <f t="shared" si="14"/>
        <v>100</v>
      </c>
      <c r="X40" s="1815"/>
      <c r="Y40" s="3174"/>
      <c r="Z40" s="1816" t="str">
        <f t="shared" si="15"/>
        <v>市政基础设施</v>
      </c>
      <c r="AA40" s="1813">
        <f t="shared" si="3"/>
        <v>1</v>
      </c>
      <c r="AB40" s="1813">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2" t="str">
        <f t="shared" si="11"/>
        <v>层高</v>
      </c>
      <c r="R41" s="774" t="s">
        <v>17</v>
      </c>
      <c r="S41" s="775">
        <f t="shared" si="12"/>
        <v>100</v>
      </c>
      <c r="T41" s="774" t="s">
        <v>17</v>
      </c>
      <c r="U41" s="775">
        <f t="shared" si="13"/>
        <v>100</v>
      </c>
      <c r="V41" s="774" t="s">
        <v>17</v>
      </c>
      <c r="W41" s="775">
        <f t="shared" si="14"/>
        <v>100</v>
      </c>
      <c r="X41" s="1815"/>
      <c r="Y41" s="3174"/>
      <c r="Z41" s="1816" t="str">
        <f t="shared" si="15"/>
        <v>层高</v>
      </c>
      <c r="AA41" s="1813">
        <f t="shared" si="3"/>
        <v>1</v>
      </c>
      <c r="AB41" s="1813">
        <f t="shared" si="4"/>
        <v>1</v>
      </c>
      <c r="AC41" s="2677">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3">
        <f t="shared" si="3"/>
        <v>1</v>
      </c>
      <c r="AB42" s="1813">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2" t="str">
        <f t="shared" si="11"/>
        <v>内部装修</v>
      </c>
      <c r="R43" s="774" t="s">
        <v>17</v>
      </c>
      <c r="S43" s="775">
        <f t="shared" si="12"/>
        <v>100</v>
      </c>
      <c r="T43" s="774" t="s">
        <v>17</v>
      </c>
      <c r="U43" s="775">
        <f t="shared" si="13"/>
        <v>100</v>
      </c>
      <c r="V43" s="774" t="s">
        <v>17</v>
      </c>
      <c r="W43" s="775">
        <f t="shared" si="14"/>
        <v>100</v>
      </c>
      <c r="X43" s="1815"/>
      <c r="Y43" s="3174"/>
      <c r="Z43" s="1816" t="str">
        <f t="shared" si="15"/>
        <v>内部装修</v>
      </c>
      <c r="AA43" s="1813">
        <f t="shared" si="3"/>
        <v>1</v>
      </c>
      <c r="AB43" s="1813">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5"/>
      <c r="Q44" s="1812" t="str">
        <f t="shared" si="11"/>
        <v>内部装修维护情况</v>
      </c>
      <c r="R44" s="774" t="s">
        <v>17</v>
      </c>
      <c r="S44" s="775">
        <f t="shared" si="12"/>
        <v>100</v>
      </c>
      <c r="T44" s="774" t="s">
        <v>17</v>
      </c>
      <c r="U44" s="775">
        <f t="shared" si="13"/>
        <v>100</v>
      </c>
      <c r="V44" s="774" t="s">
        <v>17</v>
      </c>
      <c r="W44" s="775">
        <f t="shared" si="14"/>
        <v>100</v>
      </c>
      <c r="X44" s="1815"/>
      <c r="Y44" s="3174"/>
      <c r="Z44" s="1816" t="str">
        <f t="shared" si="15"/>
        <v>内部装修维护情况</v>
      </c>
      <c r="AA44" s="1813">
        <f t="shared" si="3"/>
        <v>1</v>
      </c>
      <c r="AB44" s="1813">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7">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2">
        <f t="shared" si="11"/>
        <v>111</v>
      </c>
      <c r="R46" s="774" t="s">
        <v>17</v>
      </c>
      <c r="S46" s="775">
        <f t="shared" si="12"/>
        <v>100</v>
      </c>
      <c r="T46" s="774" t="s">
        <v>17</v>
      </c>
      <c r="U46" s="775">
        <f t="shared" si="13"/>
        <v>100</v>
      </c>
      <c r="V46" s="774" t="s">
        <v>17</v>
      </c>
      <c r="W46" s="775">
        <f t="shared" si="14"/>
        <v>100</v>
      </c>
      <c r="X46" s="1815"/>
      <c r="Y46" s="3174"/>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7">
        <f t="shared" si="5"/>
        <v>1</v>
      </c>
    </row>
    <row r="48" spans="1:29" ht="15">
      <c r="A48" s="479" t="s">
        <v>2577</v>
      </c>
      <c r="B48" s="480"/>
      <c r="C48" s="1410" t="s">
        <v>1</v>
      </c>
      <c r="D48" s="1411"/>
      <c r="E48" s="1412"/>
      <c r="F48" s="1413"/>
      <c r="G48" s="1414"/>
      <c r="H48" s="1415"/>
      <c r="I48" s="1412"/>
      <c r="J48" s="485"/>
      <c r="K48" s="783"/>
      <c r="L48" s="1146"/>
      <c r="M48" s="1134"/>
      <c r="N48" s="1134"/>
      <c r="O48" s="1134"/>
      <c r="P48" s="3168" t="str">
        <f>A48</f>
        <v>成交单价（元/平方米）</v>
      </c>
      <c r="Q48" s="3169"/>
      <c r="R48" s="3233">
        <f>E48</f>
        <v>0</v>
      </c>
      <c r="S48" s="3233"/>
      <c r="T48" s="3233">
        <f>G48</f>
        <v>0</v>
      </c>
      <c r="U48" s="3233"/>
      <c r="V48" s="3233">
        <f>I48</f>
        <v>0</v>
      </c>
      <c r="W48" s="3233"/>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69"/>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4"/>
      <c r="Q58" s="504"/>
    </row>
    <row r="59" spans="1:29" s="508" customFormat="1" ht="15">
      <c r="A59" s="505" t="s">
        <v>2548</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2588</v>
      </c>
      <c r="B64" s="528" t="s">
        <v>2554</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2699</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2563</v>
      </c>
      <c r="B101" s="528" t="s">
        <v>2612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2614</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2616</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2617</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2618</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2701</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2620</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2" t="s">
        <v>2702</v>
      </c>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IF(C2="——",ROUND(C43*D3/10000,0),ROUND(C43*D3/10000,0)-D2)</f>
        <v>#DIV/0!</v>
      </c>
      <c r="C2" s="2589"/>
      <c r="D2" s="1127" t="e">
        <f ca="1">SUMIF(INDIRECT("'"&amp;F2&amp;"'"&amp;"!A:A"),"承租人权益价值",INDIRECT("'"&amp;F2&amp;"'"&amp;"!c:c"))</f>
        <v>#REF!</v>
      </c>
      <c r="E2" s="2590" t="s">
        <v>2328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8062.31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7" t="s">
        <v>2648</v>
      </c>
      <c r="AC4" s="3176" t="s">
        <v>2649</v>
      </c>
    </row>
    <row r="5" spans="1:29" ht="15">
      <c r="A5" s="404"/>
      <c r="B5" s="405"/>
      <c r="C5" s="3196" t="s">
        <v>2542</v>
      </c>
      <c r="D5" s="3197"/>
      <c r="E5" s="3203" t="s">
        <v>2543</v>
      </c>
      <c r="F5" s="3204"/>
      <c r="G5" s="3196" t="s">
        <v>2544</v>
      </c>
      <c r="H5" s="3197"/>
      <c r="I5" s="3196" t="s">
        <v>2545</v>
      </c>
      <c r="J5" s="3197"/>
      <c r="K5" s="610"/>
      <c r="L5" s="1133"/>
      <c r="M5" s="1134"/>
      <c r="N5" s="1134"/>
      <c r="O5" s="1134"/>
      <c r="P5" s="3184"/>
      <c r="Q5" s="3185"/>
      <c r="R5" s="3190"/>
      <c r="S5" s="3191"/>
      <c r="T5" s="3190"/>
      <c r="U5" s="3191"/>
      <c r="V5" s="3175"/>
      <c r="W5" s="3175"/>
      <c r="X5" s="1815"/>
      <c r="Y5" s="3190"/>
      <c r="Z5" s="3191"/>
      <c r="AA5" s="3177"/>
      <c r="AB5" s="3177"/>
      <c r="AC5" s="3177"/>
    </row>
    <row r="6" spans="1:29" ht="15.75" thickBot="1">
      <c r="A6" s="406"/>
      <c r="B6" s="407"/>
      <c r="C6" s="3194" t="s">
        <v>2546</v>
      </c>
      <c r="D6" s="3195"/>
      <c r="E6" s="3201" t="s">
        <v>2546</v>
      </c>
      <c r="F6" s="3202"/>
      <c r="G6" s="3194" t="s">
        <v>2546</v>
      </c>
      <c r="H6" s="3195"/>
      <c r="I6" s="3194" t="s">
        <v>2546</v>
      </c>
      <c r="J6" s="3195"/>
      <c r="K6" s="610" t="s">
        <v>2547</v>
      </c>
      <c r="L6" s="1133"/>
      <c r="M6" s="1134"/>
      <c r="N6" s="1134"/>
      <c r="O6" s="1134"/>
      <c r="P6" s="3186"/>
      <c r="Q6" s="3187"/>
      <c r="R6" s="3190"/>
      <c r="S6" s="3191"/>
      <c r="T6" s="3192"/>
      <c r="U6" s="3193"/>
      <c r="V6" s="3175"/>
      <c r="W6" s="3175"/>
      <c r="X6" s="1815"/>
      <c r="Y6" s="3192"/>
      <c r="Z6" s="3193"/>
      <c r="AA6" s="3178"/>
      <c r="AB6" s="3178"/>
      <c r="AC6" s="3178"/>
    </row>
    <row r="7" spans="1:29" s="117" customFormat="1" ht="15.75" thickBot="1">
      <c r="A7" s="408" t="s">
        <v>2548</v>
      </c>
      <c r="B7" s="409"/>
      <c r="C7" s="410">
        <f>'数据-取费表'!B2</f>
        <v>43404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8" t="s">
        <v>2549</v>
      </c>
      <c r="Q7" s="3200"/>
      <c r="R7" s="770" t="s">
        <v>17</v>
      </c>
      <c r="S7" s="771">
        <f t="shared" ref="S7:S15" si="0">F7</f>
        <v>0</v>
      </c>
      <c r="T7" s="770" t="s">
        <v>17</v>
      </c>
      <c r="U7" s="771">
        <f t="shared" ref="U7:U15" si="1">H7</f>
        <v>0</v>
      </c>
      <c r="V7" s="770" t="s">
        <v>17</v>
      </c>
      <c r="W7" s="771">
        <f t="shared" ref="W7:W15" si="2">J7</f>
        <v>0</v>
      </c>
      <c r="X7" s="772"/>
      <c r="Y7" s="3198" t="s">
        <v>2549</v>
      </c>
      <c r="Z7" s="319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8" t="s">
        <v>2552</v>
      </c>
      <c r="Q8" s="3199"/>
      <c r="R8" s="770" t="s">
        <v>17</v>
      </c>
      <c r="S8" s="771">
        <f t="shared" si="0"/>
        <v>0</v>
      </c>
      <c r="T8" s="770" t="s">
        <v>17</v>
      </c>
      <c r="U8" s="771">
        <f t="shared" si="1"/>
        <v>0</v>
      </c>
      <c r="V8" s="770" t="s">
        <v>17</v>
      </c>
      <c r="W8" s="771">
        <f t="shared" si="2"/>
        <v>0</v>
      </c>
      <c r="X8" s="772"/>
      <c r="Y8" s="3198" t="s">
        <v>2552</v>
      </c>
      <c r="Z8" s="319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69"/>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2560</v>
      </c>
      <c r="Q15" s="1812" t="str">
        <f t="shared" si="6"/>
        <v>产业集聚程度</v>
      </c>
      <c r="R15" s="774" t="s">
        <v>17</v>
      </c>
      <c r="S15" s="775">
        <f t="shared" si="0"/>
        <v>100</v>
      </c>
      <c r="T15" s="774" t="s">
        <v>17</v>
      </c>
      <c r="U15" s="775">
        <f t="shared" si="1"/>
        <v>100</v>
      </c>
      <c r="V15" s="774" t="s">
        <v>17</v>
      </c>
      <c r="W15" s="775">
        <f t="shared" si="2"/>
        <v>100</v>
      </c>
      <c r="X15" s="1815"/>
      <c r="Y15" s="3171"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2"/>
      <c r="Q16" s="1812"/>
      <c r="R16" s="774"/>
      <c r="S16" s="775"/>
      <c r="T16" s="774"/>
      <c r="U16" s="775"/>
      <c r="V16" s="774"/>
      <c r="W16" s="775"/>
      <c r="X16" s="1815"/>
      <c r="Y16" s="3172"/>
      <c r="Z16" s="1816"/>
      <c r="AA16" s="1813">
        <v>1</v>
      </c>
      <c r="AB16" s="1813">
        <v>1</v>
      </c>
      <c r="AC16" s="1813">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42"/>
      <c r="P18" s="3172"/>
      <c r="Q18" s="1812"/>
      <c r="R18" s="774"/>
      <c r="S18" s="775"/>
      <c r="T18" s="774"/>
      <c r="U18" s="775"/>
      <c r="V18" s="774"/>
      <c r="W18" s="775"/>
      <c r="X18" s="1815"/>
      <c r="Y18" s="3172"/>
      <c r="Z18" s="1816"/>
      <c r="AA18" s="1813">
        <v>1</v>
      </c>
      <c r="AB18" s="1813">
        <v>1</v>
      </c>
      <c r="AC18" s="1813">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42"/>
      <c r="P20" s="3172"/>
      <c r="Q20" s="1812"/>
      <c r="R20" s="774"/>
      <c r="S20" s="775"/>
      <c r="T20" s="774"/>
      <c r="U20" s="775"/>
      <c r="V20" s="774"/>
      <c r="W20" s="775"/>
      <c r="X20" s="1815"/>
      <c r="Y20" s="3172"/>
      <c r="Z20" s="1816"/>
      <c r="AA20" s="1813">
        <v>1</v>
      </c>
      <c r="AB20" s="1813">
        <v>1</v>
      </c>
      <c r="AC20" s="1813">
        <v>1</v>
      </c>
    </row>
    <row r="21" spans="1:29" ht="28.5">
      <c r="A21" s="428"/>
      <c r="B21" s="1387"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42"/>
      <c r="P22" s="3172"/>
      <c r="Q22" s="1812"/>
      <c r="R22" s="774"/>
      <c r="S22" s="775"/>
      <c r="T22" s="774"/>
      <c r="U22" s="775"/>
      <c r="V22" s="774"/>
      <c r="W22" s="775"/>
      <c r="X22" s="1815"/>
      <c r="Y22" s="3172"/>
      <c r="Z22" s="1816"/>
      <c r="AA22" s="1813">
        <v>1</v>
      </c>
      <c r="AB22" s="1813">
        <v>1</v>
      </c>
      <c r="AC22" s="1813">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2" t="str">
        <f>B23</f>
        <v>环境质量</v>
      </c>
      <c r="R23" s="774" t="s">
        <v>17</v>
      </c>
      <c r="S23" s="775">
        <f>F23</f>
        <v>100</v>
      </c>
      <c r="T23" s="774" t="s">
        <v>17</v>
      </c>
      <c r="U23" s="775">
        <f>H23</f>
        <v>100</v>
      </c>
      <c r="V23" s="774" t="s">
        <v>17</v>
      </c>
      <c r="W23" s="775">
        <f>J23</f>
        <v>100</v>
      </c>
      <c r="X23" s="1815"/>
      <c r="Y23" s="3172"/>
      <c r="Z23" s="1816" t="str">
        <f>Q23</f>
        <v>环境质量</v>
      </c>
      <c r="AA23" s="1813">
        <f t="shared" si="3"/>
        <v>1</v>
      </c>
      <c r="AB23" s="1813">
        <f t="shared" si="4"/>
        <v>1</v>
      </c>
      <c r="AC23" s="1813">
        <f t="shared" si="5"/>
        <v>1</v>
      </c>
    </row>
    <row r="24" spans="1:29" ht="15">
      <c r="A24" s="428"/>
      <c r="B24" s="1387"/>
      <c r="C24" s="447"/>
      <c r="D24" s="448"/>
      <c r="E24" s="2608"/>
      <c r="F24" s="449"/>
      <c r="G24" s="2607"/>
      <c r="H24" s="448"/>
      <c r="I24" s="2608"/>
      <c r="J24" s="448"/>
      <c r="K24" s="615"/>
      <c r="L24" s="1143"/>
      <c r="M24" s="1134"/>
      <c r="N24" s="1134"/>
      <c r="O24" s="1142"/>
      <c r="P24" s="3172"/>
      <c r="Q24" s="1812"/>
      <c r="R24" s="774"/>
      <c r="S24" s="775"/>
      <c r="T24" s="774"/>
      <c r="U24" s="775"/>
      <c r="V24" s="774"/>
      <c r="W24" s="775"/>
      <c r="X24" s="1815"/>
      <c r="Y24" s="317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2">
        <f>B25</f>
        <v>111</v>
      </c>
      <c r="R25" s="774" t="s">
        <v>17</v>
      </c>
      <c r="S25" s="775">
        <f>F25</f>
        <v>100</v>
      </c>
      <c r="T25" s="774" t="s">
        <v>17</v>
      </c>
      <c r="U25" s="775">
        <f>H25</f>
        <v>100</v>
      </c>
      <c r="V25" s="774" t="s">
        <v>17</v>
      </c>
      <c r="W25" s="775">
        <f>J25</f>
        <v>100</v>
      </c>
      <c r="X25" s="1815"/>
      <c r="Y25" s="317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2">
        <f t="shared" ref="Q26:Q40" si="11">B26</f>
        <v>111</v>
      </c>
      <c r="R26" s="774" t="s">
        <v>17</v>
      </c>
      <c r="S26" s="775">
        <f>F26</f>
        <v>100</v>
      </c>
      <c r="T26" s="774" t="s">
        <v>17</v>
      </c>
      <c r="U26" s="775">
        <f>H26</f>
        <v>100</v>
      </c>
      <c r="V26" s="774" t="s">
        <v>17</v>
      </c>
      <c r="W26" s="775">
        <f>J26</f>
        <v>100</v>
      </c>
      <c r="X26" s="1815"/>
      <c r="Y26" s="317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7">
        <f t="shared" si="11"/>
        <v>111</v>
      </c>
      <c r="R27" s="770" t="s">
        <v>17</v>
      </c>
      <c r="S27" s="771">
        <f>F27</f>
        <v>100</v>
      </c>
      <c r="T27" s="770" t="s">
        <v>17</v>
      </c>
      <c r="U27" s="771">
        <f>H27</f>
        <v>100</v>
      </c>
      <c r="V27" s="770" t="s">
        <v>17</v>
      </c>
      <c r="W27" s="771">
        <f>J27</f>
        <v>100</v>
      </c>
      <c r="X27" s="772"/>
      <c r="Y27" s="317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2">
        <f t="shared" si="11"/>
        <v>111</v>
      </c>
      <c r="R28" s="774" t="s">
        <v>17</v>
      </c>
      <c r="S28" s="775">
        <f t="shared" ref="S28:S40" si="12">F28</f>
        <v>100</v>
      </c>
      <c r="T28" s="774" t="s">
        <v>17</v>
      </c>
      <c r="U28" s="775">
        <f t="shared" ref="U28:U40" si="13">H28</f>
        <v>100</v>
      </c>
      <c r="V28" s="774" t="s">
        <v>17</v>
      </c>
      <c r="W28" s="775">
        <f t="shared" ref="W28:W40" si="14">J28</f>
        <v>100</v>
      </c>
      <c r="X28" s="1815"/>
      <c r="Y28" s="3172"/>
      <c r="Z28" s="1816">
        <f t="shared" ref="Z28:Z40" si="15">Q28</f>
        <v>111</v>
      </c>
      <c r="AA28" s="1813">
        <f t="shared" si="3"/>
        <v>1</v>
      </c>
      <c r="AB28" s="1813">
        <f t="shared" si="4"/>
        <v>1</v>
      </c>
      <c r="AC28" s="1813">
        <f t="shared" si="5"/>
        <v>1</v>
      </c>
    </row>
    <row r="29" spans="1:29" ht="1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73" t="s">
        <v>2565</v>
      </c>
      <c r="Q29" s="1812" t="str">
        <f t="shared" si="11"/>
        <v>建筑类型</v>
      </c>
      <c r="R29" s="774" t="s">
        <v>17</v>
      </c>
      <c r="S29" s="775">
        <f t="shared" si="12"/>
        <v>100</v>
      </c>
      <c r="T29" s="774" t="s">
        <v>17</v>
      </c>
      <c r="U29" s="775">
        <f t="shared" si="13"/>
        <v>100</v>
      </c>
      <c r="V29" s="774" t="s">
        <v>17</v>
      </c>
      <c r="W29" s="775">
        <f t="shared" si="14"/>
        <v>100</v>
      </c>
      <c r="X29" s="1815"/>
      <c r="Y29" s="3174"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4"/>
      <c r="Q31" s="1812" t="str">
        <f t="shared" si="11"/>
        <v>建筑结构</v>
      </c>
      <c r="R31" s="774" t="s">
        <v>17</v>
      </c>
      <c r="S31" s="775">
        <f t="shared" si="12"/>
        <v>100</v>
      </c>
      <c r="T31" s="774" t="s">
        <v>17</v>
      </c>
      <c r="U31" s="775">
        <f t="shared" si="13"/>
        <v>100</v>
      </c>
      <c r="V31" s="774" t="s">
        <v>17</v>
      </c>
      <c r="W31" s="775">
        <f t="shared" si="14"/>
        <v>100</v>
      </c>
      <c r="X31" s="1815"/>
      <c r="Y31" s="3174"/>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4"/>
      <c r="Q32" s="1812" t="str">
        <f t="shared" si="11"/>
        <v>公共部分装修</v>
      </c>
      <c r="R32" s="774" t="s">
        <v>17</v>
      </c>
      <c r="S32" s="775">
        <f t="shared" si="12"/>
        <v>100</v>
      </c>
      <c r="T32" s="774" t="s">
        <v>17</v>
      </c>
      <c r="U32" s="775">
        <f t="shared" si="13"/>
        <v>100</v>
      </c>
      <c r="V32" s="774" t="s">
        <v>17</v>
      </c>
      <c r="W32" s="775">
        <f t="shared" si="14"/>
        <v>100</v>
      </c>
      <c r="X32" s="1815"/>
      <c r="Y32" s="3174"/>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4"/>
      <c r="Q33" s="1812" t="str">
        <f t="shared" si="11"/>
        <v>成新度</v>
      </c>
      <c r="R33" s="774" t="s">
        <v>17</v>
      </c>
      <c r="S33" s="775" t="e">
        <f t="shared" si="12"/>
        <v>#N/A</v>
      </c>
      <c r="T33" s="774" t="s">
        <v>17</v>
      </c>
      <c r="U33" s="775" t="e">
        <f t="shared" si="13"/>
        <v>#N/A</v>
      </c>
      <c r="V33" s="774" t="s">
        <v>17</v>
      </c>
      <c r="W33" s="775" t="e">
        <f t="shared" si="14"/>
        <v>#N/A</v>
      </c>
      <c r="X33" s="1815"/>
      <c r="Y33" s="3174"/>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4"/>
      <c r="Q34" s="1797"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4" t="s">
        <v>2565</v>
      </c>
      <c r="Q35" s="1812" t="str">
        <f t="shared" si="11"/>
        <v>市政基础设施</v>
      </c>
      <c r="R35" s="774" t="s">
        <v>17</v>
      </c>
      <c r="S35" s="775">
        <f t="shared" si="12"/>
        <v>100</v>
      </c>
      <c r="T35" s="774" t="s">
        <v>17</v>
      </c>
      <c r="U35" s="775">
        <f t="shared" si="13"/>
        <v>100</v>
      </c>
      <c r="V35" s="774" t="s">
        <v>17</v>
      </c>
      <c r="W35" s="775">
        <f t="shared" si="14"/>
        <v>100</v>
      </c>
      <c r="X35" s="1815"/>
      <c r="Y35" s="3174"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4"/>
      <c r="Q36" s="1812" t="str">
        <f t="shared" si="11"/>
        <v>内部装修</v>
      </c>
      <c r="R36" s="774" t="s">
        <v>17</v>
      </c>
      <c r="S36" s="775">
        <f t="shared" si="12"/>
        <v>100</v>
      </c>
      <c r="T36" s="774" t="s">
        <v>17</v>
      </c>
      <c r="U36" s="775">
        <f t="shared" si="13"/>
        <v>100</v>
      </c>
      <c r="V36" s="774" t="s">
        <v>17</v>
      </c>
      <c r="W36" s="775">
        <f t="shared" si="14"/>
        <v>100</v>
      </c>
      <c r="X36" s="1815"/>
      <c r="Y36" s="3174"/>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4"/>
      <c r="Q37" s="1812" t="str">
        <f t="shared" si="11"/>
        <v>内部装修状况</v>
      </c>
      <c r="R37" s="774" t="s">
        <v>17</v>
      </c>
      <c r="S37" s="775">
        <f t="shared" si="12"/>
        <v>100</v>
      </c>
      <c r="T37" s="774" t="s">
        <v>17</v>
      </c>
      <c r="U37" s="775">
        <f t="shared" si="13"/>
        <v>100</v>
      </c>
      <c r="V37" s="774" t="s">
        <v>17</v>
      </c>
      <c r="W37" s="775">
        <f t="shared" si="14"/>
        <v>100</v>
      </c>
      <c r="X37" s="1815"/>
      <c r="Y37" s="317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4"/>
      <c r="Q39" s="1812">
        <f t="shared" si="11"/>
        <v>111</v>
      </c>
      <c r="R39" s="774" t="s">
        <v>17</v>
      </c>
      <c r="S39" s="775">
        <f t="shared" si="12"/>
        <v>100</v>
      </c>
      <c r="T39" s="774" t="s">
        <v>17</v>
      </c>
      <c r="U39" s="775">
        <f t="shared" si="13"/>
        <v>100</v>
      </c>
      <c r="V39" s="774" t="s">
        <v>17</v>
      </c>
      <c r="W39" s="775">
        <f t="shared" si="14"/>
        <v>100</v>
      </c>
      <c r="X39" s="1815"/>
      <c r="Y39" s="3174"/>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169" t="str">
        <f>A41</f>
        <v>成交单价（元/平方米）</v>
      </c>
      <c r="Q41" s="3169"/>
      <c r="R41" s="3233">
        <f>E41</f>
        <v>0</v>
      </c>
      <c r="S41" s="3233"/>
      <c r="T41" s="3233">
        <f>G41</f>
        <v>0</v>
      </c>
      <c r="U41" s="3233"/>
      <c r="V41" s="3233">
        <f>I41</f>
        <v>0</v>
      </c>
      <c r="W41" s="3233"/>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163" t="str">
        <f>A43</f>
        <v>估价对象XX用房的比较价值（楼面单价，元/平方米）</v>
      </c>
      <c r="Q43" s="3164"/>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87"/>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1" t="e">
        <f ca="1">IF(C2="——",IF(B37="元/平方米",ROUND(C39*D3/10000,0),ROUND(F3*C39/10000,0)),IF(B37="元/平方米",ROUND(C39*D3/10000,0),ROUND(F3*C39/10000,0))-D2)</f>
        <v>#DIV/0!</v>
      </c>
      <c r="C2" s="2589"/>
      <c r="D2" s="1127" t="e">
        <f ca="1">SUMIF(INDIRECT("'"&amp;F2&amp;"'"&amp;"!A:A"),"承租人权益价值",INDIRECT("'"&amp;F2&amp;"'"&amp;"!c:c"))</f>
        <v>#REF!</v>
      </c>
      <c r="E2" s="2590" t="s">
        <v>2328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7" t="s">
        <v>2648</v>
      </c>
      <c r="AC4" s="3176" t="s">
        <v>2649</v>
      </c>
    </row>
    <row r="5" spans="1:29" ht="15">
      <c r="A5" s="404"/>
      <c r="B5" s="405"/>
      <c r="C5" s="3196" t="s">
        <v>2542</v>
      </c>
      <c r="D5" s="3197"/>
      <c r="E5" s="3203" t="s">
        <v>2543</v>
      </c>
      <c r="F5" s="3204"/>
      <c r="G5" s="3196" t="s">
        <v>2544</v>
      </c>
      <c r="H5" s="3197"/>
      <c r="I5" s="3196" t="s">
        <v>2545</v>
      </c>
      <c r="J5" s="3197"/>
      <c r="K5" s="610"/>
      <c r="L5" s="1133"/>
      <c r="M5" s="1134"/>
      <c r="N5" s="1134"/>
      <c r="O5" s="1134"/>
      <c r="P5" s="3184"/>
      <c r="Q5" s="3185"/>
      <c r="R5" s="3190"/>
      <c r="S5" s="3191"/>
      <c r="T5" s="3190"/>
      <c r="U5" s="3191"/>
      <c r="V5" s="3175"/>
      <c r="W5" s="3175"/>
      <c r="X5" s="1815"/>
      <c r="Y5" s="3190"/>
      <c r="Z5" s="3191"/>
      <c r="AA5" s="3177"/>
      <c r="AB5" s="3177"/>
      <c r="AC5" s="3177"/>
    </row>
    <row r="6" spans="1:29" ht="15.75" thickBot="1">
      <c r="A6" s="406"/>
      <c r="B6" s="407"/>
      <c r="C6" s="3194" t="s">
        <v>2546</v>
      </c>
      <c r="D6" s="3195"/>
      <c r="E6" s="3201" t="s">
        <v>2546</v>
      </c>
      <c r="F6" s="3202"/>
      <c r="G6" s="3194" t="s">
        <v>2546</v>
      </c>
      <c r="H6" s="3195"/>
      <c r="I6" s="3194" t="s">
        <v>2546</v>
      </c>
      <c r="J6" s="3195"/>
      <c r="K6" s="610" t="s">
        <v>2547</v>
      </c>
      <c r="L6" s="1133"/>
      <c r="M6" s="1134"/>
      <c r="N6" s="1134"/>
      <c r="O6" s="1134"/>
      <c r="P6" s="3186"/>
      <c r="Q6" s="3187"/>
      <c r="R6" s="3190"/>
      <c r="S6" s="3191"/>
      <c r="T6" s="3192"/>
      <c r="U6" s="3193"/>
      <c r="V6" s="3175"/>
      <c r="W6" s="3175"/>
      <c r="X6" s="1815"/>
      <c r="Y6" s="3192"/>
      <c r="Z6" s="3193"/>
      <c r="AA6" s="3178"/>
      <c r="AB6" s="3178"/>
      <c r="AC6" s="3178"/>
    </row>
    <row r="7" spans="1:29" s="117" customFormat="1" ht="15.75" thickBot="1">
      <c r="A7" s="408" t="s">
        <v>2548</v>
      </c>
      <c r="B7" s="409"/>
      <c r="C7" s="410">
        <f>'数据-取费表'!B2</f>
        <v>43404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8" t="s">
        <v>2549</v>
      </c>
      <c r="Q7" s="3200"/>
      <c r="R7" s="770" t="s">
        <v>17</v>
      </c>
      <c r="S7" s="771">
        <f t="shared" ref="S7:S14" si="0">F7</f>
        <v>0</v>
      </c>
      <c r="T7" s="770" t="s">
        <v>17</v>
      </c>
      <c r="U7" s="771">
        <f t="shared" ref="U7:U14" si="1">H7</f>
        <v>0</v>
      </c>
      <c r="V7" s="770" t="s">
        <v>17</v>
      </c>
      <c r="W7" s="771">
        <f t="shared" ref="W7:W14" si="2">J7</f>
        <v>0</v>
      </c>
      <c r="X7" s="772"/>
      <c r="Y7" s="3198" t="s">
        <v>2549</v>
      </c>
      <c r="Z7" s="319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8" t="s">
        <v>2552</v>
      </c>
      <c r="Q8" s="3199"/>
      <c r="R8" s="770" t="s">
        <v>17</v>
      </c>
      <c r="S8" s="771">
        <f t="shared" si="0"/>
        <v>0</v>
      </c>
      <c r="T8" s="770" t="s">
        <v>17</v>
      </c>
      <c r="U8" s="771">
        <f t="shared" si="1"/>
        <v>0</v>
      </c>
      <c r="V8" s="770" t="s">
        <v>17</v>
      </c>
      <c r="W8" s="771">
        <f t="shared" si="2"/>
        <v>0</v>
      </c>
      <c r="X8" s="772"/>
      <c r="Y8" s="3198" t="s">
        <v>2552</v>
      </c>
      <c r="Z8" s="319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2555</v>
      </c>
      <c r="Q9" s="1797"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2560</v>
      </c>
      <c r="Q14" s="1812" t="str">
        <f t="shared" si="6"/>
        <v>交通便捷度</v>
      </c>
      <c r="R14" s="774" t="s">
        <v>17</v>
      </c>
      <c r="S14" s="775">
        <f t="shared" si="0"/>
        <v>100</v>
      </c>
      <c r="T14" s="774" t="s">
        <v>17</v>
      </c>
      <c r="U14" s="775">
        <f t="shared" si="1"/>
        <v>100</v>
      </c>
      <c r="V14" s="774" t="s">
        <v>17</v>
      </c>
      <c r="W14" s="775">
        <f t="shared" si="2"/>
        <v>100</v>
      </c>
      <c r="X14" s="1815"/>
      <c r="Y14" s="3171"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2"/>
      <c r="Q15" s="1812"/>
      <c r="R15" s="774"/>
      <c r="S15" s="775"/>
      <c r="T15" s="774"/>
      <c r="U15" s="775"/>
      <c r="V15" s="774"/>
      <c r="W15" s="775"/>
      <c r="X15" s="1815"/>
      <c r="Y15" s="3172"/>
      <c r="Z15" s="1816"/>
      <c r="AA15" s="1813">
        <v>1</v>
      </c>
      <c r="AB15" s="1813">
        <v>1</v>
      </c>
      <c r="AC15" s="1813">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2" t="str">
        <f>B16</f>
        <v>公共配套设施</v>
      </c>
      <c r="R16" s="774" t="s">
        <v>17</v>
      </c>
      <c r="S16" s="775">
        <f>F16</f>
        <v>100</v>
      </c>
      <c r="T16" s="774" t="s">
        <v>17</v>
      </c>
      <c r="U16" s="775">
        <f>H16</f>
        <v>100</v>
      </c>
      <c r="V16" s="774" t="s">
        <v>17</v>
      </c>
      <c r="W16" s="775">
        <f>J16</f>
        <v>100</v>
      </c>
      <c r="X16" s="1815"/>
      <c r="Y16" s="3172"/>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3"/>
      <c r="M17" s="1134"/>
      <c r="N17" s="1134"/>
      <c r="O17" s="1134"/>
      <c r="P17" s="3172"/>
      <c r="Q17" s="1812"/>
      <c r="R17" s="774"/>
      <c r="S17" s="775"/>
      <c r="T17" s="774"/>
      <c r="U17" s="775"/>
      <c r="V17" s="774"/>
      <c r="W17" s="775"/>
      <c r="X17" s="1815"/>
      <c r="Y17" s="3172"/>
      <c r="Z17" s="1816"/>
      <c r="AA17" s="1813">
        <v>1</v>
      </c>
      <c r="AB17" s="1813">
        <v>1</v>
      </c>
      <c r="AC17" s="1813">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2" t="str">
        <f>B18</f>
        <v>基础设施水平</v>
      </c>
      <c r="R18" s="774" t="s">
        <v>17</v>
      </c>
      <c r="S18" s="775">
        <f>F18</f>
        <v>100</v>
      </c>
      <c r="T18" s="774" t="s">
        <v>17</v>
      </c>
      <c r="U18" s="775">
        <f>H18</f>
        <v>100</v>
      </c>
      <c r="V18" s="774" t="s">
        <v>17</v>
      </c>
      <c r="W18" s="775">
        <f>J18</f>
        <v>100</v>
      </c>
      <c r="X18" s="1815"/>
      <c r="Y18" s="3172"/>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6"/>
      <c r="L19" s="1143"/>
      <c r="M19" s="1134"/>
      <c r="N19" s="1134"/>
      <c r="O19" s="1134"/>
      <c r="P19" s="3172"/>
      <c r="Q19" s="1812"/>
      <c r="R19" s="774"/>
      <c r="S19" s="775"/>
      <c r="T19" s="774"/>
      <c r="U19" s="775"/>
      <c r="V19" s="774"/>
      <c r="W19" s="775"/>
      <c r="X19" s="1815"/>
      <c r="Y19" s="3172"/>
      <c r="Z19" s="1816"/>
      <c r="AA19" s="1813">
        <v>1</v>
      </c>
      <c r="AB19" s="1813">
        <v>1</v>
      </c>
      <c r="AC19" s="1813">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2" t="str">
        <f>B20</f>
        <v>自然及人文环境</v>
      </c>
      <c r="R20" s="774" t="s">
        <v>17</v>
      </c>
      <c r="S20" s="775">
        <f>F20</f>
        <v>100</v>
      </c>
      <c r="T20" s="774" t="s">
        <v>17</v>
      </c>
      <c r="U20" s="775">
        <f>H20</f>
        <v>100</v>
      </c>
      <c r="V20" s="774" t="s">
        <v>17</v>
      </c>
      <c r="W20" s="775">
        <f>J20</f>
        <v>100</v>
      </c>
      <c r="X20" s="1815"/>
      <c r="Y20" s="317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2"/>
      <c r="Q21" s="1812"/>
      <c r="R21" s="774"/>
      <c r="S21" s="775"/>
      <c r="T21" s="774"/>
      <c r="U21" s="775"/>
      <c r="V21" s="774"/>
      <c r="W21" s="775"/>
      <c r="X21" s="1815"/>
      <c r="Y21" s="3172"/>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2" t="str">
        <f>B22</f>
        <v>楼层</v>
      </c>
      <c r="R22" s="774" t="s">
        <v>17</v>
      </c>
      <c r="S22" s="775">
        <f>F22</f>
        <v>100</v>
      </c>
      <c r="T22" s="774" t="s">
        <v>17</v>
      </c>
      <c r="U22" s="775">
        <f>H22</f>
        <v>100</v>
      </c>
      <c r="V22" s="774" t="s">
        <v>17</v>
      </c>
      <c r="W22" s="775">
        <f>J22</f>
        <v>100</v>
      </c>
      <c r="X22" s="1815"/>
      <c r="Y22" s="317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2">
        <f>B23</f>
        <v>111</v>
      </c>
      <c r="R23" s="774" t="s">
        <v>17</v>
      </c>
      <c r="S23" s="775">
        <f>F23</f>
        <v>100</v>
      </c>
      <c r="T23" s="774" t="s">
        <v>17</v>
      </c>
      <c r="U23" s="775">
        <f>H23</f>
        <v>100</v>
      </c>
      <c r="V23" s="774" t="s">
        <v>17</v>
      </c>
      <c r="W23" s="775">
        <f>J23</f>
        <v>100</v>
      </c>
      <c r="X23" s="1815"/>
      <c r="Y23" s="317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2">
        <f t="shared" ref="Q24:Q36" si="11">B24</f>
        <v>111</v>
      </c>
      <c r="R24" s="774" t="s">
        <v>17</v>
      </c>
      <c r="S24" s="775">
        <f>F24</f>
        <v>100</v>
      </c>
      <c r="T24" s="774" t="s">
        <v>17</v>
      </c>
      <c r="U24" s="775">
        <f>H24</f>
        <v>100</v>
      </c>
      <c r="V24" s="774" t="s">
        <v>17</v>
      </c>
      <c r="W24" s="775">
        <f>J24</f>
        <v>100</v>
      </c>
      <c r="X24" s="1815"/>
      <c r="Y24" s="317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7">
        <f t="shared" si="11"/>
        <v>111</v>
      </c>
      <c r="R25" s="770" t="s">
        <v>17</v>
      </c>
      <c r="S25" s="771">
        <f>F25</f>
        <v>100</v>
      </c>
      <c r="T25" s="770" t="s">
        <v>17</v>
      </c>
      <c r="U25" s="771">
        <f>H25</f>
        <v>100</v>
      </c>
      <c r="V25" s="770" t="s">
        <v>17</v>
      </c>
      <c r="W25" s="771">
        <f>J25</f>
        <v>100</v>
      </c>
      <c r="X25" s="772"/>
      <c r="Y25" s="3172"/>
      <c r="Z25" s="55">
        <f>Q25</f>
        <v>111</v>
      </c>
      <c r="AA25" s="1813">
        <f>D25/F25</f>
        <v>1</v>
      </c>
      <c r="AB25" s="1813">
        <f>D25/H25</f>
        <v>1</v>
      </c>
      <c r="AC25" s="1813">
        <f>D25/J25</f>
        <v>1</v>
      </c>
    </row>
    <row r="26" spans="1:29" ht="1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3"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4"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4"/>
      <c r="Q28" s="1812" t="str">
        <f t="shared" si="11"/>
        <v>公共部分装修</v>
      </c>
      <c r="R28" s="774" t="s">
        <v>17</v>
      </c>
      <c r="S28" s="775">
        <f t="shared" si="12"/>
        <v>100</v>
      </c>
      <c r="T28" s="774" t="s">
        <v>17</v>
      </c>
      <c r="U28" s="775">
        <f t="shared" si="13"/>
        <v>100</v>
      </c>
      <c r="V28" s="774" t="s">
        <v>17</v>
      </c>
      <c r="W28" s="775">
        <f t="shared" si="14"/>
        <v>100</v>
      </c>
      <c r="X28" s="1815"/>
      <c r="Y28" s="3174"/>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4"/>
      <c r="Q29" s="1812" t="str">
        <f t="shared" si="11"/>
        <v>成新率</v>
      </c>
      <c r="R29" s="774" t="s">
        <v>17</v>
      </c>
      <c r="S29" s="775" t="e">
        <f t="shared" si="12"/>
        <v>#N/A</v>
      </c>
      <c r="T29" s="774" t="s">
        <v>17</v>
      </c>
      <c r="U29" s="775" t="e">
        <f t="shared" si="13"/>
        <v>#N/A</v>
      </c>
      <c r="V29" s="774" t="s">
        <v>17</v>
      </c>
      <c r="W29" s="775" t="e">
        <f t="shared" si="14"/>
        <v>#N/A</v>
      </c>
      <c r="X29" s="1815"/>
      <c r="Y29" s="3174"/>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4"/>
      <c r="Q30" s="1812" t="str">
        <f t="shared" si="11"/>
        <v>物业等级</v>
      </c>
      <c r="R30" s="774" t="s">
        <v>17</v>
      </c>
      <c r="S30" s="775">
        <f t="shared" si="12"/>
        <v>100</v>
      </c>
      <c r="T30" s="774" t="s">
        <v>17</v>
      </c>
      <c r="U30" s="775">
        <f t="shared" si="13"/>
        <v>100</v>
      </c>
      <c r="V30" s="774" t="s">
        <v>17</v>
      </c>
      <c r="W30" s="775">
        <f t="shared" si="14"/>
        <v>100</v>
      </c>
      <c r="X30" s="1815"/>
      <c r="Y30" s="3174"/>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4"/>
      <c r="Q31" s="1797"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4" t="s">
        <v>2565</v>
      </c>
      <c r="Q32" s="1812" t="str">
        <f t="shared" si="11"/>
        <v>车位类型</v>
      </c>
      <c r="R32" s="774" t="s">
        <v>17</v>
      </c>
      <c r="S32" s="775">
        <f t="shared" si="12"/>
        <v>100</v>
      </c>
      <c r="T32" s="774" t="s">
        <v>17</v>
      </c>
      <c r="U32" s="775">
        <f t="shared" si="13"/>
        <v>100</v>
      </c>
      <c r="V32" s="774" t="s">
        <v>17</v>
      </c>
      <c r="W32" s="775">
        <f t="shared" si="14"/>
        <v>100</v>
      </c>
      <c r="X32" s="1815"/>
      <c r="Y32" s="3174"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4"/>
      <c r="Q33" s="1812" t="str">
        <f t="shared" si="11"/>
        <v>是否直接入户</v>
      </c>
      <c r="R33" s="774" t="s">
        <v>17</v>
      </c>
      <c r="S33" s="775">
        <f t="shared" si="12"/>
        <v>100</v>
      </c>
      <c r="T33" s="774" t="s">
        <v>17</v>
      </c>
      <c r="U33" s="775">
        <f t="shared" si="13"/>
        <v>100</v>
      </c>
      <c r="V33" s="774" t="s">
        <v>17</v>
      </c>
      <c r="W33" s="775">
        <f t="shared" si="14"/>
        <v>100</v>
      </c>
      <c r="X33" s="1815"/>
      <c r="Y33" s="317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4"/>
      <c r="Q34" s="1812">
        <f t="shared" si="11"/>
        <v>111</v>
      </c>
      <c r="R34" s="774" t="s">
        <v>17</v>
      </c>
      <c r="S34" s="775">
        <f t="shared" si="12"/>
        <v>100</v>
      </c>
      <c r="T34" s="774" t="s">
        <v>17</v>
      </c>
      <c r="U34" s="775">
        <f t="shared" si="13"/>
        <v>100</v>
      </c>
      <c r="V34" s="774" t="s">
        <v>17</v>
      </c>
      <c r="W34" s="775">
        <f t="shared" si="14"/>
        <v>100</v>
      </c>
      <c r="X34" s="1815"/>
      <c r="Y34" s="317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4"/>
      <c r="Q36" s="1812">
        <f t="shared" si="11"/>
        <v>111</v>
      </c>
      <c r="R36" s="774" t="s">
        <v>17</v>
      </c>
      <c r="S36" s="775">
        <f t="shared" si="12"/>
        <v>100</v>
      </c>
      <c r="T36" s="774" t="s">
        <v>17</v>
      </c>
      <c r="U36" s="775">
        <f t="shared" si="13"/>
        <v>100</v>
      </c>
      <c r="V36" s="774" t="s">
        <v>17</v>
      </c>
      <c r="W36" s="775">
        <f t="shared" si="14"/>
        <v>100</v>
      </c>
      <c r="X36" s="1815"/>
      <c r="Y36" s="3174"/>
      <c r="Z36" s="1816">
        <f t="shared" si="15"/>
        <v>111</v>
      </c>
      <c r="AA36" s="1813">
        <f t="shared" si="3"/>
        <v>1</v>
      </c>
      <c r="AB36" s="1813">
        <f t="shared" si="4"/>
        <v>1</v>
      </c>
      <c r="AC36" s="1813">
        <f t="shared" si="5"/>
        <v>1</v>
      </c>
    </row>
    <row r="37" spans="1:29" ht="15">
      <c r="A37" s="479" t="s">
        <v>2720</v>
      </c>
      <c r="B37" s="2698" t="s">
        <v>2721</v>
      </c>
      <c r="C37" s="1410" t="s">
        <v>1</v>
      </c>
      <c r="D37" s="1411"/>
      <c r="E37" s="1412"/>
      <c r="F37" s="1413"/>
      <c r="G37" s="1414"/>
      <c r="H37" s="1415"/>
      <c r="I37" s="1412"/>
      <c r="J37" s="1415"/>
      <c r="K37" s="619"/>
      <c r="L37" s="1146"/>
      <c r="M37" s="1147"/>
      <c r="N37" s="1134"/>
      <c r="O37" s="1147"/>
      <c r="P37" s="3169" t="str">
        <f>A37</f>
        <v>成交单价</v>
      </c>
      <c r="Q37" s="3169"/>
      <c r="R37" s="3233">
        <f>E37</f>
        <v>0</v>
      </c>
      <c r="S37" s="3233"/>
      <c r="T37" s="3233">
        <f>G37</f>
        <v>0</v>
      </c>
      <c r="U37" s="3233"/>
      <c r="V37" s="3233">
        <f>I37</f>
        <v>0</v>
      </c>
      <c r="W37" s="3233"/>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163" t="str">
        <f>A39</f>
        <v>估价对象XX用房的比较价值（楼面单价，元/平方米）</v>
      </c>
      <c r="Q39" s="3164"/>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IF(C2="——",ROUND(C37*D3/10000,0),ROUND(C37*D3/10000,0)-D2)</f>
        <v>#DIV/0!</v>
      </c>
      <c r="C2" s="2589"/>
      <c r="D2" s="1127" t="e">
        <f ca="1">SUMIF(INDIRECT("'"&amp;F2&amp;"'"&amp;"!A:A"),"承租人权益价值",INDIRECT("'"&amp;F2&amp;"'"&amp;"!c:c"))</f>
        <v>#REF!</v>
      </c>
      <c r="E2" s="2590" t="s">
        <v>2328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7" t="s">
        <v>2648</v>
      </c>
      <c r="AC4" s="3176" t="s">
        <v>2649</v>
      </c>
    </row>
    <row r="5" spans="1:29" ht="15">
      <c r="A5" s="404"/>
      <c r="B5" s="405"/>
      <c r="C5" s="3196" t="s">
        <v>2542</v>
      </c>
      <c r="D5" s="3197"/>
      <c r="E5" s="3203" t="s">
        <v>2543</v>
      </c>
      <c r="F5" s="3204"/>
      <c r="G5" s="3196" t="s">
        <v>2544</v>
      </c>
      <c r="H5" s="3197"/>
      <c r="I5" s="3196" t="s">
        <v>2545</v>
      </c>
      <c r="J5" s="3197"/>
      <c r="K5" s="610"/>
      <c r="L5" s="1133"/>
      <c r="M5" s="1134"/>
      <c r="N5" s="1134"/>
      <c r="O5" s="1134"/>
      <c r="P5" s="3184"/>
      <c r="Q5" s="3185"/>
      <c r="R5" s="3190"/>
      <c r="S5" s="3191"/>
      <c r="T5" s="3190"/>
      <c r="U5" s="3191"/>
      <c r="V5" s="3175"/>
      <c r="W5" s="3175"/>
      <c r="X5" s="1815"/>
      <c r="Y5" s="3190"/>
      <c r="Z5" s="3191"/>
      <c r="AA5" s="3177"/>
      <c r="AB5" s="3177"/>
      <c r="AC5" s="3177"/>
    </row>
    <row r="6" spans="1:29" ht="15.75" thickBot="1">
      <c r="A6" s="406"/>
      <c r="B6" s="407"/>
      <c r="C6" s="3194" t="s">
        <v>2546</v>
      </c>
      <c r="D6" s="3195"/>
      <c r="E6" s="3201" t="s">
        <v>2546</v>
      </c>
      <c r="F6" s="3202"/>
      <c r="G6" s="3194" t="s">
        <v>2546</v>
      </c>
      <c r="H6" s="3195"/>
      <c r="I6" s="3194" t="s">
        <v>2546</v>
      </c>
      <c r="J6" s="3195"/>
      <c r="K6" s="610" t="s">
        <v>2547</v>
      </c>
      <c r="L6" s="1133"/>
      <c r="M6" s="1134"/>
      <c r="N6" s="1134"/>
      <c r="O6" s="1134"/>
      <c r="P6" s="3186"/>
      <c r="Q6" s="3187"/>
      <c r="R6" s="3190"/>
      <c r="S6" s="3191"/>
      <c r="T6" s="3192"/>
      <c r="U6" s="3193"/>
      <c r="V6" s="3175"/>
      <c r="W6" s="3175"/>
      <c r="X6" s="1815"/>
      <c r="Y6" s="3192"/>
      <c r="Z6" s="3193"/>
      <c r="AA6" s="3178"/>
      <c r="AB6" s="3178"/>
      <c r="AC6" s="3178"/>
    </row>
    <row r="7" spans="1:29" s="117" customFormat="1" ht="15.75" thickBot="1">
      <c r="A7" s="408" t="s">
        <v>2548</v>
      </c>
      <c r="B7" s="409"/>
      <c r="C7" s="410">
        <f>'数据-取费表'!B2</f>
        <v>43404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8" t="s">
        <v>2549</v>
      </c>
      <c r="Q7" s="3200"/>
      <c r="R7" s="770" t="s">
        <v>17</v>
      </c>
      <c r="S7" s="771">
        <f t="shared" ref="S7:S14" si="0">F7</f>
        <v>0</v>
      </c>
      <c r="T7" s="770" t="s">
        <v>17</v>
      </c>
      <c r="U7" s="771">
        <f t="shared" ref="U7:U14" si="1">H7</f>
        <v>0</v>
      </c>
      <c r="V7" s="770" t="s">
        <v>17</v>
      </c>
      <c r="W7" s="771">
        <f t="shared" ref="W7:W14" si="2">J7</f>
        <v>0</v>
      </c>
      <c r="X7" s="772"/>
      <c r="Y7" s="3198" t="s">
        <v>2549</v>
      </c>
      <c r="Z7" s="319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8" t="s">
        <v>2552</v>
      </c>
      <c r="Q8" s="3199"/>
      <c r="R8" s="770" t="s">
        <v>17</v>
      </c>
      <c r="S8" s="771">
        <f t="shared" si="0"/>
        <v>0</v>
      </c>
      <c r="T8" s="770" t="s">
        <v>17</v>
      </c>
      <c r="U8" s="771">
        <f t="shared" si="1"/>
        <v>0</v>
      </c>
      <c r="V8" s="770" t="s">
        <v>17</v>
      </c>
      <c r="W8" s="771">
        <f t="shared" si="2"/>
        <v>0</v>
      </c>
      <c r="X8" s="772"/>
      <c r="Y8" s="3198" t="s">
        <v>2552</v>
      </c>
      <c r="Z8" s="319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2555</v>
      </c>
      <c r="Q9" s="1797"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2560</v>
      </c>
      <c r="Q14" s="1812" t="str">
        <f t="shared" si="6"/>
        <v>交通便捷度</v>
      </c>
      <c r="R14" s="774" t="s">
        <v>17</v>
      </c>
      <c r="S14" s="775">
        <f t="shared" si="0"/>
        <v>100</v>
      </c>
      <c r="T14" s="774" t="s">
        <v>17</v>
      </c>
      <c r="U14" s="775">
        <f t="shared" si="1"/>
        <v>100</v>
      </c>
      <c r="V14" s="774" t="s">
        <v>17</v>
      </c>
      <c r="W14" s="775">
        <f t="shared" si="2"/>
        <v>100</v>
      </c>
      <c r="X14" s="1815"/>
      <c r="Y14" s="3171"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2"/>
      <c r="Q15" s="1812"/>
      <c r="R15" s="774"/>
      <c r="S15" s="775"/>
      <c r="T15" s="774"/>
      <c r="U15" s="775"/>
      <c r="V15" s="774"/>
      <c r="W15" s="775"/>
      <c r="X15" s="1815"/>
      <c r="Y15" s="3172"/>
      <c r="Z15" s="1816"/>
      <c r="AA15" s="1813">
        <v>1</v>
      </c>
      <c r="AB15" s="1813">
        <v>1</v>
      </c>
      <c r="AC15" s="1813">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2" t="str">
        <f>B16</f>
        <v>公共配套设施</v>
      </c>
      <c r="R16" s="774" t="s">
        <v>17</v>
      </c>
      <c r="S16" s="775">
        <f>F16</f>
        <v>100</v>
      </c>
      <c r="T16" s="774" t="s">
        <v>17</v>
      </c>
      <c r="U16" s="775">
        <f>H16</f>
        <v>100</v>
      </c>
      <c r="V16" s="774" t="s">
        <v>17</v>
      </c>
      <c r="W16" s="775">
        <f>J16</f>
        <v>100</v>
      </c>
      <c r="X16" s="1815"/>
      <c r="Y16" s="3172"/>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3"/>
      <c r="M17" s="1134"/>
      <c r="N17" s="1134"/>
      <c r="O17" s="1142"/>
      <c r="P17" s="3172"/>
      <c r="Q17" s="1812"/>
      <c r="R17" s="774"/>
      <c r="S17" s="775"/>
      <c r="T17" s="774"/>
      <c r="U17" s="775"/>
      <c r="V17" s="774"/>
      <c r="W17" s="775"/>
      <c r="X17" s="1815"/>
      <c r="Y17" s="3172"/>
      <c r="Z17" s="1816"/>
      <c r="AA17" s="1813">
        <v>1</v>
      </c>
      <c r="AB17" s="1813">
        <v>1</v>
      </c>
      <c r="AC17" s="1813">
        <v>1</v>
      </c>
    </row>
    <row r="18" spans="1:29" ht="28.5">
      <c r="A18" s="428"/>
      <c r="B18" s="1387"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2" t="str">
        <f>B18</f>
        <v>基础设施水平</v>
      </c>
      <c r="R18" s="774" t="s">
        <v>17</v>
      </c>
      <c r="S18" s="775">
        <f>F18</f>
        <v>100</v>
      </c>
      <c r="T18" s="774" t="s">
        <v>17</v>
      </c>
      <c r="U18" s="775">
        <f>H18</f>
        <v>100</v>
      </c>
      <c r="V18" s="774" t="s">
        <v>17</v>
      </c>
      <c r="W18" s="775">
        <f>J18</f>
        <v>100</v>
      </c>
      <c r="X18" s="1815"/>
      <c r="Y18" s="3172"/>
      <c r="Z18" s="1816" t="str">
        <f>Q18</f>
        <v>基础设施水平</v>
      </c>
      <c r="AA18" s="1813">
        <f t="shared" ref="AA18" si="8">D18/F18</f>
        <v>1</v>
      </c>
      <c r="AB18" s="1813">
        <f t="shared" ref="AB18" si="9">D18/H18</f>
        <v>1</v>
      </c>
      <c r="AC18" s="1813">
        <f t="shared" ref="AC18" si="10">D18/J18</f>
        <v>1</v>
      </c>
    </row>
    <row r="19" spans="1:29" ht="15">
      <c r="A19" s="428"/>
      <c r="B19" s="1387"/>
      <c r="C19" s="2611"/>
      <c r="D19" s="450"/>
      <c r="E19" s="2611"/>
      <c r="F19" s="453"/>
      <c r="G19" s="2611"/>
      <c r="H19" s="448"/>
      <c r="I19" s="447"/>
      <c r="J19" s="448"/>
      <c r="K19" s="1386"/>
      <c r="L19" s="1143"/>
      <c r="M19" s="1134"/>
      <c r="N19" s="1134"/>
      <c r="O19" s="1142"/>
      <c r="P19" s="3172"/>
      <c r="Q19" s="1812"/>
      <c r="R19" s="774"/>
      <c r="S19" s="775"/>
      <c r="T19" s="774"/>
      <c r="U19" s="775"/>
      <c r="V19" s="774"/>
      <c r="W19" s="775"/>
      <c r="X19" s="1815"/>
      <c r="Y19" s="3172"/>
      <c r="Z19" s="1816"/>
      <c r="AA19" s="1813">
        <v>1</v>
      </c>
      <c r="AB19" s="1813">
        <v>1</v>
      </c>
      <c r="AC19" s="1813">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2" t="str">
        <f>B20</f>
        <v>自然及人文环境</v>
      </c>
      <c r="R20" s="774" t="s">
        <v>17</v>
      </c>
      <c r="S20" s="775">
        <f>F20</f>
        <v>100</v>
      </c>
      <c r="T20" s="774" t="s">
        <v>17</v>
      </c>
      <c r="U20" s="775">
        <f>H20</f>
        <v>100</v>
      </c>
      <c r="V20" s="774" t="s">
        <v>17</v>
      </c>
      <c r="W20" s="775">
        <f>J20</f>
        <v>100</v>
      </c>
      <c r="X20" s="1815"/>
      <c r="Y20" s="317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2"/>
      <c r="Q21" s="1812"/>
      <c r="R21" s="774"/>
      <c r="S21" s="775"/>
      <c r="T21" s="774"/>
      <c r="U21" s="775"/>
      <c r="V21" s="774"/>
      <c r="W21" s="775"/>
      <c r="X21" s="1815"/>
      <c r="Y21" s="3172"/>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2" t="str">
        <f>B22</f>
        <v>楼层</v>
      </c>
      <c r="R22" s="774" t="s">
        <v>17</v>
      </c>
      <c r="S22" s="775">
        <f>F22</f>
        <v>100</v>
      </c>
      <c r="T22" s="774" t="s">
        <v>17</v>
      </c>
      <c r="U22" s="775">
        <f>H22</f>
        <v>100</v>
      </c>
      <c r="V22" s="774" t="s">
        <v>17</v>
      </c>
      <c r="W22" s="775">
        <f>J22</f>
        <v>100</v>
      </c>
      <c r="X22" s="1815"/>
      <c r="Y22" s="3172"/>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2">
        <f>B23</f>
        <v>111</v>
      </c>
      <c r="R23" s="774" t="s">
        <v>17</v>
      </c>
      <c r="S23" s="775">
        <f>F23</f>
        <v>100</v>
      </c>
      <c r="T23" s="774" t="s">
        <v>17</v>
      </c>
      <c r="U23" s="775">
        <f>H23</f>
        <v>100</v>
      </c>
      <c r="V23" s="774" t="s">
        <v>17</v>
      </c>
      <c r="W23" s="775">
        <f>J23</f>
        <v>100</v>
      </c>
      <c r="X23" s="1815"/>
      <c r="Y23" s="3172"/>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2">
        <f t="shared" ref="Q24:Q34" si="11">B24</f>
        <v>111</v>
      </c>
      <c r="R24" s="774" t="s">
        <v>17</v>
      </c>
      <c r="S24" s="775">
        <f>F24</f>
        <v>100</v>
      </c>
      <c r="T24" s="774" t="s">
        <v>17</v>
      </c>
      <c r="U24" s="775">
        <f>H24</f>
        <v>100</v>
      </c>
      <c r="V24" s="774" t="s">
        <v>17</v>
      </c>
      <c r="W24" s="775">
        <f>J24</f>
        <v>100</v>
      </c>
      <c r="X24" s="1815"/>
      <c r="Y24" s="3172"/>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72"/>
      <c r="Q25" s="1797">
        <f t="shared" si="11"/>
        <v>111</v>
      </c>
      <c r="R25" s="770" t="s">
        <v>17</v>
      </c>
      <c r="S25" s="771">
        <f>F25</f>
        <v>100</v>
      </c>
      <c r="T25" s="770" t="s">
        <v>17</v>
      </c>
      <c r="U25" s="771">
        <f>H25</f>
        <v>100</v>
      </c>
      <c r="V25" s="770" t="s">
        <v>17</v>
      </c>
      <c r="W25" s="771">
        <f>J25</f>
        <v>100</v>
      </c>
      <c r="X25" s="772"/>
      <c r="Y25" s="3172"/>
      <c r="Z25" s="55">
        <f>Q25</f>
        <v>111</v>
      </c>
      <c r="AA25" s="1813">
        <f>D25/F25</f>
        <v>1</v>
      </c>
      <c r="AB25" s="1813">
        <f>D25/H25</f>
        <v>1</v>
      </c>
      <c r="AC25" s="1813">
        <f>D25/J25</f>
        <v>1</v>
      </c>
    </row>
    <row r="26" spans="1:29" ht="1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73"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4"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4"/>
      <c r="Q28" s="1812" t="str">
        <f t="shared" si="11"/>
        <v>物业等级</v>
      </c>
      <c r="R28" s="774" t="s">
        <v>17</v>
      </c>
      <c r="S28" s="775">
        <f t="shared" si="12"/>
        <v>100</v>
      </c>
      <c r="T28" s="774" t="s">
        <v>17</v>
      </c>
      <c r="U28" s="775">
        <f t="shared" si="13"/>
        <v>100</v>
      </c>
      <c r="V28" s="774" t="s">
        <v>17</v>
      </c>
      <c r="W28" s="775">
        <f t="shared" si="14"/>
        <v>100</v>
      </c>
      <c r="X28" s="1815"/>
      <c r="Y28" s="3174"/>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4"/>
      <c r="Q29" s="1812" t="str">
        <f t="shared" si="11"/>
        <v>有无电梯</v>
      </c>
      <c r="R29" s="774" t="s">
        <v>17</v>
      </c>
      <c r="S29" s="775">
        <f t="shared" si="12"/>
        <v>100</v>
      </c>
      <c r="T29" s="774" t="s">
        <v>17</v>
      </c>
      <c r="U29" s="775">
        <f t="shared" si="13"/>
        <v>100</v>
      </c>
      <c r="V29" s="774" t="s">
        <v>17</v>
      </c>
      <c r="W29" s="775">
        <f t="shared" si="14"/>
        <v>100</v>
      </c>
      <c r="X29" s="1815"/>
      <c r="Y29" s="3174"/>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4"/>
      <c r="Q30" s="1812" t="str">
        <f t="shared" si="11"/>
        <v>建筑面积</v>
      </c>
      <c r="R30" s="774" t="s">
        <v>17</v>
      </c>
      <c r="S30" s="775" t="e">
        <f t="shared" si="12"/>
        <v>#N/A</v>
      </c>
      <c r="T30" s="774" t="s">
        <v>17</v>
      </c>
      <c r="U30" s="775" t="e">
        <f t="shared" si="13"/>
        <v>#N/A</v>
      </c>
      <c r="V30" s="774" t="s">
        <v>17</v>
      </c>
      <c r="W30" s="775" t="e">
        <f t="shared" si="14"/>
        <v>#N/A</v>
      </c>
      <c r="X30" s="1815"/>
      <c r="Y30" s="3174"/>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4"/>
      <c r="Q31" s="1797"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4" t="s">
        <v>2565</v>
      </c>
      <c r="Q32" s="1812">
        <f t="shared" si="11"/>
        <v>111</v>
      </c>
      <c r="R32" s="774" t="s">
        <v>17</v>
      </c>
      <c r="S32" s="775">
        <f t="shared" si="12"/>
        <v>100</v>
      </c>
      <c r="T32" s="774" t="s">
        <v>17</v>
      </c>
      <c r="U32" s="775">
        <f t="shared" si="13"/>
        <v>100</v>
      </c>
      <c r="V32" s="774" t="s">
        <v>17</v>
      </c>
      <c r="W32" s="775">
        <f t="shared" si="14"/>
        <v>100</v>
      </c>
      <c r="X32" s="1815"/>
      <c r="Y32" s="3174" t="s">
        <v>2565</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4"/>
      <c r="Q33" s="1812">
        <f t="shared" si="11"/>
        <v>111</v>
      </c>
      <c r="R33" s="774" t="s">
        <v>17</v>
      </c>
      <c r="S33" s="775">
        <f t="shared" si="12"/>
        <v>100</v>
      </c>
      <c r="T33" s="774" t="s">
        <v>17</v>
      </c>
      <c r="U33" s="775">
        <f t="shared" si="13"/>
        <v>100</v>
      </c>
      <c r="V33" s="774" t="s">
        <v>17</v>
      </c>
      <c r="W33" s="775">
        <f t="shared" si="14"/>
        <v>100</v>
      </c>
      <c r="X33" s="1815"/>
      <c r="Y33" s="3174"/>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74"/>
      <c r="Q34" s="1812">
        <f t="shared" si="11"/>
        <v>111</v>
      </c>
      <c r="R34" s="774" t="s">
        <v>17</v>
      </c>
      <c r="S34" s="775">
        <f t="shared" si="12"/>
        <v>100</v>
      </c>
      <c r="T34" s="774" t="s">
        <v>17</v>
      </c>
      <c r="U34" s="775">
        <f t="shared" si="13"/>
        <v>100</v>
      </c>
      <c r="V34" s="774" t="s">
        <v>17</v>
      </c>
      <c r="W34" s="775">
        <f t="shared" si="14"/>
        <v>100</v>
      </c>
      <c r="X34" s="1815"/>
      <c r="Y34" s="3174"/>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169" t="str">
        <f>A35</f>
        <v>成交单价（元/平方米）</v>
      </c>
      <c r="Q35" s="3169"/>
      <c r="R35" s="3233">
        <f>E35</f>
        <v>0</v>
      </c>
      <c r="S35" s="3233"/>
      <c r="T35" s="3233">
        <f>G35</f>
        <v>0</v>
      </c>
      <c r="U35" s="3233"/>
      <c r="V35" s="3233">
        <f>I35</f>
        <v>0</v>
      </c>
      <c r="W35" s="3233"/>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163" t="str">
        <f>A37</f>
        <v>估价对象XX用房的比较价值（楼面单价，元/平方米）</v>
      </c>
      <c r="Q37" s="3164"/>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6" t="s">
        <v>2646</v>
      </c>
      <c r="D4" s="3179"/>
      <c r="E4" s="3180" t="s">
        <v>2647</v>
      </c>
      <c r="F4" s="3181"/>
      <c r="G4" s="3166" t="s">
        <v>2648</v>
      </c>
      <c r="H4" s="3179"/>
      <c r="I4" s="3166" t="s">
        <v>2649</v>
      </c>
      <c r="J4" s="3179"/>
      <c r="K4" s="610" t="s">
        <v>2650</v>
      </c>
      <c r="L4" s="1133"/>
      <c r="M4" s="1134"/>
      <c r="N4" s="1134"/>
      <c r="O4" s="1134"/>
      <c r="P4" s="3182" t="s">
        <v>2651</v>
      </c>
      <c r="Q4" s="3183"/>
      <c r="R4" s="3188" t="s">
        <v>2647</v>
      </c>
      <c r="S4" s="3189"/>
      <c r="T4" s="3188" t="s">
        <v>2648</v>
      </c>
      <c r="U4" s="3189"/>
      <c r="V4" s="3175" t="s">
        <v>2649</v>
      </c>
      <c r="W4" s="3175"/>
      <c r="X4" s="1815"/>
      <c r="Y4" s="3188" t="s">
        <v>2651</v>
      </c>
      <c r="Z4" s="3189"/>
      <c r="AA4" s="3176" t="s">
        <v>2647</v>
      </c>
      <c r="AB4" s="3177" t="s">
        <v>2648</v>
      </c>
      <c r="AC4" s="3176" t="s">
        <v>2649</v>
      </c>
    </row>
    <row r="5" spans="1:29" ht="15">
      <c r="A5" s="404"/>
      <c r="B5" s="405"/>
      <c r="C5" s="3196" t="s">
        <v>2542</v>
      </c>
      <c r="D5" s="3197"/>
      <c r="E5" s="3203" t="s">
        <v>2543</v>
      </c>
      <c r="F5" s="3204"/>
      <c r="G5" s="3196" t="s">
        <v>2544</v>
      </c>
      <c r="H5" s="3197"/>
      <c r="I5" s="3196" t="s">
        <v>2545</v>
      </c>
      <c r="J5" s="3197"/>
      <c r="K5" s="610"/>
      <c r="L5" s="1133"/>
      <c r="M5" s="1134"/>
      <c r="N5" s="1134"/>
      <c r="O5" s="1134"/>
      <c r="P5" s="3184"/>
      <c r="Q5" s="3185"/>
      <c r="R5" s="3190"/>
      <c r="S5" s="3191"/>
      <c r="T5" s="3190"/>
      <c r="U5" s="3191"/>
      <c r="V5" s="3175"/>
      <c r="W5" s="3175"/>
      <c r="X5" s="1815"/>
      <c r="Y5" s="3190"/>
      <c r="Z5" s="3191"/>
      <c r="AA5" s="3177"/>
      <c r="AB5" s="3177"/>
      <c r="AC5" s="3177"/>
    </row>
    <row r="6" spans="1:29" ht="15.75" thickBot="1">
      <c r="A6" s="406"/>
      <c r="B6" s="407"/>
      <c r="C6" s="3255" t="s">
        <v>2795</v>
      </c>
      <c r="D6" s="3256"/>
      <c r="E6" s="3257" t="s">
        <v>2795</v>
      </c>
      <c r="F6" s="3258"/>
      <c r="G6" s="3255" t="s">
        <v>2795</v>
      </c>
      <c r="H6" s="3256"/>
      <c r="I6" s="3255" t="s">
        <v>2795</v>
      </c>
      <c r="J6" s="3256"/>
      <c r="K6" s="610" t="s">
        <v>2547</v>
      </c>
      <c r="L6" s="1133"/>
      <c r="M6" s="1134"/>
      <c r="N6" s="1134"/>
      <c r="O6" s="1134"/>
      <c r="P6" s="3186"/>
      <c r="Q6" s="3187"/>
      <c r="R6" s="3190"/>
      <c r="S6" s="3191"/>
      <c r="T6" s="3192"/>
      <c r="U6" s="3193"/>
      <c r="V6" s="3175"/>
      <c r="W6" s="3175"/>
      <c r="X6" s="1815"/>
      <c r="Y6" s="3192"/>
      <c r="Z6" s="3193"/>
      <c r="AA6" s="3178"/>
      <c r="AB6" s="3178"/>
      <c r="AC6" s="3178"/>
    </row>
    <row r="7" spans="1:29" s="117" customFormat="1" ht="15.75" thickBot="1">
      <c r="A7" s="408" t="s">
        <v>2548</v>
      </c>
      <c r="B7" s="409"/>
      <c r="C7" s="410">
        <f>'数据-取费表'!B2</f>
        <v>43404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8" t="s">
        <v>2549</v>
      </c>
      <c r="Q7" s="3200"/>
      <c r="R7" s="770" t="s">
        <v>17</v>
      </c>
      <c r="S7" s="771">
        <f t="shared" ref="S7:S15" si="0">F7</f>
        <v>0</v>
      </c>
      <c r="T7" s="770" t="s">
        <v>17</v>
      </c>
      <c r="U7" s="771">
        <f t="shared" ref="U7:U15" si="1">H7</f>
        <v>0</v>
      </c>
      <c r="V7" s="770" t="s">
        <v>17</v>
      </c>
      <c r="W7" s="771">
        <f t="shared" ref="W7:W15" si="2">J7</f>
        <v>0</v>
      </c>
      <c r="X7" s="772"/>
      <c r="Y7" s="3198" t="s">
        <v>2549</v>
      </c>
      <c r="Z7" s="319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8" t="s">
        <v>2552</v>
      </c>
      <c r="Q8" s="3199"/>
      <c r="R8" s="770" t="s">
        <v>17</v>
      </c>
      <c r="S8" s="771">
        <f t="shared" si="0"/>
        <v>0</v>
      </c>
      <c r="T8" s="770" t="s">
        <v>17</v>
      </c>
      <c r="U8" s="771">
        <f t="shared" si="1"/>
        <v>0</v>
      </c>
      <c r="V8" s="770" t="s">
        <v>17</v>
      </c>
      <c r="W8" s="771">
        <f t="shared" si="2"/>
        <v>0</v>
      </c>
      <c r="X8" s="772"/>
      <c r="Y8" s="3198" t="s">
        <v>2552</v>
      </c>
      <c r="Z8" s="3199"/>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69" t="s">
        <v>2555</v>
      </c>
      <c r="Q9" s="1797"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69"/>
      <c r="Q10" s="1797" t="str">
        <f t="shared" si="6"/>
        <v>土地使用年限（年）</v>
      </c>
      <c r="R10" s="770" t="s">
        <v>17</v>
      </c>
      <c r="S10" s="771">
        <f t="shared" si="0"/>
        <v>107</v>
      </c>
      <c r="T10" s="770" t="s">
        <v>17</v>
      </c>
      <c r="U10" s="771">
        <f t="shared" si="1"/>
        <v>107</v>
      </c>
      <c r="V10" s="770" t="s">
        <v>17</v>
      </c>
      <c r="W10" s="771">
        <f t="shared" si="2"/>
        <v>107</v>
      </c>
      <c r="X10" s="772"/>
      <c r="Y10" s="3017"/>
      <c r="Z10" s="55" t="str">
        <f t="shared" si="7"/>
        <v>土地使用年限（年）</v>
      </c>
      <c r="AA10" s="773">
        <f t="shared" si="3"/>
        <v>0.93457943925233644</v>
      </c>
      <c r="AB10" s="773">
        <f t="shared" si="4"/>
        <v>0.93457943925233644</v>
      </c>
      <c r="AC10" s="773">
        <f t="shared" si="5"/>
        <v>0.93457943925233644</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2560</v>
      </c>
      <c r="Q15" s="1812" t="str">
        <f t="shared" si="6"/>
        <v>产业集聚程度</v>
      </c>
      <c r="R15" s="774" t="s">
        <v>17</v>
      </c>
      <c r="S15" s="775">
        <f t="shared" si="0"/>
        <v>100</v>
      </c>
      <c r="T15" s="774" t="s">
        <v>17</v>
      </c>
      <c r="U15" s="775">
        <f t="shared" si="1"/>
        <v>100</v>
      </c>
      <c r="V15" s="774" t="s">
        <v>17</v>
      </c>
      <c r="W15" s="775">
        <f t="shared" si="2"/>
        <v>100</v>
      </c>
      <c r="X15" s="1815"/>
      <c r="Y15" s="3171" t="s">
        <v>2560</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3"/>
      <c r="M16" s="1134"/>
      <c r="N16" s="1134"/>
      <c r="O16" s="1142"/>
      <c r="P16" s="3172"/>
      <c r="Q16" s="1812"/>
      <c r="R16" s="774"/>
      <c r="S16" s="775"/>
      <c r="T16" s="774"/>
      <c r="U16" s="775"/>
      <c r="V16" s="774"/>
      <c r="W16" s="775"/>
      <c r="X16" s="1815"/>
      <c r="Y16" s="3172"/>
      <c r="Z16" s="1816"/>
      <c r="AA16" s="1813">
        <v>1</v>
      </c>
      <c r="AB16" s="1813">
        <v>1</v>
      </c>
      <c r="AC16" s="1813">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3"/>
      <c r="M18" s="1134"/>
      <c r="N18" s="1134"/>
      <c r="O18" s="1142"/>
      <c r="P18" s="3172"/>
      <c r="Q18" s="1812"/>
      <c r="R18" s="774"/>
      <c r="S18" s="775"/>
      <c r="T18" s="774"/>
      <c r="U18" s="775"/>
      <c r="V18" s="774"/>
      <c r="W18" s="775"/>
      <c r="X18" s="1815"/>
      <c r="Y18" s="3172"/>
      <c r="Z18" s="1816"/>
      <c r="AA18" s="1813">
        <v>1</v>
      </c>
      <c r="AB18" s="1813">
        <v>1</v>
      </c>
      <c r="AC18" s="1813">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2" t="str">
        <f t="shared" ref="Q19:Q33" si="8">B19</f>
        <v>区域土地利用方向</v>
      </c>
      <c r="R19" s="774" t="s">
        <v>17</v>
      </c>
      <c r="S19" s="775">
        <f>F19</f>
        <v>100</v>
      </c>
      <c r="T19" s="774" t="s">
        <v>17</v>
      </c>
      <c r="U19" s="775">
        <f>H19</f>
        <v>100</v>
      </c>
      <c r="V19" s="774" t="s">
        <v>17</v>
      </c>
      <c r="W19" s="775">
        <f>J19</f>
        <v>100</v>
      </c>
      <c r="X19" s="1815"/>
      <c r="Y19" s="3172"/>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2"/>
      <c r="L20" s="1143"/>
      <c r="M20" s="1134"/>
      <c r="N20" s="1134"/>
      <c r="O20" s="1142"/>
      <c r="P20" s="3172"/>
      <c r="Q20" s="1812"/>
      <c r="R20" s="774"/>
      <c r="S20" s="775"/>
      <c r="T20" s="774"/>
      <c r="U20" s="775"/>
      <c r="V20" s="774"/>
      <c r="W20" s="775"/>
      <c r="X20" s="1815"/>
      <c r="Y20" s="3172"/>
      <c r="Z20" s="1816"/>
      <c r="AA20" s="1813"/>
      <c r="AB20" s="1813"/>
      <c r="AC20" s="1813"/>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2" t="str">
        <f t="shared" si="8"/>
        <v>环境状况</v>
      </c>
      <c r="R21" s="774" t="s">
        <v>17</v>
      </c>
      <c r="S21" s="775">
        <f>F21</f>
        <v>100</v>
      </c>
      <c r="T21" s="774" t="s">
        <v>17</v>
      </c>
      <c r="U21" s="775">
        <f>H21</f>
        <v>100</v>
      </c>
      <c r="V21" s="774" t="s">
        <v>17</v>
      </c>
      <c r="W21" s="775">
        <f>J21</f>
        <v>100</v>
      </c>
      <c r="X21" s="1815"/>
      <c r="Y21" s="3172"/>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3"/>
      <c r="M22" s="1134"/>
      <c r="N22" s="1134"/>
      <c r="O22" s="1142"/>
      <c r="P22" s="3172"/>
      <c r="Q22" s="1812"/>
      <c r="R22" s="774"/>
      <c r="S22" s="775"/>
      <c r="T22" s="774"/>
      <c r="U22" s="775"/>
      <c r="V22" s="774"/>
      <c r="W22" s="775"/>
      <c r="X22" s="1815"/>
      <c r="Y22" s="3172"/>
      <c r="Z22" s="1816"/>
      <c r="AA22" s="1813">
        <v>1</v>
      </c>
      <c r="AB22" s="1813">
        <v>1</v>
      </c>
      <c r="AC22" s="1813">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7" t="str">
        <f t="shared" si="8"/>
        <v>公共配套设施</v>
      </c>
      <c r="R23" s="770" t="s">
        <v>17</v>
      </c>
      <c r="S23" s="771">
        <f>F23</f>
        <v>100</v>
      </c>
      <c r="T23" s="770" t="s">
        <v>17</v>
      </c>
      <c r="U23" s="771">
        <f>H23</f>
        <v>100</v>
      </c>
      <c r="V23" s="770" t="s">
        <v>17</v>
      </c>
      <c r="W23" s="771">
        <f>J23</f>
        <v>100</v>
      </c>
      <c r="X23" s="772"/>
      <c r="Y23" s="3172"/>
      <c r="Z23" s="55" t="str">
        <f>Q23</f>
        <v>公共配套设施</v>
      </c>
      <c r="AA23" s="1813">
        <f>D23/F23</f>
        <v>1</v>
      </c>
      <c r="AB23" s="1813">
        <f>D23/H23</f>
        <v>1</v>
      </c>
      <c r="AC23" s="1813">
        <f>D23/J23</f>
        <v>1</v>
      </c>
    </row>
    <row r="24" spans="1:29" s="117" customFormat="1" ht="15">
      <c r="A24" s="649"/>
      <c r="B24" s="632"/>
      <c r="C24" s="2703"/>
      <c r="D24" s="448"/>
      <c r="E24" s="2614"/>
      <c r="F24" s="448"/>
      <c r="G24" s="2614"/>
      <c r="H24" s="448"/>
      <c r="I24" s="447"/>
      <c r="J24" s="448"/>
      <c r="K24" s="672"/>
      <c r="L24" s="1135"/>
      <c r="M24" s="1136"/>
      <c r="N24" s="1136"/>
      <c r="O24" s="1137"/>
      <c r="P24" s="3172"/>
      <c r="Q24" s="1797"/>
      <c r="R24" s="770"/>
      <c r="S24" s="771"/>
      <c r="T24" s="770"/>
      <c r="U24" s="771"/>
      <c r="V24" s="770"/>
      <c r="W24" s="771"/>
      <c r="X24" s="772"/>
      <c r="Y24" s="3172"/>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7"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3">
        <f>D25/F25</f>
        <v>1</v>
      </c>
      <c r="AB25" s="1813">
        <f>D25/H25</f>
        <v>1</v>
      </c>
      <c r="AC25" s="1813">
        <f>D25/J25</f>
        <v>1</v>
      </c>
    </row>
    <row r="26" spans="1:29" s="117" customFormat="1" ht="15">
      <c r="A26" s="649"/>
      <c r="B26" s="632"/>
      <c r="C26" s="2703"/>
      <c r="D26" s="448"/>
      <c r="E26" s="2704"/>
      <c r="F26" s="448"/>
      <c r="G26" s="2704"/>
      <c r="H26" s="448"/>
      <c r="I26" s="2704"/>
      <c r="J26" s="448"/>
      <c r="K26" s="672"/>
      <c r="L26" s="1135"/>
      <c r="M26" s="1136"/>
      <c r="N26" s="1136"/>
      <c r="O26" s="1137"/>
      <c r="P26" s="3172"/>
      <c r="Q26" s="1797"/>
      <c r="R26" s="770"/>
      <c r="S26" s="771"/>
      <c r="T26" s="770"/>
      <c r="U26" s="771"/>
      <c r="V26" s="770"/>
      <c r="W26" s="771"/>
      <c r="X26" s="772"/>
      <c r="Y26" s="317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2"/>
      <c r="Z27" s="1816" t="str">
        <f t="shared" ref="Z27:Z40" si="13">Q27</f>
        <v>临街状况</v>
      </c>
      <c r="AA27" s="1813">
        <f t="shared" si="3"/>
        <v>1</v>
      </c>
      <c r="AB27" s="1813">
        <f t="shared" si="4"/>
        <v>1</v>
      </c>
      <c r="AC27" s="1813">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2" t="str">
        <f t="shared" si="8"/>
        <v>毗邻道路的类型与等级</v>
      </c>
      <c r="R28" s="774" t="s">
        <v>17</v>
      </c>
      <c r="S28" s="775">
        <f t="shared" si="10"/>
        <v>100</v>
      </c>
      <c r="T28" s="774" t="s">
        <v>17</v>
      </c>
      <c r="U28" s="775">
        <f t="shared" si="11"/>
        <v>100</v>
      </c>
      <c r="V28" s="774" t="s">
        <v>17</v>
      </c>
      <c r="W28" s="775">
        <f t="shared" si="12"/>
        <v>100</v>
      </c>
      <c r="X28" s="1815"/>
      <c r="Y28" s="3172"/>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3"/>
      <c r="M29" s="1134"/>
      <c r="N29" s="1134"/>
      <c r="O29" s="1142"/>
      <c r="P29" s="3172"/>
      <c r="Q29" s="1812"/>
      <c r="R29" s="774"/>
      <c r="S29" s="775"/>
      <c r="T29" s="774"/>
      <c r="U29" s="775"/>
      <c r="V29" s="774"/>
      <c r="W29" s="775"/>
      <c r="X29" s="1815"/>
      <c r="Y29" s="3172"/>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2" t="str">
        <f t="shared" si="8"/>
        <v>土地级别</v>
      </c>
      <c r="R30" s="774" t="s">
        <v>17</v>
      </c>
      <c r="S30" s="775">
        <f t="shared" si="10"/>
        <v>100</v>
      </c>
      <c r="T30" s="774" t="s">
        <v>17</v>
      </c>
      <c r="U30" s="775">
        <f t="shared" si="11"/>
        <v>100</v>
      </c>
      <c r="V30" s="774" t="s">
        <v>17</v>
      </c>
      <c r="W30" s="775">
        <f t="shared" si="12"/>
        <v>100</v>
      </c>
      <c r="X30" s="1815"/>
      <c r="Y30" s="3172"/>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2">
        <f t="shared" si="8"/>
        <v>111</v>
      </c>
      <c r="R31" s="774" t="s">
        <v>17</v>
      </c>
      <c r="S31" s="775">
        <f t="shared" si="10"/>
        <v>100</v>
      </c>
      <c r="T31" s="774" t="s">
        <v>17</v>
      </c>
      <c r="U31" s="775">
        <f t="shared" si="11"/>
        <v>100</v>
      </c>
      <c r="V31" s="774" t="s">
        <v>17</v>
      </c>
      <c r="W31" s="775">
        <f t="shared" si="12"/>
        <v>100</v>
      </c>
      <c r="X31" s="1815"/>
      <c r="Y31" s="3172"/>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3" t="s">
        <v>2565</v>
      </c>
      <c r="Q32" s="1812">
        <f t="shared" si="8"/>
        <v>111</v>
      </c>
      <c r="R32" s="774" t="s">
        <v>17</v>
      </c>
      <c r="S32" s="775">
        <f t="shared" si="10"/>
        <v>100</v>
      </c>
      <c r="T32" s="774" t="s">
        <v>17</v>
      </c>
      <c r="U32" s="775">
        <f t="shared" si="11"/>
        <v>100</v>
      </c>
      <c r="V32" s="774" t="s">
        <v>17</v>
      </c>
      <c r="W32" s="775">
        <f t="shared" si="12"/>
        <v>100</v>
      </c>
      <c r="X32" s="1815"/>
      <c r="Y32" s="3174" t="s">
        <v>2565</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4"/>
      <c r="Q33" s="1812">
        <f t="shared" si="8"/>
        <v>111</v>
      </c>
      <c r="R33" s="777" t="s">
        <v>17</v>
      </c>
      <c r="S33" s="778">
        <f t="shared" si="10"/>
        <v>100</v>
      </c>
      <c r="T33" s="777" t="s">
        <v>17</v>
      </c>
      <c r="U33" s="778">
        <f t="shared" si="11"/>
        <v>100</v>
      </c>
      <c r="V33" s="777" t="s">
        <v>17</v>
      </c>
      <c r="W33" s="778">
        <f t="shared" si="12"/>
        <v>100</v>
      </c>
      <c r="X33" s="779"/>
      <c r="Y33" s="3174"/>
      <c r="Z33" s="780">
        <f t="shared" si="13"/>
        <v>111</v>
      </c>
      <c r="AA33" s="1813">
        <f t="shared" si="3"/>
        <v>1</v>
      </c>
      <c r="AB33" s="1813">
        <f t="shared" si="4"/>
        <v>1</v>
      </c>
      <c r="AC33" s="1813">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4"/>
      <c r="Q34" s="1812" t="str">
        <f>B34</f>
        <v>宗地面积</v>
      </c>
      <c r="R34" s="774" t="s">
        <v>17</v>
      </c>
      <c r="S34" s="775" t="e">
        <f t="shared" si="10"/>
        <v>#N/A</v>
      </c>
      <c r="T34" s="774" t="s">
        <v>17</v>
      </c>
      <c r="U34" s="775" t="e">
        <f t="shared" si="11"/>
        <v>#N/A</v>
      </c>
      <c r="V34" s="774" t="s">
        <v>17</v>
      </c>
      <c r="W34" s="775" t="e">
        <f t="shared" si="12"/>
        <v>#N/A</v>
      </c>
      <c r="X34" s="1815"/>
      <c r="Y34" s="3174"/>
      <c r="Z34" s="1816" t="str">
        <f t="shared" si="13"/>
        <v>宗地面积</v>
      </c>
      <c r="AA34" s="1813" t="e">
        <f t="shared" si="3"/>
        <v>#N/A</v>
      </c>
      <c r="AB34" s="1813" t="e">
        <f t="shared" si="4"/>
        <v>#N/A</v>
      </c>
      <c r="AC34" s="1813"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74"/>
      <c r="Q35" s="1812" t="str">
        <f t="shared" ref="Q35:Q40" si="14">B35</f>
        <v>宗地形状</v>
      </c>
      <c r="R35" s="774" t="s">
        <v>17</v>
      </c>
      <c r="S35" s="775">
        <f t="shared" si="10"/>
        <v>100</v>
      </c>
      <c r="T35" s="774" t="s">
        <v>17</v>
      </c>
      <c r="U35" s="775">
        <f t="shared" si="11"/>
        <v>100</v>
      </c>
      <c r="V35" s="774" t="s">
        <v>17</v>
      </c>
      <c r="W35" s="775">
        <f t="shared" si="12"/>
        <v>100</v>
      </c>
      <c r="X35" s="1815"/>
      <c r="Y35" s="3174"/>
      <c r="Z35" s="1816" t="str">
        <f t="shared" si="13"/>
        <v>宗地形状</v>
      </c>
      <c r="AA35" s="1813">
        <f t="shared" si="3"/>
        <v>1</v>
      </c>
      <c r="AB35" s="1813">
        <f t="shared" si="4"/>
        <v>1</v>
      </c>
      <c r="AC35" s="1813">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74"/>
      <c r="Q36" s="1812"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74" t="s">
        <v>2565</v>
      </c>
      <c r="Q37" s="1812" t="str">
        <f t="shared" si="14"/>
        <v>工程地质条件</v>
      </c>
      <c r="R37" s="774" t="s">
        <v>17</v>
      </c>
      <c r="S37" s="775">
        <f t="shared" si="10"/>
        <v>100</v>
      </c>
      <c r="T37" s="774" t="s">
        <v>17</v>
      </c>
      <c r="U37" s="775">
        <f t="shared" si="11"/>
        <v>100</v>
      </c>
      <c r="V37" s="774" t="s">
        <v>17</v>
      </c>
      <c r="W37" s="775">
        <f t="shared" si="12"/>
        <v>100</v>
      </c>
      <c r="X37" s="1815"/>
      <c r="Y37" s="3174"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4"/>
      <c r="Q38" s="1812">
        <f t="shared" si="14"/>
        <v>111</v>
      </c>
      <c r="R38" s="774" t="s">
        <v>17</v>
      </c>
      <c r="S38" s="775">
        <f t="shared" si="10"/>
        <v>100</v>
      </c>
      <c r="T38" s="774" t="s">
        <v>17</v>
      </c>
      <c r="U38" s="775">
        <f t="shared" si="11"/>
        <v>100</v>
      </c>
      <c r="V38" s="774" t="s">
        <v>17</v>
      </c>
      <c r="W38" s="775">
        <f t="shared" si="12"/>
        <v>100</v>
      </c>
      <c r="X38" s="1815"/>
      <c r="Y38" s="317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4"/>
      <c r="Q39" s="1812">
        <f t="shared" si="14"/>
        <v>111</v>
      </c>
      <c r="R39" s="774" t="s">
        <v>17</v>
      </c>
      <c r="S39" s="775">
        <f t="shared" si="10"/>
        <v>100</v>
      </c>
      <c r="T39" s="774" t="s">
        <v>17</v>
      </c>
      <c r="U39" s="775">
        <f t="shared" si="11"/>
        <v>100</v>
      </c>
      <c r="V39" s="774" t="s">
        <v>17</v>
      </c>
      <c r="W39" s="775">
        <f t="shared" si="12"/>
        <v>100</v>
      </c>
      <c r="X39" s="1815"/>
      <c r="Y39" s="3174"/>
      <c r="Z39" s="1816">
        <f t="shared" si="13"/>
        <v>111</v>
      </c>
      <c r="AA39" s="1813">
        <f t="shared" si="3"/>
        <v>1</v>
      </c>
      <c r="AB39" s="1813">
        <f t="shared" si="4"/>
        <v>1</v>
      </c>
      <c r="AC39" s="1813">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4"/>
      <c r="Q40" s="1812">
        <f t="shared" si="14"/>
        <v>111</v>
      </c>
      <c r="R40" s="777" t="s">
        <v>17</v>
      </c>
      <c r="S40" s="778">
        <f t="shared" si="10"/>
        <v>100</v>
      </c>
      <c r="T40" s="777" t="s">
        <v>17</v>
      </c>
      <c r="U40" s="778">
        <f t="shared" si="11"/>
        <v>100</v>
      </c>
      <c r="V40" s="777" t="s">
        <v>17</v>
      </c>
      <c r="W40" s="778">
        <f t="shared" si="12"/>
        <v>100</v>
      </c>
      <c r="X40" s="779"/>
      <c r="Y40" s="3174"/>
      <c r="Z40" s="780">
        <f t="shared" si="13"/>
        <v>111</v>
      </c>
      <c r="AA40" s="1813">
        <f t="shared" si="3"/>
        <v>1</v>
      </c>
      <c r="AB40" s="1813">
        <f t="shared" si="4"/>
        <v>1</v>
      </c>
      <c r="AC40" s="1813">
        <f t="shared" si="5"/>
        <v>1</v>
      </c>
    </row>
    <row r="41" spans="1:29" ht="15">
      <c r="A41" s="479" t="s">
        <v>2720</v>
      </c>
      <c r="B41" s="2707" t="s">
        <v>2798</v>
      </c>
      <c r="C41" s="682" t="s">
        <v>1</v>
      </c>
      <c r="D41" s="481"/>
      <c r="E41" s="482"/>
      <c r="F41" s="483"/>
      <c r="G41" s="484"/>
      <c r="H41" s="485"/>
      <c r="I41" s="482"/>
      <c r="J41" s="485"/>
      <c r="K41" s="783"/>
      <c r="L41" s="1146"/>
      <c r="M41" s="1134"/>
      <c r="N41" s="1134"/>
      <c r="O41" s="1147"/>
      <c r="P41" s="3169" t="str">
        <f>A41</f>
        <v>成交单价</v>
      </c>
      <c r="Q41" s="3169"/>
      <c r="R41" s="3175">
        <f>E41</f>
        <v>0</v>
      </c>
      <c r="S41" s="3175"/>
      <c r="T41" s="3175">
        <f>G41</f>
        <v>0</v>
      </c>
      <c r="U41" s="3175"/>
      <c r="V41" s="3175">
        <f>I41</f>
        <v>0</v>
      </c>
      <c r="W41" s="317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162" t="e">
        <f>ROUND(PRODUCT(R41,AA7:AA40),0)</f>
        <v>#DIV/0!</v>
      </c>
      <c r="S42" s="3162"/>
      <c r="T42" s="3162" t="e">
        <f>ROUND(PRODUCT(T41,AB7:AB40),0)</f>
        <v>#DIV/0!</v>
      </c>
      <c r="U42" s="3162"/>
      <c r="V42" s="3162" t="e">
        <f>ROUND(PRODUCT(V41,AC7:AC40),0)</f>
        <v>#DIV/0!</v>
      </c>
      <c r="W42" s="316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163" t="str">
        <f>A43</f>
        <v>估价对象XX用房的比较价值（楼面单价，元/平方米）</v>
      </c>
      <c r="Q43" s="3164"/>
      <c r="R43" s="3165" t="e">
        <f>ROUND(AVERAGE(R42:V42),0)</f>
        <v>#DIV/0!</v>
      </c>
      <c r="S43" s="3165"/>
      <c r="T43" s="3165"/>
      <c r="U43" s="3165"/>
      <c r="V43" s="3165"/>
      <c r="W43" s="31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8" t="s">
        <v>2759</v>
      </c>
      <c r="D50" s="2709" t="s">
        <v>2760</v>
      </c>
      <c r="E50" s="686" t="s">
        <v>2761</v>
      </c>
      <c r="F50" s="687" t="s">
        <v>2762</v>
      </c>
      <c r="G50" s="3166" t="s">
        <v>2763</v>
      </c>
      <c r="H50" s="3167"/>
      <c r="I50" s="1816" t="s">
        <v>2799</v>
      </c>
      <c r="J50" s="1816" t="str">
        <f>项目基本情况!F35</f>
        <v>江苏省盐城市阜宁县</v>
      </c>
      <c r="K50" s="2711" t="s">
        <v>2765</v>
      </c>
      <c r="L50" s="1109"/>
      <c r="M50" s="1147"/>
      <c r="N50" s="1147"/>
      <c r="O50" s="1147"/>
    </row>
    <row r="51" spans="1:17" s="692" customFormat="1">
      <c r="A51" s="688" t="s">
        <v>2766</v>
      </c>
      <c r="B51" s="689" t="e">
        <f>C43</f>
        <v>#DIV/0!</v>
      </c>
      <c r="C51" s="690">
        <v>1</v>
      </c>
      <c r="D51" s="1166">
        <v>1</v>
      </c>
      <c r="E51" s="690">
        <f>'数据-汇总表'!E8+'数据-汇总表'!E9</f>
        <v>8062.31</v>
      </c>
      <c r="F51" s="691" t="e">
        <f t="shared" ref="F51:F60" si="15">ROUND(B51*E51/10000,0)</f>
        <v>#DIV/0!</v>
      </c>
      <c r="G51" s="3168"/>
      <c r="H51" s="3169"/>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7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7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7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7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2"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81095.31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4" t="s">
        <v>2781</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9"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0.1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2"/>
      <c r="B4" s="3263"/>
      <c r="C4" s="3263"/>
      <c r="D4" s="3264"/>
      <c r="E4" s="3264"/>
      <c r="F4" s="3264"/>
      <c r="G4" s="3264"/>
      <c r="H4" s="3264"/>
      <c r="I4" s="3264"/>
      <c r="J4" s="3265"/>
      <c r="K4" s="1373"/>
      <c r="L4" s="2729"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2824</v>
      </c>
      <c r="C5" s="917" t="e">
        <f>ROUND(IF(E2="商业",IF(F16="增加",C6*C7+C16,C6*C7-C16),IF(E2="住宅",IF(F16="增加",C6*C12+C16,C6*C12-C16),IF(F16="增加",C6+C16,C6-C16))),0)</f>
        <v>#DIV/0!</v>
      </c>
      <c r="D5" s="1789">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4"/>
      <c r="L6" s="2729"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8"/>
      <c r="AD6" s="2739"/>
      <c r="AE6" s="2739"/>
      <c r="AF6" s="2739"/>
      <c r="AG6" s="2739"/>
      <c r="AH6" s="2739"/>
      <c r="AI6" s="2739"/>
      <c r="AJ6" s="2740"/>
    </row>
    <row r="7" spans="1:36" ht="24">
      <c r="A7" s="3266" t="str">
        <f>IF(E2="商业",IF(C8="不临58条商业街","",2),"")</f>
        <v/>
      </c>
      <c r="B7" s="2748" t="s">
        <v>2830</v>
      </c>
      <c r="C7" s="919" t="e">
        <f>IF(C8="不临58条商业街",1,ROUND(1+(1.6*E8+1.2*E9+0.8*E10+0.4*E11)*C9,4))</f>
        <v>#DIV/0!</v>
      </c>
      <c r="D7" s="2749" t="s">
        <v>2831</v>
      </c>
      <c r="E7" s="948"/>
      <c r="F7" s="2750"/>
      <c r="G7" s="2751"/>
      <c r="H7" s="2751"/>
      <c r="I7" s="2751"/>
      <c r="J7" s="2752"/>
      <c r="K7" s="1844"/>
      <c r="L7" s="2729"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0.1</v>
      </c>
      <c r="AA7" s="1608"/>
      <c r="AB7" s="1608"/>
      <c r="AC7" s="1609"/>
      <c r="AD7" s="1610"/>
      <c r="AE7" s="1610"/>
      <c r="AF7" s="1610"/>
      <c r="AG7" s="1610"/>
      <c r="AH7" s="1610"/>
      <c r="AI7" s="1610"/>
      <c r="AJ7" s="1611"/>
    </row>
    <row r="8" spans="1:36" ht="15">
      <c r="A8" s="3267"/>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9" t="s">
        <v>2838</v>
      </c>
      <c r="X8" s="3260"/>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67"/>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1"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7"/>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7"/>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1" t="s">
        <v>2862</v>
      </c>
      <c r="X11" s="1616" t="s">
        <v>2863</v>
      </c>
      <c r="Y11" s="1617">
        <f>$G$3</f>
        <v>0.1</v>
      </c>
      <c r="Z11" s="1617">
        <f t="shared" ref="Z11:AJ11" si="3">$G$3</f>
        <v>0.1</v>
      </c>
      <c r="AA11" s="1617">
        <f t="shared" si="3"/>
        <v>0.1</v>
      </c>
      <c r="AB11" s="1617">
        <f t="shared" si="3"/>
        <v>0.1</v>
      </c>
      <c r="AC11" s="1617">
        <f t="shared" si="3"/>
        <v>0.1</v>
      </c>
      <c r="AD11" s="1617">
        <f t="shared" si="3"/>
        <v>0.1</v>
      </c>
      <c r="AE11" s="1617">
        <f t="shared" si="3"/>
        <v>0.1</v>
      </c>
      <c r="AF11" s="1617">
        <f t="shared" si="3"/>
        <v>0.1</v>
      </c>
      <c r="AG11" s="1617">
        <f t="shared" si="3"/>
        <v>0.1</v>
      </c>
      <c r="AH11" s="1617">
        <f t="shared" si="3"/>
        <v>0.1</v>
      </c>
      <c r="AI11" s="1617">
        <f t="shared" si="3"/>
        <v>0.1</v>
      </c>
      <c r="AJ11" s="1617">
        <f t="shared" si="3"/>
        <v>0.1</v>
      </c>
    </row>
    <row r="12" spans="1:36" ht="25.5" thickBot="1">
      <c r="A12" s="3266"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1"/>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7" t="s">
        <v>2869</v>
      </c>
      <c r="C13" s="2768" t="s">
        <v>2870</v>
      </c>
      <c r="D13" s="1810" t="s">
        <v>2871</v>
      </c>
      <c r="E13" s="1810" t="s">
        <v>2872</v>
      </c>
      <c r="F13" s="30" t="s">
        <v>2873</v>
      </c>
      <c r="G13" s="2769" t="s">
        <v>2874</v>
      </c>
      <c r="H13" s="2769" t="s">
        <v>2874</v>
      </c>
      <c r="I13" s="2769" t="s">
        <v>2874</v>
      </c>
      <c r="J13" s="2770" t="s">
        <v>2874</v>
      </c>
      <c r="K13" s="1373"/>
      <c r="L13" s="1373"/>
      <c r="M13" s="1373"/>
      <c r="N13" s="1373"/>
      <c r="O13" s="1373"/>
      <c r="P13" s="1373"/>
      <c r="Q13" s="1373"/>
      <c r="R13" s="1604">
        <v>12</v>
      </c>
      <c r="S13" s="1605"/>
      <c r="T13" s="1604" t="e">
        <f t="shared" si="0"/>
        <v>#DIV/0!</v>
      </c>
      <c r="U13" s="1605"/>
      <c r="V13" s="1604" t="e">
        <f t="shared" si="1"/>
        <v>#DIV/0!</v>
      </c>
      <c r="W13" s="3261"/>
      <c r="X13" s="1618"/>
      <c r="Y13" s="1615">
        <f>(-0.163*(Y12^2)-0.59*Y12+7617)*(10^(-4))/Y11</f>
        <v>7.617</v>
      </c>
      <c r="Z13" s="1615">
        <f t="shared" ref="Z13:AJ13" si="5">(-0.163*(Z12^2)-0.59*Z12+7617)*(10^(-4))/Z11</f>
        <v>7.617</v>
      </c>
      <c r="AA13" s="1615">
        <f t="shared" si="5"/>
        <v>7.617</v>
      </c>
      <c r="AB13" s="1615">
        <f t="shared" si="5"/>
        <v>7.617</v>
      </c>
      <c r="AC13" s="1615">
        <f t="shared" si="5"/>
        <v>7.617</v>
      </c>
      <c r="AD13" s="1615">
        <f t="shared" si="5"/>
        <v>7.617</v>
      </c>
      <c r="AE13" s="1615">
        <f t="shared" si="5"/>
        <v>7.617</v>
      </c>
      <c r="AF13" s="1615">
        <f t="shared" si="5"/>
        <v>7.617</v>
      </c>
      <c r="AG13" s="1615">
        <f t="shared" si="5"/>
        <v>7.617</v>
      </c>
      <c r="AH13" s="1615">
        <f t="shared" si="5"/>
        <v>7.617</v>
      </c>
      <c r="AI13" s="1615">
        <f t="shared" si="5"/>
        <v>7.617</v>
      </c>
      <c r="AJ13" s="1615">
        <f t="shared" si="5"/>
        <v>7.617</v>
      </c>
    </row>
    <row r="14" spans="1:36" ht="15">
      <c r="A14" s="3268"/>
      <c r="B14" s="2771"/>
      <c r="C14" s="2772"/>
      <c r="D14" s="2773"/>
      <c r="E14" s="2773"/>
      <c r="F14" s="2774"/>
      <c r="G14" s="2775" t="s">
        <v>2875</v>
      </c>
      <c r="H14" s="2776"/>
      <c r="I14" s="2777"/>
      <c r="J14" s="2778"/>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6" t="s">
        <v>2881</v>
      </c>
      <c r="B16" s="2748" t="s">
        <v>2882</v>
      </c>
      <c r="C16" s="1803" t="e">
        <f>ROUND(SUM(G17:J17)/C17,0)</f>
        <v>#DIV/0!</v>
      </c>
      <c r="D16" s="2782" t="s">
        <v>2883</v>
      </c>
      <c r="E16" s="2783"/>
      <c r="F16" s="2784"/>
      <c r="G16" s="2785"/>
      <c r="H16" s="2785"/>
      <c r="I16" s="2785"/>
      <c r="J16" s="2786"/>
      <c r="K16" s="1373"/>
      <c r="L16" s="2787"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7"/>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ROUND(IF(H19="按公示增长率计算",SUMPRODUCT((地价!A3:A23=YEAR(G19)&amp;"-"&amp;ROUNDUP(MONTH(G19)/3,0))*(地价!X2:AB2=E2)*(地价!X3:AB23)),IF(H19="地价指数",M20/M19,(1+I19)^O19)),4)</f>
        <v>#DIV/0!</v>
      </c>
      <c r="D19" s="2800" t="s">
        <v>2891</v>
      </c>
      <c r="E19" s="928">
        <v>41640</v>
      </c>
      <c r="F19" s="2800" t="s">
        <v>2892</v>
      </c>
      <c r="G19" s="929">
        <f>'数据-取费表'!B2</f>
        <v>43404</v>
      </c>
      <c r="H19" s="2801" t="s">
        <v>2893</v>
      </c>
      <c r="I19" s="930" t="str">
        <f>IF(H19="季度增幅（自定义）",SUMIF(N21:N24,E2,O21:O24),"")</f>
        <v/>
      </c>
      <c r="J19" s="2798"/>
      <c r="K19" s="1380"/>
      <c r="L19" s="2802" t="s">
        <v>2894</v>
      </c>
      <c r="M19" s="1736">
        <f>ROUND(SUMIF(地价!B2:F2,E2,地价!B23:F23),0)</f>
        <v>0</v>
      </c>
      <c r="N19" s="2803" t="s">
        <v>2895</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0">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7">
        <f>ROUND(SUMPRODUCT((地价!A4:A23=YEAR(G19)&amp;"-"&amp;ROUNDUP(MONTH(G19)/3,0))*(地价!B2:F2=E2)*(地价!B4:F23)),0)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2" t="s">
        <v>2907</v>
      </c>
      <c r="D22" s="1812" t="b">
        <f>IF(E22=G22,F22,IF(G3&lt;=10,ROUND(F22+(H22-F22)*(G3-E22)/(G22-E22),4),"——"))</f>
        <v>0</v>
      </c>
      <c r="E22" s="916">
        <f>ROUNDDOWN(G3,1)</f>
        <v>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8" t="s">
        <v>2908</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76" t="s">
        <v>2930</v>
      </c>
      <c r="B33" s="2864" t="s">
        <v>2931</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68" t="s">
        <v>2932</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68" t="s">
        <v>2933</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78"/>
      <c r="B36" s="2768" t="s">
        <v>2934</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89"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1" t="s">
        <v>2943</v>
      </c>
      <c r="C47" s="1811" t="s">
        <v>2944</v>
      </c>
      <c r="D47" s="1811" t="s">
        <v>2945</v>
      </c>
      <c r="E47" s="819" t="s">
        <v>2946</v>
      </c>
      <c r="F47" s="2882" t="s">
        <v>2947</v>
      </c>
      <c r="G47" s="1811" t="s">
        <v>754</v>
      </c>
      <c r="H47" s="2883" t="s">
        <v>2948</v>
      </c>
      <c r="I47" s="1811"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7"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1"/>
      <c r="C58" s="1811" t="s">
        <v>2944</v>
      </c>
      <c r="D58" s="1811" t="s">
        <v>2945</v>
      </c>
      <c r="E58" s="819" t="s">
        <v>2946</v>
      </c>
      <c r="F58" s="2882" t="s">
        <v>2962</v>
      </c>
      <c r="G58" s="1811" t="s">
        <v>754</v>
      </c>
      <c r="H58" s="2883" t="s">
        <v>2948</v>
      </c>
      <c r="I58" s="1811"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7"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7"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1"/>
      <c r="C69" s="1811" t="s">
        <v>2944</v>
      </c>
      <c r="D69" s="1811" t="s">
        <v>2945</v>
      </c>
      <c r="E69" s="819" t="s">
        <v>2946</v>
      </c>
      <c r="F69" s="2882" t="s">
        <v>2962</v>
      </c>
      <c r="G69" s="1811" t="s">
        <v>754</v>
      </c>
      <c r="H69" s="2883" t="s">
        <v>2948</v>
      </c>
      <c r="I69" s="1811"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7"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7"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1"/>
      <c r="C80" s="1811" t="s">
        <v>2944</v>
      </c>
      <c r="D80" s="1811" t="s">
        <v>2945</v>
      </c>
      <c r="E80" s="819" t="s">
        <v>2946</v>
      </c>
      <c r="F80" s="2882" t="s">
        <v>2962</v>
      </c>
      <c r="G80" s="1811" t="s">
        <v>754</v>
      </c>
      <c r="H80" s="2883" t="s">
        <v>2948</v>
      </c>
      <c r="I80" s="1811" t="s">
        <v>2949</v>
      </c>
      <c r="J80" s="603" t="s">
        <v>2597</v>
      </c>
      <c r="K80" s="603" t="s">
        <v>2598</v>
      </c>
      <c r="L80" s="603" t="s">
        <v>2599</v>
      </c>
      <c r="M80" s="603" t="s">
        <v>2600</v>
      </c>
      <c r="N80" s="603" t="s">
        <v>2601</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7"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7"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70" t="s">
        <v>2972</v>
      </c>
      <c r="B90" s="3270"/>
      <c r="C90" s="3270"/>
      <c r="D90" s="3270"/>
      <c r="E90" s="3270"/>
      <c r="F90" s="3270"/>
      <c r="G90" s="3270"/>
      <c r="H90" s="3270"/>
      <c r="I90" s="3270"/>
      <c r="J90" s="3270"/>
      <c r="K90" s="2895"/>
      <c r="L90" s="2895"/>
      <c r="M90" s="2895"/>
      <c r="N90" s="2895"/>
    </row>
    <row r="91" spans="1:37">
      <c r="A91" s="3272" t="s">
        <v>2973</v>
      </c>
      <c r="B91" s="3272" t="s">
        <v>2974</v>
      </c>
      <c r="C91" s="2849" t="s">
        <v>2975</v>
      </c>
      <c r="D91" s="2850"/>
      <c r="E91" s="2850"/>
      <c r="F91" s="2850"/>
      <c r="G91" s="2850"/>
      <c r="H91" s="2850"/>
      <c r="I91" s="2850"/>
      <c r="J91" s="2896"/>
      <c r="K91" s="2897"/>
      <c r="L91" s="2897"/>
      <c r="M91" s="2897"/>
      <c r="N91" s="2897"/>
    </row>
    <row r="92" spans="1:37">
      <c r="A92" s="3272"/>
      <c r="B92" s="3272"/>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73"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4"/>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3" t="s">
        <v>2977</v>
      </c>
      <c r="B101" s="2902" t="s">
        <v>2978</v>
      </c>
      <c r="C101" s="2903">
        <f>$G$3</f>
        <v>0.1</v>
      </c>
      <c r="D101" s="2903">
        <f t="shared" ref="D101:N101" si="31">$G$3</f>
        <v>0.1</v>
      </c>
      <c r="E101" s="2903">
        <f t="shared" si="31"/>
        <v>0.1</v>
      </c>
      <c r="F101" s="2903">
        <f t="shared" si="31"/>
        <v>0.1</v>
      </c>
      <c r="G101" s="2903">
        <f t="shared" si="31"/>
        <v>0.1</v>
      </c>
      <c r="H101" s="2903">
        <f t="shared" si="31"/>
        <v>0.1</v>
      </c>
      <c r="I101" s="2903">
        <f t="shared" si="31"/>
        <v>0.1</v>
      </c>
      <c r="J101" s="2903">
        <f t="shared" si="31"/>
        <v>0.1</v>
      </c>
      <c r="K101" s="2903">
        <f t="shared" si="31"/>
        <v>0.1</v>
      </c>
      <c r="L101" s="2903">
        <f t="shared" si="31"/>
        <v>0.1</v>
      </c>
      <c r="M101" s="2903">
        <f t="shared" si="31"/>
        <v>0.1</v>
      </c>
      <c r="N101" s="2903">
        <f t="shared" si="31"/>
        <v>0.1</v>
      </c>
    </row>
    <row r="102" spans="1:14">
      <c r="A102" s="3274"/>
      <c r="B102" s="2898">
        <v>1</v>
      </c>
      <c r="C102" s="2899">
        <f>1.9362/C101</f>
        <v>19.361999999999998</v>
      </c>
      <c r="D102" s="2899">
        <f>1.9362/D101</f>
        <v>19.361999999999998</v>
      </c>
      <c r="E102" s="2899">
        <f>1.8629/E101</f>
        <v>18.628999999999998</v>
      </c>
      <c r="F102" s="2899">
        <f>1.8629/F101</f>
        <v>18.628999999999998</v>
      </c>
      <c r="G102" s="2899">
        <f>1.8629/G101</f>
        <v>18.628999999999998</v>
      </c>
      <c r="H102" s="2899">
        <f>1.8629/H101</f>
        <v>18.628999999999998</v>
      </c>
      <c r="I102" s="2899">
        <f>1.8629/I101</f>
        <v>18.628999999999998</v>
      </c>
      <c r="J102" s="2899">
        <f>1.942/J101</f>
        <v>19.419999999999998</v>
      </c>
      <c r="K102" s="2899">
        <f>1.942/K101</f>
        <v>19.419999999999998</v>
      </c>
      <c r="L102" s="2899">
        <f>1.942/L101</f>
        <v>19.419999999999998</v>
      </c>
      <c r="M102" s="2899">
        <f>1.942/M101</f>
        <v>19.419999999999998</v>
      </c>
      <c r="N102" s="2899">
        <f>1.942/N101</f>
        <v>19.419999999999998</v>
      </c>
    </row>
    <row r="103" spans="1:14">
      <c r="A103" s="3274"/>
      <c r="B103" s="2898">
        <v>2</v>
      </c>
      <c r="C103" s="2899">
        <f>1.4198/C101</f>
        <v>14.197999999999999</v>
      </c>
      <c r="D103" s="2899">
        <f>1.4198/D101</f>
        <v>14.197999999999999</v>
      </c>
      <c r="E103" s="2899">
        <f>1.3372/E101</f>
        <v>13.371999999999998</v>
      </c>
      <c r="F103" s="2899">
        <f>1.3372/F101</f>
        <v>13.371999999999998</v>
      </c>
      <c r="G103" s="2899">
        <f>1.3372/G101</f>
        <v>13.371999999999998</v>
      </c>
      <c r="H103" s="2899">
        <f>1.3372/H101</f>
        <v>13.371999999999998</v>
      </c>
      <c r="I103" s="2899">
        <f>1.3372/I101</f>
        <v>13.371999999999998</v>
      </c>
      <c r="J103" s="2899">
        <f>1.2799/J101</f>
        <v>12.798999999999999</v>
      </c>
      <c r="K103" s="2899">
        <f>1.2799/K101</f>
        <v>12.798999999999999</v>
      </c>
      <c r="L103" s="2899">
        <f>1.2799/L101</f>
        <v>12.798999999999999</v>
      </c>
      <c r="M103" s="2899">
        <f>1.2799/M101</f>
        <v>12.798999999999999</v>
      </c>
      <c r="N103" s="2899">
        <f>1.2799/N101</f>
        <v>12.798999999999999</v>
      </c>
    </row>
    <row r="104" spans="1:14">
      <c r="A104" s="3274"/>
      <c r="B104" s="2898">
        <v>3</v>
      </c>
      <c r="C104" s="2899">
        <f>1.1594/C101</f>
        <v>11.593999999999999</v>
      </c>
      <c r="D104" s="2899">
        <f>1.1594/D101</f>
        <v>11.593999999999999</v>
      </c>
      <c r="E104" s="2899">
        <f>1.0788/E101</f>
        <v>10.787999999999998</v>
      </c>
      <c r="F104" s="2899">
        <f>1.0788/F101</f>
        <v>10.787999999999998</v>
      </c>
      <c r="G104" s="2899">
        <f>1.0788/G101</f>
        <v>10.787999999999998</v>
      </c>
      <c r="H104" s="2899">
        <f>1.0788/H101</f>
        <v>10.787999999999998</v>
      </c>
      <c r="I104" s="2899">
        <f>1.0788/I101</f>
        <v>10.787999999999998</v>
      </c>
      <c r="J104" s="2899">
        <f>1.0072/J101</f>
        <v>10.072000000000001</v>
      </c>
      <c r="K104" s="2899">
        <f>1.0072/K101</f>
        <v>10.072000000000001</v>
      </c>
      <c r="L104" s="2899">
        <f>1.0072/L101</f>
        <v>10.072000000000001</v>
      </c>
      <c r="M104" s="2899">
        <f>1.0072/M101</f>
        <v>10.072000000000001</v>
      </c>
      <c r="N104" s="2899">
        <f>1.0072/N101</f>
        <v>10.072000000000001</v>
      </c>
    </row>
    <row r="105" spans="1:14">
      <c r="A105" s="3274"/>
      <c r="B105" s="2898">
        <v>4</v>
      </c>
      <c r="C105" s="2899">
        <f>0.9622/C101</f>
        <v>9.6219999999999999</v>
      </c>
      <c r="D105" s="2899">
        <f>0.9622/D101</f>
        <v>9.6219999999999999</v>
      </c>
      <c r="E105" s="2899">
        <f>0.8656/E101</f>
        <v>8.6560000000000006</v>
      </c>
      <c r="F105" s="2899">
        <f>0.8656/F101</f>
        <v>8.6560000000000006</v>
      </c>
      <c r="G105" s="2899">
        <f>0.8656/G101</f>
        <v>8.6560000000000006</v>
      </c>
      <c r="H105" s="2899">
        <f>0.8656/H101</f>
        <v>8.6560000000000006</v>
      </c>
      <c r="I105" s="2899">
        <f>0.8656/I101</f>
        <v>8.6560000000000006</v>
      </c>
      <c r="J105" s="2899">
        <f>0.7525/J101</f>
        <v>7.5249999999999995</v>
      </c>
      <c r="K105" s="2899">
        <f>0.7525/K101</f>
        <v>7.5249999999999995</v>
      </c>
      <c r="L105" s="2899">
        <f>0.7525/L101</f>
        <v>7.5249999999999995</v>
      </c>
      <c r="M105" s="2899">
        <f>0.7525/M101</f>
        <v>7.5249999999999995</v>
      </c>
      <c r="N105" s="2899">
        <f>0.7525/N101</f>
        <v>7.5249999999999995</v>
      </c>
    </row>
    <row r="106" spans="1:14">
      <c r="A106" s="3274"/>
      <c r="B106" s="2898">
        <v>5</v>
      </c>
      <c r="C106" s="2899">
        <f>0.8417/C101</f>
        <v>8.4169999999999998</v>
      </c>
      <c r="D106" s="2899">
        <f>0.8417/D101</f>
        <v>8.4169999999999998</v>
      </c>
      <c r="E106" s="2899">
        <f>0.7371/E101</f>
        <v>7.3709999999999996</v>
      </c>
      <c r="F106" s="2899">
        <f>0.7371/F101</f>
        <v>7.3709999999999996</v>
      </c>
      <c r="G106" s="2899">
        <f>0.7371/G101</f>
        <v>7.3709999999999996</v>
      </c>
      <c r="H106" s="2899">
        <f>0.7371/H101</f>
        <v>7.3709999999999996</v>
      </c>
      <c r="I106" s="2899">
        <f>0.7371/I101</f>
        <v>7.3709999999999996</v>
      </c>
      <c r="J106" s="2899">
        <f>0.5659/J101</f>
        <v>5.6589999999999989</v>
      </c>
      <c r="K106" s="2899">
        <f>0.5659/K101</f>
        <v>5.6589999999999989</v>
      </c>
      <c r="L106" s="2899">
        <f>0.5659/L101</f>
        <v>5.6589999999999989</v>
      </c>
      <c r="M106" s="2899">
        <f>0.5659/M101</f>
        <v>5.6589999999999989</v>
      </c>
      <c r="N106" s="2899">
        <f>0.5659/N101</f>
        <v>5.6589999999999989</v>
      </c>
    </row>
    <row r="107" spans="1:14">
      <c r="A107" s="3274"/>
      <c r="B107" s="2898">
        <v>6</v>
      </c>
      <c r="C107" s="2899">
        <f>0.7608/C101</f>
        <v>7.6079999999999997</v>
      </c>
      <c r="D107" s="2899">
        <f>0.7608/D101</f>
        <v>7.6079999999999997</v>
      </c>
      <c r="E107" s="2899">
        <f>0.6482/E101</f>
        <v>6.4819999999999993</v>
      </c>
      <c r="F107" s="2899">
        <f>0.6482/F101</f>
        <v>6.4819999999999993</v>
      </c>
      <c r="G107" s="2899">
        <f>0.6482/G101</f>
        <v>6.4819999999999993</v>
      </c>
      <c r="H107" s="2899">
        <f>0.6482/H101</f>
        <v>6.4819999999999993</v>
      </c>
      <c r="I107" s="2899">
        <f>0.6482/I101</f>
        <v>6.4819999999999993</v>
      </c>
      <c r="J107" s="2899">
        <f>0.4525/J101</f>
        <v>4.5249999999999995</v>
      </c>
      <c r="K107" s="2899">
        <f>0.4525/K101</f>
        <v>4.5249999999999995</v>
      </c>
      <c r="L107" s="2899">
        <f>0.4525/L101</f>
        <v>4.5249999999999995</v>
      </c>
      <c r="M107" s="2899">
        <f>0.4525/M101</f>
        <v>4.5249999999999995</v>
      </c>
      <c r="N107" s="2899">
        <f>0.4525/N101</f>
        <v>4.5249999999999995</v>
      </c>
    </row>
    <row r="108" spans="1:14">
      <c r="A108" s="3274"/>
      <c r="B108" s="3132"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5"/>
      <c r="B109" s="3133"/>
      <c r="C109" s="2901">
        <f>(-0.163*(C108^2)-0.59*C108+7617)*(10^(-4))/C101</f>
        <v>7.617</v>
      </c>
      <c r="D109" s="2901">
        <f>(-0.163*(D108^2)-0.59*D108+7617)*(10^(-4))/D101</f>
        <v>7.617</v>
      </c>
      <c r="E109" s="2901">
        <f>(-0.161*(E108^2)-7.509*E108+6533)*(10^(-4))/E101</f>
        <v>6.5329999999999995</v>
      </c>
      <c r="F109" s="2901">
        <f>(-0.161*(F108^2)-7.509*F108+6533)*(10^(-4))/F101</f>
        <v>6.5329999999999995</v>
      </c>
      <c r="G109" s="2901">
        <f>(-0.161*(G108^2)-7.509*G108+6533)*(10^(-4))/G101</f>
        <v>6.5329999999999995</v>
      </c>
      <c r="H109" s="2901">
        <f>(-0.161*(H108^2)-7.509*H108+6533)*(10^(-4))/H101</f>
        <v>6.5329999999999995</v>
      </c>
      <c r="I109" s="2901">
        <f>(-0.161*(I108^2)-7.509*I108+6533)*(10^(-4))/I101</f>
        <v>6.5329999999999995</v>
      </c>
      <c r="J109" s="2901">
        <f>(-0.214*(J108^2)-21.991*J108+4665)*(10^(-4))/J101</f>
        <v>4.665</v>
      </c>
      <c r="K109" s="2901">
        <f>(-0.214*(K108^2)-21.991*K108+4665)*(10^(-4))/K101</f>
        <v>4.665</v>
      </c>
      <c r="L109" s="2901">
        <f>(-0.214*(L108^2)-21.991*L108+4665)*(10^(-4))/L101</f>
        <v>4.665</v>
      </c>
      <c r="M109" s="2901">
        <f>(-0.214*(M108^2)-21.991*M108+4665)*(10^(-4))/M101</f>
        <v>4.665</v>
      </c>
      <c r="N109" s="2901">
        <f>(-0.214*(N108^2)-21.991*N108+4665)*(10^(-4))/N101</f>
        <v>4.665</v>
      </c>
    </row>
    <row r="110" spans="1:14">
      <c r="A110" s="3271" t="s">
        <v>2980</v>
      </c>
      <c r="B110" s="3271"/>
      <c r="C110" s="3271"/>
      <c r="D110" s="3271"/>
      <c r="E110" s="3271"/>
      <c r="F110" s="3271"/>
      <c r="G110" s="3271"/>
      <c r="H110" s="3271"/>
      <c r="I110" s="3271"/>
      <c r="J110" s="3271"/>
      <c r="K110" s="2904"/>
      <c r="L110" s="2904"/>
      <c r="M110" s="2904"/>
      <c r="N110" s="2904"/>
    </row>
    <row r="112" spans="1:14" ht="13.5" thickBot="1"/>
    <row r="113" spans="1:13" ht="25.5" thickBot="1">
      <c r="A113" s="903" t="s">
        <v>2981</v>
      </c>
      <c r="B113" s="1290">
        <f>G3</f>
        <v>0.1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0.93259999999999998</v>
      </c>
      <c r="C115" s="910">
        <f>B115</f>
        <v>0.93259999999999998</v>
      </c>
      <c r="D115" s="910">
        <f>ROUND(0.8331-0.0109*B113,4)</f>
        <v>0.83199999999999996</v>
      </c>
      <c r="E115" s="910">
        <f>D115</f>
        <v>0.83199999999999996</v>
      </c>
      <c r="F115" s="910">
        <f>E115</f>
        <v>0.83199999999999996</v>
      </c>
      <c r="G115" s="910">
        <f>F115</f>
        <v>0.83199999999999996</v>
      </c>
      <c r="H115" s="910">
        <f>G115</f>
        <v>0.83199999999999996</v>
      </c>
      <c r="I115" s="910">
        <f>ROUND(0.689-0.0155*B113,4)</f>
        <v>0.6875</v>
      </c>
      <c r="J115" s="910">
        <f t="shared" ref="J115:M118" si="33">I115</f>
        <v>0.6875</v>
      </c>
      <c r="K115" s="910">
        <f t="shared" si="33"/>
        <v>0.6875</v>
      </c>
      <c r="L115" s="910">
        <f t="shared" si="33"/>
        <v>0.6875</v>
      </c>
      <c r="M115" s="911">
        <f t="shared" si="33"/>
        <v>0.6875</v>
      </c>
    </row>
    <row r="116" spans="1:13">
      <c r="A116" s="909" t="s">
        <v>2878</v>
      </c>
      <c r="B116" s="910">
        <f>ROUND(0.949-0.012*B113,4)</f>
        <v>0.94779999999999998</v>
      </c>
      <c r="C116" s="910">
        <f>B116</f>
        <v>0.94779999999999998</v>
      </c>
      <c r="D116" s="910">
        <f>ROUND(0.8567-0.013*B113,4)</f>
        <v>0.85540000000000005</v>
      </c>
      <c r="E116" s="910">
        <f t="shared" ref="E116:H117" si="34">D116</f>
        <v>0.85540000000000005</v>
      </c>
      <c r="F116" s="910">
        <f t="shared" si="34"/>
        <v>0.85540000000000005</v>
      </c>
      <c r="G116" s="910">
        <f t="shared" si="34"/>
        <v>0.85540000000000005</v>
      </c>
      <c r="H116" s="910">
        <f t="shared" si="34"/>
        <v>0.85540000000000005</v>
      </c>
      <c r="I116" s="910">
        <f>ROUND(0.7694-0.014*B113,4)</f>
        <v>0.76800000000000002</v>
      </c>
      <c r="J116" s="910">
        <f t="shared" si="33"/>
        <v>0.76800000000000002</v>
      </c>
      <c r="K116" s="910">
        <f t="shared" si="33"/>
        <v>0.76800000000000002</v>
      </c>
      <c r="L116" s="910">
        <f t="shared" si="33"/>
        <v>0.76800000000000002</v>
      </c>
      <c r="M116" s="911">
        <f t="shared" si="33"/>
        <v>0.76800000000000002</v>
      </c>
    </row>
    <row r="117" spans="1:13">
      <c r="A117" s="909" t="s">
        <v>2879</v>
      </c>
      <c r="B117" s="910">
        <f>ROUND(0.8808-0.006*B113,4)</f>
        <v>0.88019999999999998</v>
      </c>
      <c r="C117" s="910">
        <f>B117</f>
        <v>0.88019999999999998</v>
      </c>
      <c r="D117" s="910">
        <f>ROUND(0.8748-0.008*B113,4)</f>
        <v>0.874</v>
      </c>
      <c r="E117" s="910">
        <f t="shared" si="34"/>
        <v>0.874</v>
      </c>
      <c r="F117" s="910">
        <f t="shared" si="34"/>
        <v>0.874</v>
      </c>
      <c r="G117" s="910">
        <f t="shared" si="34"/>
        <v>0.874</v>
      </c>
      <c r="H117" s="910">
        <f t="shared" si="34"/>
        <v>0.874</v>
      </c>
      <c r="I117" s="910">
        <f>ROUND(0.7412-0.0095*B113,4)</f>
        <v>0.74029999999999996</v>
      </c>
      <c r="J117" s="910">
        <f t="shared" si="33"/>
        <v>0.74029999999999996</v>
      </c>
      <c r="K117" s="910">
        <f t="shared" si="33"/>
        <v>0.74029999999999996</v>
      </c>
      <c r="L117" s="910">
        <f t="shared" si="33"/>
        <v>0.74029999999999996</v>
      </c>
      <c r="M117" s="911">
        <f t="shared" si="33"/>
        <v>0.74029999999999996</v>
      </c>
    </row>
    <row r="118" spans="1:13" ht="13.5" thickBot="1">
      <c r="A118" s="714" t="s">
        <v>2880</v>
      </c>
      <c r="B118" s="912">
        <f>ROUND(0.7275-0.01*B113,4)</f>
        <v>0.72650000000000003</v>
      </c>
      <c r="C118" s="912">
        <f>B118</f>
        <v>0.72650000000000003</v>
      </c>
      <c r="D118" s="912">
        <f>ROUND(0.7043-0.012*B113,4)</f>
        <v>0.70309999999999995</v>
      </c>
      <c r="E118" s="912">
        <f>D118</f>
        <v>0.70309999999999995</v>
      </c>
      <c r="F118" s="912">
        <f>E118</f>
        <v>0.70309999999999995</v>
      </c>
      <c r="G118" s="912">
        <f>ROUND(0.6299-0.0122*B113,4)</f>
        <v>0.62870000000000004</v>
      </c>
      <c r="H118" s="912">
        <f>G118</f>
        <v>0.62870000000000004</v>
      </c>
      <c r="I118" s="912">
        <f>ROUND(0.5667-0.0136*B113,4)</f>
        <v>0.56530000000000002</v>
      </c>
      <c r="J118" s="912">
        <f t="shared" si="33"/>
        <v>0.56530000000000002</v>
      </c>
      <c r="K118" s="912">
        <f t="shared" si="33"/>
        <v>0.56530000000000002</v>
      </c>
      <c r="L118" s="912">
        <f t="shared" si="33"/>
        <v>0.56530000000000002</v>
      </c>
      <c r="M118" s="913">
        <f t="shared" si="33"/>
        <v>0.56530000000000002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3"/>
      <c r="B4" s="2977" t="s">
        <v>1630</v>
      </c>
      <c r="C4" s="2977"/>
      <c r="D4" s="2977"/>
      <c r="E4" s="1963"/>
    </row>
    <row r="5" spans="1:5" ht="16.5" thickTop="1">
      <c r="A5" s="1961"/>
      <c r="B5" s="2975" t="s">
        <v>1622</v>
      </c>
      <c r="C5" s="1964" t="s">
        <v>1623</v>
      </c>
      <c r="D5" s="1043">
        <f ca="1">结果表!H101</f>
        <v>8026</v>
      </c>
      <c r="E5" s="1961"/>
    </row>
    <row r="6" spans="1:5" ht="15.75">
      <c r="A6" s="1961"/>
      <c r="B6" s="2975"/>
      <c r="C6" s="1964" t="s">
        <v>1624</v>
      </c>
      <c r="D6" s="1043" t="str">
        <f ca="1">NUMBERSTRING(INT(D5*10000),2)&amp;"元整"</f>
        <v>捌仟零贰拾陆万元整</v>
      </c>
      <c r="E6" s="1961"/>
    </row>
    <row r="7" spans="1:5" ht="15.75">
      <c r="A7" s="1961"/>
      <c r="B7" s="2980"/>
      <c r="C7" s="1965" t="s">
        <v>1625</v>
      </c>
      <c r="D7" s="1044">
        <f ca="1">结果表!H102</f>
        <v>9955</v>
      </c>
      <c r="E7" s="1961"/>
    </row>
    <row r="8" spans="1:5" ht="15.75">
      <c r="A8" s="1961"/>
      <c r="B8" s="2981" t="str">
        <f>结果表!E103</f>
        <v>2.估价师知悉的法定优先受偿款</v>
      </c>
      <c r="C8" s="1966" t="s">
        <v>1626</v>
      </c>
      <c r="D8" s="1044">
        <f>结果表!H103</f>
        <v>0</v>
      </c>
      <c r="E8" s="1961"/>
    </row>
    <row r="9" spans="1:5" ht="15.75">
      <c r="A9" s="1961"/>
      <c r="B9" s="298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4" t="str">
        <f>结果表!E107</f>
        <v>3.房地产抵押价值</v>
      </c>
      <c r="C13" s="1969" t="s">
        <v>1623</v>
      </c>
      <c r="D13" s="1046">
        <f ca="1">结果表!H107</f>
        <v>8026</v>
      </c>
      <c r="E13" s="1961"/>
    </row>
    <row r="14" spans="1:5" ht="15.75">
      <c r="A14" s="1961"/>
      <c r="B14" s="2975"/>
      <c r="C14" s="1964" t="s">
        <v>1624</v>
      </c>
      <c r="D14" s="1043" t="str">
        <f ca="1">NUMBERSTRING(INT(D13*10000),2)&amp;"元整"</f>
        <v>捌仟零贰拾陆万元整</v>
      </c>
      <c r="E14" s="1961"/>
    </row>
    <row r="15" spans="1:5" ht="15">
      <c r="A15" s="1961"/>
      <c r="B15" s="2980"/>
      <c r="C15" s="1965" t="s">
        <v>1634</v>
      </c>
      <c r="D15" s="1055">
        <f ca="1">结果表!H108</f>
        <v>9955</v>
      </c>
      <c r="E15" s="1961"/>
    </row>
    <row r="16" spans="1:5" ht="15">
      <c r="A16" s="1961"/>
      <c r="B16" s="2981" t="str">
        <f>结果表!E109</f>
        <v>——</v>
      </c>
      <c r="C16" s="1969" t="s">
        <v>1635</v>
      </c>
      <c r="D16" s="1970" t="str">
        <f>结果表!H109</f>
        <v>——</v>
      </c>
      <c r="E16" s="1961"/>
    </row>
    <row r="17" spans="1:5" ht="15.75">
      <c r="A17" s="1961"/>
      <c r="B17" s="2982"/>
      <c r="C17" s="1964" t="s">
        <v>1636</v>
      </c>
      <c r="D17" s="1043" t="e">
        <f>NUMBERSTRING(INT(D16*10000),2)&amp;"元整"</f>
        <v>#VALUE!</v>
      </c>
      <c r="E17" s="1961"/>
    </row>
    <row r="18" spans="1:5" ht="15">
      <c r="A18" s="1961"/>
      <c r="B18" s="2983"/>
      <c r="C18" s="1965" t="s">
        <v>1625</v>
      </c>
      <c r="D18" s="1055" t="str">
        <f>结果表!H110</f>
        <v>——</v>
      </c>
      <c r="E18" s="1961"/>
    </row>
    <row r="19" spans="1:5" ht="15.75">
      <c r="A19" s="1961"/>
      <c r="B19" s="2974" t="str">
        <f>结果表!E111</f>
        <v>——</v>
      </c>
      <c r="C19" s="1969" t="s">
        <v>1623</v>
      </c>
      <c r="D19" s="1044" t="str">
        <f>结果表!H111</f>
        <v>——</v>
      </c>
      <c r="E19" s="1961"/>
    </row>
    <row r="20" spans="1:5" ht="15.75">
      <c r="A20" s="1961"/>
      <c r="B20" s="2975"/>
      <c r="C20" s="1964" t="s">
        <v>1636</v>
      </c>
      <c r="D20" s="1043" t="e">
        <f>NUMBERSTRING(INT(D19*10000),2)&amp;"元整"</f>
        <v>#VALUE!</v>
      </c>
      <c r="E20" s="1961"/>
    </row>
    <row r="21" spans="1:5" ht="15.75" thickBot="1">
      <c r="A21" s="1961"/>
      <c r="B21" s="297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4">
        <v>2018</v>
      </c>
      <c r="H5" s="1732">
        <v>3</v>
      </c>
      <c r="I5" s="2927">
        <v>0</v>
      </c>
      <c r="J5" s="2927">
        <v>0</v>
      </c>
      <c r="K5" s="2927">
        <v>0</v>
      </c>
      <c r="L5" s="2927">
        <v>0</v>
      </c>
      <c r="N5" s="1470">
        <f>I5/100</f>
        <v>0</v>
      </c>
      <c r="O5" s="1470">
        <f t="shared" ref="O5" si="7">J5/100</f>
        <v>0</v>
      </c>
      <c r="P5" s="1470">
        <f t="shared" ref="P5" si="8">K5/100</f>
        <v>0</v>
      </c>
      <c r="Q5" s="1470">
        <f t="shared" ref="Q5" si="9">L5/100</f>
        <v>0</v>
      </c>
      <c r="R5" s="1734"/>
      <c r="S5" s="1735"/>
      <c r="T5" s="1734"/>
      <c r="U5" s="1734"/>
      <c r="V5" s="1734"/>
      <c r="W5" s="2931" t="s">
        <v>3039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3034</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91" t="s">
        <v>3006</v>
      </c>
      <c r="D1" s="3292"/>
      <c r="E1" s="3292"/>
      <c r="F1" s="3292"/>
      <c r="G1" s="3292"/>
      <c r="H1" s="3292"/>
      <c r="I1" s="3292"/>
      <c r="J1" s="3292"/>
      <c r="K1" s="3292"/>
      <c r="L1" s="3292"/>
      <c r="M1" s="3292"/>
      <c r="N1" s="3292"/>
      <c r="O1" s="3292"/>
      <c r="P1" s="3292"/>
      <c r="Q1" s="3292"/>
      <c r="R1" s="3292"/>
      <c r="S1" s="3293"/>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22" t="s">
        <v>3019</v>
      </c>
      <c r="E20" s="1795"/>
      <c r="F20" s="1207" t="e">
        <f ca="1">SUMIF(INDIRECT("'"&amp;H20&amp;"'"&amp;"!A:A"),"承租人权益价值",INDIRECT("'"&amp;H20&amp;"'"&amp;"!c:c"))</f>
        <v>#REF!</v>
      </c>
      <c r="G20" s="1207" t="s">
        <v>3020</v>
      </c>
      <c r="H20" s="2923"/>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54" t="s">
        <v>33</v>
      </c>
      <c r="D22" s="3155"/>
      <c r="E22" s="3155"/>
      <c r="F22" s="3155"/>
      <c r="G22" s="3155"/>
      <c r="H22" s="3155"/>
      <c r="I22" s="3155"/>
      <c r="J22" s="3155"/>
      <c r="K22" s="3155"/>
      <c r="L22" s="3155"/>
      <c r="M22" s="3155"/>
      <c r="N22" s="3155"/>
      <c r="O22" s="3155"/>
      <c r="P22" s="3155"/>
      <c r="Q22" s="3290"/>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39018</v>
      </c>
      <c r="C2" s="2" t="s">
        <v>133</v>
      </c>
      <c r="D2" s="243"/>
      <c r="E2" s="243"/>
      <c r="F2" s="243"/>
      <c r="G2" s="243"/>
    </row>
    <row r="3" spans="1:7" s="244" customFormat="1" ht="18" customHeight="1" thickBot="1">
      <c r="A3" s="247" t="s">
        <v>85</v>
      </c>
      <c r="B3" s="248">
        <f ca="1">ROUND(B2*10000/'数据-汇总表'!E3,0)</f>
        <v>48396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73</v>
      </c>
      <c r="D10" s="1035">
        <f>'数据-汇总表'!E6</f>
        <v>8062.31</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v>
      </c>
      <c r="D19" s="1039">
        <f>'数据-汇总表'!E3</f>
        <v>8062.31</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0.05</v>
      </c>
      <c r="D21" s="280" t="s">
        <v>126</v>
      </c>
      <c r="E21" s="276"/>
      <c r="F21" s="277">
        <f>'数据-取费表'!B38</f>
        <v>0.05</v>
      </c>
      <c r="G21" s="278" t="s">
        <v>106</v>
      </c>
    </row>
    <row r="22" spans="1:7" s="258" customFormat="1" ht="13.5" customHeight="1">
      <c r="A22" s="951" t="s">
        <v>786</v>
      </c>
      <c r="B22" s="254" t="s">
        <v>107</v>
      </c>
      <c r="C22" s="1357">
        <f ca="1">ROUND(SUM(C23:C25),0)</f>
        <v>2050</v>
      </c>
      <c r="D22" s="279">
        <f ca="1">C26</f>
        <v>2.3999999999999998E-3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16</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2.3999999999999998E-3</v>
      </c>
      <c r="D26" s="282"/>
      <c r="E26" s="285"/>
      <c r="F26" s="283"/>
      <c r="G26" s="287"/>
    </row>
    <row r="27" spans="1:7" s="258" customFormat="1" ht="24.75">
      <c r="A27" s="951" t="s">
        <v>787</v>
      </c>
      <c r="B27" s="288" t="s">
        <v>112</v>
      </c>
      <c r="C27" s="289">
        <f>C28</f>
        <v>5349</v>
      </c>
      <c r="D27" s="279">
        <f>C29</f>
        <v>1.2500000000000001E-2</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1.2500000000000001E-2</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32619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4696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4031</v>
      </c>
      <c r="D34" s="261"/>
      <c r="E34" s="264"/>
      <c r="F34" s="301">
        <f>IF('数据-取费表'!B24=0,1,'数据-取费表'!N16)</f>
        <v>1</v>
      </c>
      <c r="G34" s="263" t="s">
        <v>116</v>
      </c>
    </row>
    <row r="35" spans="1:7" ht="13.5" customHeight="1">
      <c r="A35" s="954" t="s">
        <v>796</v>
      </c>
      <c r="B35" s="259" t="s">
        <v>60</v>
      </c>
      <c r="C35" s="264">
        <f>ROUND(C34*F35,0)</f>
        <v>202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403</v>
      </c>
      <c r="D37" s="261">
        <f>'数据-汇总表'!E3</f>
        <v>8062.31</v>
      </c>
      <c r="E37" s="293">
        <f>'数据-取费表'!B35</f>
        <v>500</v>
      </c>
      <c r="F37" s="303"/>
      <c r="G37" s="305" t="s">
        <v>119</v>
      </c>
    </row>
    <row r="38" spans="1:7" ht="13.5" customHeight="1">
      <c r="A38" s="954" t="s">
        <v>799</v>
      </c>
      <c r="B38" s="259" t="s">
        <v>63</v>
      </c>
      <c r="C38" s="264">
        <f>ROUND(C34*F38,0)</f>
        <v>60</v>
      </c>
      <c r="D38" s="264"/>
      <c r="E38" s="264"/>
      <c r="F38" s="303">
        <f>'数据-取费表'!B36</f>
        <v>1.4999999999999999E-2</v>
      </c>
      <c r="G38" s="263" t="s">
        <v>117</v>
      </c>
    </row>
    <row r="39" spans="1:7" s="258" customFormat="1" ht="13.5" customHeight="1">
      <c r="A39" s="951" t="s">
        <v>783</v>
      </c>
      <c r="B39" s="254" t="s">
        <v>104</v>
      </c>
      <c r="C39" s="276">
        <f>ROUND(C33*F20,0)</f>
        <v>141</v>
      </c>
      <c r="D39" s="276"/>
      <c r="E39" s="276"/>
      <c r="F39" s="277"/>
      <c r="G39" s="1292" t="s">
        <v>1071</v>
      </c>
    </row>
    <row r="40" spans="1:7" s="258" customFormat="1" ht="13.5" customHeight="1">
      <c r="A40" s="951" t="s">
        <v>784</v>
      </c>
      <c r="B40" s="254" t="s">
        <v>105</v>
      </c>
      <c r="C40" s="306">
        <f>F21</f>
        <v>0.05</v>
      </c>
      <c r="D40" s="280" t="s">
        <v>129</v>
      </c>
      <c r="E40" s="276"/>
      <c r="F40" s="277"/>
      <c r="G40" s="278" t="s">
        <v>120</v>
      </c>
    </row>
    <row r="41" spans="1:7" s="258" customFormat="1" ht="13.5" customHeight="1">
      <c r="A41" s="951" t="s">
        <v>785</v>
      </c>
      <c r="B41" s="254" t="s">
        <v>107</v>
      </c>
      <c r="C41" s="276">
        <f ca="1">ROUND(SUM(C42:C43),0)</f>
        <v>230</v>
      </c>
      <c r="D41" s="279">
        <f ca="1">C44</f>
        <v>2.3999999999999998E-3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223</v>
      </c>
      <c r="D42" s="282"/>
      <c r="E42" s="282"/>
      <c r="F42" s="283"/>
      <c r="G42" s="3159" t="s">
        <v>121</v>
      </c>
    </row>
    <row r="43" spans="1:7" ht="13.5" customHeight="1">
      <c r="A43" s="954" t="s">
        <v>792</v>
      </c>
      <c r="B43" s="259" t="s">
        <v>1064</v>
      </c>
      <c r="C43" s="282">
        <f ca="1">ROUND(IF('数据-取费表'!B22&lt;=1,C39*F22*'数据-取费表'!B21/2,C39*(POWER((1+F22),'数据-取费表'!B21/2)-1)),0)</f>
        <v>7</v>
      </c>
      <c r="D43" s="282"/>
      <c r="E43" s="282"/>
      <c r="F43" s="283"/>
      <c r="G43" s="3160"/>
    </row>
    <row r="44" spans="1:7" ht="13.5" customHeight="1">
      <c r="A44" s="954" t="s">
        <v>793</v>
      </c>
      <c r="B44" s="259" t="s">
        <v>1066</v>
      </c>
      <c r="C44" s="282">
        <f ca="1">ROUND(IF('数据-取费表'!B22&lt;=1,C40*F22*'数据-取费表'!B21/2,C40*(POWER((1+F22),'数据-取费表'!B21/2)-1)),4)</f>
        <v>2.3999999999999998E-3</v>
      </c>
      <c r="D44" s="282"/>
      <c r="E44" s="282"/>
      <c r="F44" s="283"/>
      <c r="G44" s="3161"/>
    </row>
    <row r="45" spans="1:7" s="258" customFormat="1" ht="13.5" customHeight="1">
      <c r="A45" s="951" t="s">
        <v>786</v>
      </c>
      <c r="B45" s="288" t="s">
        <v>112</v>
      </c>
      <c r="C45" s="289">
        <f>C46</f>
        <v>1209</v>
      </c>
      <c r="D45" s="279">
        <f>C47</f>
        <v>1.2500000000000001E-2</v>
      </c>
      <c r="E45" s="280" t="s">
        <v>129</v>
      </c>
      <c r="F45" s="290"/>
      <c r="G45" s="291" t="s">
        <v>1072</v>
      </c>
    </row>
    <row r="46" spans="1:7" s="258" customFormat="1" ht="13.5" customHeight="1">
      <c r="A46" s="954" t="s">
        <v>794</v>
      </c>
      <c r="B46" s="292" t="s">
        <v>1065</v>
      </c>
      <c r="C46" s="293">
        <f>ROUND((C33+C39)*F27,0)</f>
        <v>1209</v>
      </c>
      <c r="D46" s="307"/>
      <c r="E46" s="280"/>
      <c r="F46" s="290"/>
      <c r="G46" s="291"/>
    </row>
    <row r="47" spans="1:7" s="258" customFormat="1" ht="13.5" customHeight="1">
      <c r="A47" s="954" t="s">
        <v>792</v>
      </c>
      <c r="B47" s="292" t="s">
        <v>1067</v>
      </c>
      <c r="C47" s="282">
        <f>ROUND(C40*F27,4)</f>
        <v>1.2500000000000001E-2</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7110</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6399</v>
      </c>
      <c r="D51" s="276"/>
      <c r="E51" s="276"/>
      <c r="F51" s="308"/>
      <c r="G51" s="278" t="s">
        <v>64</v>
      </c>
    </row>
    <row r="52" spans="1:7" s="252" customFormat="1" ht="16.5" thickBot="1">
      <c r="A52" s="309" t="s">
        <v>65</v>
      </c>
      <c r="B52" s="310"/>
      <c r="C52" s="311">
        <f ca="1">C31+C51</f>
        <v>39018</v>
      </c>
      <c r="D52" s="310"/>
      <c r="E52" s="310"/>
      <c r="F52" s="310"/>
      <c r="G52" s="312"/>
    </row>
    <row r="55" spans="1:7" ht="15">
      <c r="B55" s="314" t="s">
        <v>66</v>
      </c>
      <c r="C55" s="315"/>
    </row>
    <row r="56" spans="1:7">
      <c r="B56" s="317" t="s">
        <v>67</v>
      </c>
      <c r="C56" s="318">
        <f ca="1">ROUND(C51/C52,3)</f>
        <v>0.16400000000000001</v>
      </c>
    </row>
    <row r="57" spans="1:7">
      <c r="B57" s="317" t="s">
        <v>68</v>
      </c>
      <c r="C57" s="319">
        <f ca="1">1-C56</f>
        <v>0.83599999999999997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43404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7" t="s">
        <v>1638</v>
      </c>
      <c r="E3" s="1047" t="s">
        <v>1644</v>
      </c>
      <c r="F3" s="1047" t="s">
        <v>1638</v>
      </c>
      <c r="G3" s="1047" t="s">
        <v>1639</v>
      </c>
      <c r="H3" s="1047" t="s">
        <v>1638</v>
      </c>
      <c r="I3" s="1047" t="s">
        <v>1639</v>
      </c>
    </row>
    <row r="4" spans="1:9" ht="60">
      <c r="A4" s="1975" t="str">
        <f>项目基本情况!S2</f>
        <v>江苏省盐城市阜宁县阜城镇祥光路719号东方花园酒店项目局部商业服务用房房地产房地产</v>
      </c>
      <c r="B4" s="1047">
        <f>项目基本情况!C17</f>
        <v>8062.31</v>
      </c>
      <c r="C4" s="1047">
        <f>项目基本情况!C18</f>
        <v>81095.31</v>
      </c>
      <c r="D4" s="1047">
        <f ca="1">结果表!D118</f>
        <v>1333</v>
      </c>
      <c r="E4" s="1047">
        <f ca="1">结果表!E118</f>
        <v>1653</v>
      </c>
      <c r="F4" s="1047">
        <f ca="1">结果表!F118</f>
        <v>6693</v>
      </c>
      <c r="G4" s="1047">
        <f ca="1">结果表!G118</f>
        <v>8302</v>
      </c>
      <c r="H4" s="1047">
        <f ca="1">结果表!H118</f>
        <v>8026</v>
      </c>
      <c r="I4" s="1047">
        <f ca="1">结果表!I118</f>
        <v>9955</v>
      </c>
    </row>
    <row r="5" spans="1:9" ht="30" customHeight="1">
      <c r="A5" s="2988" t="s">
        <v>1640</v>
      </c>
      <c r="B5" s="2988"/>
      <c r="C5" s="2988"/>
      <c r="D5" s="2989" t="str">
        <f ca="1">结果表!D119</f>
        <v>壹仟叁佰叁拾叁万元整</v>
      </c>
      <c r="E5" s="2989"/>
      <c r="F5" s="2989" t="str">
        <f ca="1">结果表!F119</f>
        <v>陆仟陆佰玖拾叁万元整</v>
      </c>
      <c r="G5" s="2989"/>
      <c r="H5" s="2989" t="str">
        <f ca="1">结果表!H119</f>
        <v>捌仟零贰拾陆万元整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房地产抵押价值</v>
      </c>
      <c r="B8" s="2987"/>
      <c r="C8" s="2987"/>
      <c r="D8" s="2987">
        <f ca="1">结果表!D122</f>
        <v>8026</v>
      </c>
      <c r="E8" s="2987"/>
      <c r="F8" s="2987"/>
      <c r="G8" s="2987"/>
      <c r="H8" s="2987"/>
      <c r="I8" s="2987"/>
    </row>
    <row r="9" spans="1:9" ht="15">
      <c r="A9" s="2988" t="s">
        <v>1640</v>
      </c>
      <c r="B9" s="2988"/>
      <c r="C9" s="2988"/>
      <c r="D9" s="2989" t="str">
        <f ca="1">结果表!D123</f>
        <v>捌仟零贰拾陆万元整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1" t="s">
        <v>1662</v>
      </c>
      <c r="B1" s="3001"/>
      <c r="C1" s="3001"/>
      <c r="D1" s="3001"/>
    </row>
    <row r="2" spans="1:4" ht="18">
      <c r="A2" s="3002" t="s">
        <v>1646</v>
      </c>
      <c r="B2" s="3002"/>
      <c r="C2" s="3002"/>
      <c r="D2" s="3002"/>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2" t="s">
        <v>1652</v>
      </c>
      <c r="B6" s="3002"/>
      <c r="C6" s="3002"/>
      <c r="D6" s="300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抵押权设定日期为2015年1月27日，权利人为中国民生银行股份有限公司盐城分行，权利范围为《房屋所有权证》[阜房权证阜城字第00063704号]，权利价值为200万元整。</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9" t="s">
        <v>1669</v>
      </c>
      <c r="B15" s="3004" t="s">
        <v>136</v>
      </c>
      <c r="C15" s="3005"/>
    </row>
    <row r="16" spans="1:7" ht="13.5">
      <c r="A16" s="3010"/>
      <c r="B16" s="3004" t="s">
        <v>69</v>
      </c>
      <c r="C16" s="3005"/>
    </row>
    <row r="17" spans="1:3" ht="13.5">
      <c r="A17" s="3010"/>
      <c r="B17" s="3007" t="s">
        <v>1670</v>
      </c>
      <c r="C17" s="2002" t="s">
        <v>1669</v>
      </c>
    </row>
    <row r="18" spans="1:3" ht="13.5">
      <c r="A18" s="3010"/>
      <c r="B18" s="3007"/>
      <c r="C18" s="2002" t="s">
        <v>1671</v>
      </c>
    </row>
    <row r="19" spans="1:3" ht="13.5">
      <c r="A19" s="3010"/>
      <c r="B19" s="3007"/>
      <c r="C19" s="2002" t="s">
        <v>1672</v>
      </c>
    </row>
    <row r="20" spans="1:3" ht="13.5">
      <c r="A20" s="3011"/>
      <c r="B20" s="3006" t="s">
        <v>1673</v>
      </c>
      <c r="C20" s="3005"/>
    </row>
    <row r="21" spans="1:3" ht="13.5">
      <c r="A21" s="2003" t="s">
        <v>1674</v>
      </c>
      <c r="B21" s="2004"/>
      <c r="C21" s="2005"/>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2" t="s">
        <v>1680</v>
      </c>
    </row>
    <row r="26" spans="1:3" ht="13.5">
      <c r="A26" s="3008"/>
      <c r="B26" s="3007"/>
      <c r="C26" s="2002" t="s">
        <v>1681</v>
      </c>
    </row>
    <row r="27" spans="1:3" ht="13.5">
      <c r="A27" s="3008"/>
      <c r="B27" s="3007"/>
      <c r="C27" s="2002" t="s">
        <v>1682</v>
      </c>
    </row>
    <row r="28" spans="1:3" ht="13.5">
      <c r="A28" s="3008"/>
      <c r="B28" s="3007"/>
      <c r="C28" s="2002" t="s">
        <v>1683</v>
      </c>
    </row>
    <row r="29" spans="1:3" ht="13.5">
      <c r="A29" s="3008"/>
      <c r="B29" s="3007"/>
      <c r="C29" s="2002" t="s">
        <v>1684</v>
      </c>
    </row>
    <row r="30" spans="1:3" ht="13.5">
      <c r="A30" s="3008"/>
      <c r="B30" s="3007"/>
      <c r="C30" s="2002" t="s">
        <v>1685</v>
      </c>
    </row>
    <row r="31" spans="1:3" ht="13.5">
      <c r="A31" s="3008"/>
      <c r="B31" s="3007"/>
      <c r="C31" s="2002" t="s">
        <v>1686</v>
      </c>
    </row>
    <row r="32" spans="1:3" ht="13.5">
      <c r="A32" s="3008"/>
      <c r="B32" s="3007"/>
      <c r="C32" s="2002" t="s">
        <v>1687</v>
      </c>
    </row>
    <row r="33" spans="1:3" ht="13.5">
      <c r="A33" s="3008"/>
      <c r="B33" s="300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43413</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3044</v>
      </c>
      <c r="B12" s="1025">
        <v>1120110054</v>
      </c>
      <c r="C12" s="2943">
        <v>43937</v>
      </c>
      <c r="D12" s="1704" t="s">
        <v>3044</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3">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抵押物清单1</vt:lpstr>
      <vt:lpstr>抵押物清单2</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收益法（酒店）</vt:lpstr>
      <vt:lpstr>收益法（独栋）</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'收益法（独栋）'!Print_Area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2018-11-09T09:23:00Z</dcterms:modified>
</cp:coreProperties>
</file>