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870" windowHeight="1105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<sst xmlns="http://schemas.openxmlformats.org/spreadsheetml/2006/main" count="6853" uniqueCount="2400">
  <si>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</si>
  <si>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</si>
  <si>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</si>
  <si>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</si>
  <si>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</si>
  <si>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</si>
  <si>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</si>
  <si>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</si>
  <si>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</si>
  <si>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</si>
  <si>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</si>
  <si>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</si>
  <si>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</si>
  <si>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</si>
  <si>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</si>
  <si>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</si>
  <si>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</si>
  <si>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</si>
  <si>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</si>
  <si>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</si>
  <si>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</si>
  <si>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</si>
  <si>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</si>
  <si>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</si>
  <si>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</si>
  <si>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</si>
  <si>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</si>
  <si>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</si>
  <si>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</si>
  <si>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</si>
  <si>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</si>
  <si>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</si>
  <si>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</si>
  <si>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</si>
  <si>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</si>
  <si>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</si>
  <si>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</si>
  <si>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</si>
  <si>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</si>
  <si>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</si>
  <si>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</si>
  <si>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</si>
  <si>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</si>
  <si>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</si>
  <si>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</si>
  <si>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</si>
  <si>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</si>
  <si>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</si>
  <si>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</si>
  <si>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</si>
  <si>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</si>
  <si>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</si>
  <si>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</si>
  <si>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</si>
  <si>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</si>
  <si>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</si>
  <si>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</si>
  <si>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</si>
  <si>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</si>
  <si>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</si>
  <si>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</si>
  <si>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</si>
  <si>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</si>
  <si>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</si>
  <si>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</si>
  <si>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</si>
  <si>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</si>
  <si>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</si>
  <si>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</si>
  <si>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</si>
  <si>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</si>
  <si>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</si>
  <si>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</si>
  <si>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</si>
  <si>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</si>
  <si>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</si>
  <si>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</si>
  <si>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</si>
  <si>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</si>
  <si>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</si>
  <si>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</si>
  <si>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</si>
  <si>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</si>
  <si>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</si>
  <si>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</si>
  <si>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</si>
  <si>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</si>
  <si>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</si>
  <si>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</si>
  <si>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</si>
  <si>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</si>
  <si>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</si>
  <si>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</si>
  <si>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</si>
  <si>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</si>
  <si>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</si>
  <si>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</si>
  <si>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</si>
  <si>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</si>
  <si>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</si>
  <si>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</si>
  <si>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</si>
  <si>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</si>
  <si>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</si>
  <si>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</si>
  <si>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</si>
  <si>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</si>
  <si>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</si>
  <si>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</si>
  <si>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</si>
  <si>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</si>
  <si>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</si>
  <si>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</si>
  <si>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</si>
  <si>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</si>
  <si>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</si>
  <si>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</si>
  <si>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</si>
  <si>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</si>
  <si>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</si>
  <si>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</si>
  <si>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</si>
  <si>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</si>
  <si>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</si>
  <si>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</si>
  <si>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</si>
  <si>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</si>
  <si>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</si>
  <si>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</si>
  <si>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</si>
  <si>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</si>
  <si>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</si>
  <si>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</si>
  <si>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</si>
  <si>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</si>
  <si>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</si>
  <si>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</si>
  <si>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</si>
  <si>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</si>
  <si>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</si>
  <si>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</si>
  <si>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</si>
  <si>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</si>
  <si>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</si>
  <si>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</si>
  <si>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</si>
  <si>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</si>
  <si>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</si>
  <si>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</si>
  <si>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</si>
  <si>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</si>
  <si>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</si>
  <si>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</si>
  <si>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</si>
  <si>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</si>
  <si>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</si>
  <si>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</si>
  <si>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</si>
  <si>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</si>
  <si>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</si>
  <si>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</si>
  <si>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</si>
  <si>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</si>
  <si>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</si>
  <si>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</si>
  <si>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</si>
  <si>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</si>
  <si>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</si>
  <si>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</si>
  <si>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</si>
  <si>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</si>
  <si>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</si>
  <si>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</si>
  <si>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</si>
  <si>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</si>
  <si>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</si>
  <si>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</si>
  <si>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</si>
  <si>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</si>
  <si>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</si>
  <si>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</si>
  <si>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</si>
  <si>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</si>
  <si>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</si>
  <si>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</si>
  <si>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</si>
  <si>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</si>
  <si>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</si>
  <si>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</si>
  <si>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</si>
  <si>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</si>
  <si>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</si>
  <si>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</si>
  <si>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</si>
  <si>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</si>
  <si>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</si>
  <si>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</si>
  <si>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</si>
  <si>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</si>
  <si>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</si>
  <si>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</si>
  <si>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</si>
  <si>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</si>
  <si>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</si>
  <si>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</si>
  <si>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</si>
  <si>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</si>
  <si>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</si>
  <si>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</si>
  <si>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</si>
  <si>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</si>
  <si>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</si>
  <si>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</si>
  <si>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</si>
  <si>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</si>
  <si>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</si>
  <si>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</si>
  <si>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</si>
  <si>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</si>
  <si>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</si>
  <si>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</si>
  <si>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</si>
  <si>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</si>
  <si>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</si>
  <si>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</si>
  <si>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</si>
  <si>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</si>
  <si>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</si>
  <si>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</si>
  <si>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</si>
  <si>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</si>
  <si>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</si>
  <si>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</si>
  <si>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</si>
  <si>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</si>
  <si>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</si>
  <si>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</si>
  <si>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</si>
  <si>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</si>
  <si>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</si>
  <si>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</si>
  <si>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</si>
  <si>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</si>
  <si>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</si>
  <si>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</si>
  <si>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</si>
  <si>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</si>
  <si>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</si>
  <si>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</si>
  <si>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</si>
  <si>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</si>
  <si>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</si>
  <si>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</si>
  <si>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</si>
  <si>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</si>
  <si>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</si>
  <si>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</si>
  <si>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</si>
  <si>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</si>
  <si>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</si>
  <si>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</si>
  <si>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</si>
  <si>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</si>
  <si>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</si>
  <si>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</si>
  <si>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</si>
  <si>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</si>
  <si>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</si>
  <si>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</si>
  <si>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</si>
  <si>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</si>
  <si>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</si>
  <si>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</si>
  <si>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</si>
  <si>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</si>
  <si>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</si>
  <si>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</si>
  <si>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</si>
  <si>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</si>
  <si>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</si>
  <si>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</si>
  <si>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</si>
  <si>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</si>
  <si>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</si>
  <si>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</si>
  <si>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</si>
  <si>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</si>
  <si>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</si>
  <si>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</si>
  <si>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</si>
  <si>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</si>
  <si>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</si>
  <si>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</si>
  <si>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</si>
  <si>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</si>
  <si>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</si>
  <si>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</si>
  <si>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</si>
  <si>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</si>
  <si>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</si>
  <si>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</si>
  <si>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</si>
  <si>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</si>
  <si>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</si>
  <si>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</si>
  <si>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</si>
  <si>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</si>
  <si>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</si>
  <si>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</si>
  <si>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</si>
  <si>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</si>
  <si>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</si>
  <si>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</si>
  <si>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</si>
  <si>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</si>
  <si>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</si>
  <si>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</si>
  <si>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</si>
  <si>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</si>
  <si>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</si>
  <si>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</si>
  <si>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</si>
  <si>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</si>
  <si>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</si>
  <si>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</si>
  <si>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</si>
  <si>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</si>
  <si>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</si>
  <si>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</si>
  <si>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</si>
  <si>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</si>
  <si>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</si>
  <si>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</si>
  <si>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</si>
  <si>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</si>
  <si>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</si>
  <si>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</si>
  <si>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</si>
  <si>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</si>
  <si>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</si>
  <si>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</si>
  <si>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</si>
  <si>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</si>
  <si>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</si>
  <si>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</si>
  <si>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</si>
  <si>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</si>
  <si>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</si>
  <si>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</si>
  <si>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</si>
  <si>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</si>
  <si>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</si>
  <si>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</si>
  <si>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</si>
  <si>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</si>
  <si>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</si>
  <si>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</si>
  <si>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</si>
  <si>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</si>
  <si>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</si>
  <si>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</si>
  <si>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</si>
  <si>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</si>
  <si>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</si>
  <si>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</si>
  <si>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</si>
  <si>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</si>
  <si>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</si>
  <si>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</si>
  <si>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</si>
  <si>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</si>
  <si>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</si>
  <si>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</si>
  <si>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</si>
  <si>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</si>
  <si>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</si>
  <si>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</si>
  <si>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</si>
  <si>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</si>
  <si>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</si>
  <si>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</si>
  <si>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</si>
  <si>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</si>
  <si>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</si>
  <si>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</si>
  <si>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</si>
  <si>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</si>
  <si>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</si>
  <si>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</si>
  <si>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</si>
  <si>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</si>
  <si>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</si>
  <si>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</si>
  <si>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</si>
  <si>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</si>
  <si>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</si>
  <si>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</si>
  <si>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</si>
  <si>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</si>
  <si>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</si>
  <si>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</si>
  <si>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</si>
  <si>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</si>
  <si>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</si>
  <si>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</si>
  <si>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</si>
  <si>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</si>
  <si>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</si>
  <si>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</si>
  <si>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</si>
  <si>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</si>
  <si>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</si>
  <si>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</si>
  <si>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</si>
  <si>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</si>
  <si>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</si>
  <si>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</si>
  <si>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</si>
  <si>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</si>
  <si>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</si>
  <si>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</si>
  <si>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</si>
  <si>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</si>
  <si>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</si>
  <si>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</si>
  <si>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</si>
  <si>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</si>
  <si>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</si>
  <si>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</si>
  <si>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</si>
  <si>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</si>
  <si>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</si>
  <si>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</si>
  <si>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</si>
  <si>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</si>
  <si>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</si>
  <si>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</si>
  <si>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</si>
  <si>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</si>
  <si>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</si>
  <si>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</si>
  <si>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</si>
  <si>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</si>
  <si>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</si>
  <si>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</si>
  <si>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</si>
  <si>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</si>
  <si>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</si>
  <si>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</si>
  <si>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</si>
  <si>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</si>
  <si>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</si>
  <si>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</si>
  <si>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</si>
  <si>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</si>
  <si>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</si>
  <si>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</si>
  <si>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</si>
  <si>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</si>
  <si>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</si>
  <si>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</si>
  <si>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</si>
  <si>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</si>
  <si>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</si>
  <si>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</si>
  <si>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</si>
  <si>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</si>
  <si>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</si>
  <si>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</si>
  <si>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</si>
  <si>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</si>
  <si>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</si>
  <si>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</si>
  <si>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</si>
  <si>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</si>
  <si>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</si>
  <si>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</si>
  <si>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</si>
  <si>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</si>
  <si>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</si>
  <si>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</si>
  <si>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</si>
  <si>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</si>
  <si>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</si>
  <si>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</si>
  <si>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</si>
  <si>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</si>
  <si>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</si>
  <si>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</si>
  <si>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</si>
  <si>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</si>
  <si>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</si>
  <si>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</si>
  <si>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</si>
  <si>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</si>
  <si>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</si>
  <si>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</si>
  <si>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</si>
  <si>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</si>
  <si>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</si>
  <si>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</si>
  <si>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</si>
  <si>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</si>
  <si>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</si>
  <si>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</si>
  <si>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</si>
  <si>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</si>
  <si>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</si>
  <si>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</si>
  <si>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</si>
  <si>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</si>
  <si>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</si>
  <si>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</si>
  <si>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</si>
  <si>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</si>
  <si>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</si>
  <si>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</si>
  <si>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</si>
  <si>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</si>
  <si>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</si>
  <si>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</si>
  <si>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</si>
  <si>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</si>
  <si>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</si>
  <si>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</si>
  <si>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</si>
  <si>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</si>
  <si>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</si>
  <si>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</si>
  <si>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</si>
  <si>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</si>
  <si>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</si>
  <si>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</si>
  <si>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</si>
  <si>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</si>
  <si>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</si>
  <si>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</si>
  <si>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</si>
  <si>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</si>
  <si>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</si>
  <si>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</si>
  <si>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</si>
  <si>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</si>
  <si>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</si>
  <si>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</si>
  <si>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</si>
  <si>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</si>
  <si>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</si>
  <si>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</si>
  <si>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</si>
  <si>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</si>
  <si>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</si>
  <si>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</si>
  <si>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</si>
  <si>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</si>
  <si>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</si>
  <si>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</si>
  <si>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</si>
  <si>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</si>
  <si>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</si>
  <si>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</si>
  <si>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</si>
  <si>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</si>
  <si>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</si>
  <si>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</si>
  <si>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</si>
  <si>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</si>
  <si>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</si>
  <si>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</si>
  <si>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</si>
  <si>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</si>
  <si>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</si>
  <si>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</si>
  <si>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</si>
  <si>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</si>
  <si>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</si>
  <si>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</si>
  <si>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</si>
  <si>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</si>
  <si>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</si>
  <si>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</si>
  <si>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</si>
  <si>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</si>
  <si>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</si>
  <si>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</si>
  <si>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</si>
  <si>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</si>
  <si>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</si>
  <si>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</si>
  <si>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</si>
  <si>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</si>
  <si>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</si>
  <si>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</si>
  <si>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</si>
  <si>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</si>
  <si>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</si>
  <si>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</si>
  <si>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</si>
  <si>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</si>
  <si>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</si>
  <si>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</si>
  <si>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</si>
  <si>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</si>
  <si>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</si>
  <si>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</si>
  <si>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</si>
  <si>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</si>
  <si>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</si>
  <si>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</si>
  <si>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</si>
  <si>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</si>
  <si>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</si>
  <si>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</si>
  <si>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</si>
  <si>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</si>
  <si>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</si>
  <si>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</si>
  <si>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</si>
  <si>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</si>
  <si>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</si>
  <si>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</si>
  <si>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</si>
  <si>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</si>
  <si>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</si>
  <si>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</si>
  <si>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</si>
  <si>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</si>
  <si>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</si>
  <si>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</si>
  <si>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</si>
  <si>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</si>
  <si>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</si>
  <si>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</si>
  <si>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</si>
  <si>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</si>
  <si>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</si>
  <si>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</si>
  <si>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</si>
  <si>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</si>
  <si>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</si>
  <si>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</si>
  <si>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</si>
  <si>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</si>
  <si>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</si>
  <si>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</si>
  <si>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</si>
  <si>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</si>
  <si>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</si>
  <si>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</si>
  <si>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</si>
  <si>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</si>
  <si>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</si>
  <si>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</si>
  <si>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</si>
  <si>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</si>
  <si>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</si>
  <si>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</si>
  <si>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</si>
  <si>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</si>
  <si>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</si>
  <si>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</si>
  <si>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</si>
  <si>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</si>
  <si>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</si>
  <si>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</si>
  <si>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</si>
  <si>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</si>
  <si>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</si>
  <si>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</si>
  <si>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</si>
  <si>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</si>
  <si>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</si>
  <si>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</si>
  <si>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</si>
  <si>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</si>
  <si>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</si>
  <si>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</si>
  <si>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</si>
  <si>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</si>
  <si>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</si>
  <si>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</si>
  <si>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</si>
  <si>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</si>
  <si>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</si>
  <si>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</si>
  <si>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</si>
  <si>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</si>
  <si>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</si>
  <si>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</si>
  <si>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</si>
  <si>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</si>
  <si>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</si>
  <si>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</si>
  <si>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</si>
  <si>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</si>
  <si>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</si>
  <si>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</si>
  <si>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</si>
  <si>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</si>
  <si>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</si>
  <si>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</si>
  <si>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</si>
  <si>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</si>
  <si>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</si>
  <si>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</si>
  <si>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</si>
  <si>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</si>
  <si>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</si>
  <si>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</si>
  <si>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</si>
  <si>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</si>
  <si>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</si>
  <si>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</si>
  <si>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</si>
  <si>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</si>
  <si>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</si>
  <si>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</si>
  <si>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</si>
  <si>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</si>
  <si>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</si>
  <si>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</si>
  <si>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</si>
  <si>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</si>
  <si>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</si>
  <si>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</si>
  <si>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</si>
  <si>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</si>
  <si>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</si>
  <si>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</si>
  <si>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</si>
  <si>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</si>
  <si>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</si>
  <si>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</si>
  <si>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</si>
  <si>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</si>
  <si>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</si>
  <si>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</si>
  <si>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</si>
  <si>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</si>
  <si>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</si>
  <si>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</si>
  <si>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</si>
  <si>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</si>
  <si>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</si>
  <si>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</si>
  <si>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</si>
  <si>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</si>
  <si>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</si>
  <si>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</si>
  <si>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</si>
  <si>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</si>
  <si>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</si>
  <si>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</si>
  <si>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</si>
  <si>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</si>
  <si>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</si>
  <si>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</si>
  <si>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</si>
  <si>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</si>
  <si>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</si>
  <si>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</si>
  <si>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</si>
  <si>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</si>
  <si>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</si>
  <si>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</si>
  <si>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</si>
  <si>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</si>
  <si>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</si>
  <si>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</si>
  <si>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</si>
  <si>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</si>
  <si>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</si>
  <si>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</si>
  <si>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</si>
  <si>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</si>
  <si>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</si>
  <si>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</si>
  <si>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</si>
  <si>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</si>
  <si>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</si>
  <si>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</si>
  <si>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</si>
  <si>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</si>
  <si>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</si>
  <si>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</si>
  <si>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</si>
  <si>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</si>
  <si>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</si>
  <si>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</si>
  <si>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</si>
  <si>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</si>
  <si>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</si>
  <si>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</si>
  <si>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</si>
  <si>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</si>
  <si>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</si>
  <si>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</si>
  <si>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</si>
  <si>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</si>
  <si>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</si>
  <si>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</si>
  <si>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</si>
  <si>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</si>
  <si>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</si>
  <si>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</si>
  <si>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</si>
  <si>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</si>
  <si>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</si>
  <si>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</si>
  <si>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</si>
  <si>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</si>
  <si>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</si>
  <si>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</si>
  <si>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</si>
  <si>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</si>
  <si>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</si>
  <si>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</si>
  <si>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</si>
  <si>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</si>
  <si>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</si>
  <si>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</si>
  <si>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</si>
  <si>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</si>
  <si>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</si>
  <si>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</si>
  <si>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</si>
  <si>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</si>
  <si>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</si>
  <si>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</si>
  <si>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</si>
  <si>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</si>
  <si>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</si>
  <si>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</si>
  <si>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</si>
  <si>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</si>
  <si>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</si>
  <si>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</si>
  <si>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</si>
  <si>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</si>
  <si>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</si>
  <si>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</si>
  <si>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</si>
  <si>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</si>
  <si>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</si>
  <si>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</si>
  <si>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</si>
  <si>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</si>
  <si>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</si>
  <si>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</si>
  <si>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</si>
  <si>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</si>
  <si>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</si>
  <si>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</si>
  <si>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</si>
  <si>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</si>
  <si>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</si>
  <si>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</si>
  <si>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</si>
  <si>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</si>
  <si>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</si>
  <si>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</si>
  <si>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</si>
  <si>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</si>
  <si>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</si>
  <si>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</si>
  <si>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</si>
  <si>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</si>
  <si>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</si>
  <si>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</si>
  <si>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</si>
  <si>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</si>
  <si>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</si>
  <si>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</si>
  <si>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</si>
  <si>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</si>
  <si>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</si>
  <si>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</si>
  <si>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</si>
  <si>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</si>
  <si>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</si>
  <si>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</si>
  <si>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</si>
  <si>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</si>
  <si>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</si>
  <si>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</si>
  <si>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</si>
  <si>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</si>
  <si>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</si>
  <si>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</si>
  <si>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</si>
  <si>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</si>
  <si>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</si>
  <si>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</si>
  <si>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</si>
  <si>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</si>
  <si>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</si>
  <si>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</si>
  <si>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</si>
  <si>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</si>
  <si>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</si>
  <si>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</si>
  <si>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</si>
  <si>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</si>
  <si>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</si>
  <si>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</si>
  <si>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</si>
  <si>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</si>
  <si>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</si>
  <si>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</si>
  <si>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</si>
  <si>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</si>
  <si>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</si>
  <si>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</si>
  <si>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</si>
  <si>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</si>
  <si>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</si>
  <si>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</si>
  <si>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</si>
  <si>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</si>
  <si>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</si>
  <si>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</si>
  <si>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</si>
  <si>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</si>
  <si>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</si>
  <si>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</si>
  <si>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</si>
  <si>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</si>
  <si>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t>一般</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</si>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</sst>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176" formatCode="0.0_);[Red]\(0.0\)"/>
    <numFmt numFmtId="41" formatCode="_ * #,##0_ ;_ * \-#,##0_ ;_ * &quot;-&quot;_ ;_ @_ "/>
    <numFmt numFmtId="43" formatCode="_ * #,##0.00_ ;_ * \-#,##0.00_ ;_ * &quot;-&quot;??_ ;_ @_ "/>
    <numFmt numFmtId="177" formatCode="0.0000%"/>
    <numFmt numFmtId="178" formatCode="0_ "/>
    <numFmt numFmtId="179" formatCode="yyyy/m/d;@"/>
    <numFmt numFmtId="180" formatCode="0.00_ "/>
    <numFmt numFmtId="181" formatCode="0_);[Red]\(0\)"/>
    <numFmt numFmtId="182" formatCode="0.0%"/>
    <numFmt numFmtId="183" formatCode="0.0_ "/>
    <numFmt numFmtId="184" formatCode="0.000_ "/>
    <numFmt numFmtId="185" formatCode="0.0000_ "/>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4"/>
      <name val="楷体_GB2312"/>
      <charset val="134"/>
    </font>
    <font>
      <sz val="11"/>
      <name val="楷体_GB2312"/>
      <charset val="134"/>
    </font>
    <font>
      <sz val="11"/>
      <name val="宋体"/>
      <charset val="134"/>
    </font>
    <font>
      <sz val="11"/>
      <name val="宋体"/>
      <charset val="0"/>
      <scheme val="minor"/>
    </font>
    <font>
      <b/>
      <sz val="9"/>
      <name val="宋体"/>
      <charset val="134"/>
    </font>
    <font>
      <sz val="10"/>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6" borderId="0" applyNumberFormat="0" applyBorder="0" applyAlignment="0" applyProtection="0">
      <alignment vertical="center"/>
    </xf>
    <xf numFmtId="0" fontId="151" fillId="24"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52" fillId="33"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6" borderId="179" applyNumberFormat="0" applyFont="0" applyAlignment="0" applyProtection="0">
      <alignment vertical="center"/>
    </xf>
    <xf numFmtId="0" fontId="152" fillId="38" borderId="0" applyNumberFormat="0" applyBorder="0" applyAlignment="0" applyProtection="0">
      <alignment vertical="center"/>
    </xf>
    <xf numFmtId="0" fontId="14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8" fillId="0" borderId="178" applyNumberFormat="0" applyFill="0" applyAlignment="0" applyProtection="0">
      <alignment vertical="center"/>
    </xf>
    <xf numFmtId="0" fontId="0" fillId="0" borderId="0"/>
    <xf numFmtId="0" fontId="155" fillId="0" borderId="178" applyNumberFormat="0" applyFill="0" applyAlignment="0" applyProtection="0">
      <alignment vertical="center"/>
    </xf>
    <xf numFmtId="0" fontId="152" fillId="25" borderId="0" applyNumberFormat="0" applyBorder="0" applyAlignment="0" applyProtection="0">
      <alignment vertical="center"/>
    </xf>
    <xf numFmtId="0" fontId="148" fillId="0" borderId="176" applyNumberFormat="0" applyFill="0" applyAlignment="0" applyProtection="0">
      <alignment vertical="center"/>
    </xf>
    <xf numFmtId="0" fontId="152" fillId="35" borderId="0" applyNumberFormat="0" applyBorder="0" applyAlignment="0" applyProtection="0">
      <alignment vertical="center"/>
    </xf>
    <xf numFmtId="0" fontId="164" fillId="29" borderId="182" applyNumberFormat="0" applyAlignment="0" applyProtection="0">
      <alignment vertical="center"/>
    </xf>
    <xf numFmtId="0" fontId="154" fillId="29" borderId="177" applyNumberFormat="0" applyAlignment="0" applyProtection="0">
      <alignment vertical="center"/>
    </xf>
    <xf numFmtId="0" fontId="165" fillId="41" borderId="183" applyNumberFormat="0" applyAlignment="0" applyProtection="0">
      <alignment vertical="center"/>
    </xf>
    <xf numFmtId="0" fontId="147" fillId="42" borderId="0" applyNumberFormat="0" applyBorder="0" applyAlignment="0" applyProtection="0">
      <alignment vertical="center"/>
    </xf>
    <xf numFmtId="0" fontId="152" fillId="37" borderId="0" applyNumberFormat="0" applyBorder="0" applyAlignment="0" applyProtection="0">
      <alignment vertical="center"/>
    </xf>
    <xf numFmtId="0" fontId="163" fillId="0" borderId="181" applyNumberFormat="0" applyFill="0" applyAlignment="0" applyProtection="0">
      <alignment vertical="center"/>
    </xf>
    <xf numFmtId="0" fontId="162" fillId="0" borderId="180" applyNumberFormat="0" applyFill="0" applyAlignment="0" applyProtection="0">
      <alignment vertical="center"/>
    </xf>
    <xf numFmtId="0" fontId="150" fillId="23" borderId="0" applyNumberFormat="0" applyBorder="0" applyAlignment="0" applyProtection="0">
      <alignment vertical="center"/>
    </xf>
    <xf numFmtId="0" fontId="0" fillId="0" borderId="0">
      <alignment vertical="center"/>
    </xf>
    <xf numFmtId="0" fontId="153" fillId="28" borderId="0" applyNumberFormat="0" applyBorder="0" applyAlignment="0" applyProtection="0">
      <alignment vertical="center"/>
    </xf>
    <xf numFmtId="0" fontId="117" fillId="0" borderId="0">
      <alignment vertical="center"/>
    </xf>
    <xf numFmtId="0" fontId="147" fillId="40" borderId="0" applyNumberFormat="0" applyBorder="0" applyAlignment="0" applyProtection="0">
      <alignment vertical="center"/>
    </xf>
    <xf numFmtId="0" fontId="152" fillId="43" borderId="0" applyNumberFormat="0" applyBorder="0" applyAlignment="0" applyProtection="0">
      <alignment vertical="center"/>
    </xf>
    <xf numFmtId="0" fontId="147" fillId="21" borderId="0" applyNumberFormat="0" applyBorder="0" applyAlignment="0" applyProtection="0">
      <alignment vertical="center"/>
    </xf>
    <xf numFmtId="0" fontId="147" fillId="32" borderId="0" applyNumberFormat="0" applyBorder="0" applyAlignment="0" applyProtection="0">
      <alignment vertical="center"/>
    </xf>
    <xf numFmtId="0" fontId="147" fillId="34" borderId="0" applyNumberFormat="0" applyBorder="0" applyAlignment="0" applyProtection="0">
      <alignment vertical="center"/>
    </xf>
    <xf numFmtId="0" fontId="147" fillId="44" borderId="0" applyNumberFormat="0" applyBorder="0" applyAlignment="0" applyProtection="0">
      <alignment vertical="center"/>
    </xf>
    <xf numFmtId="0" fontId="152" fillId="31" borderId="0" applyNumberFormat="0" applyBorder="0" applyAlignment="0" applyProtection="0">
      <alignment vertical="center"/>
    </xf>
    <xf numFmtId="0" fontId="0" fillId="0" borderId="0">
      <alignment vertical="center"/>
    </xf>
    <xf numFmtId="0" fontId="152" fillId="45" borderId="0" applyNumberFormat="0" applyBorder="0" applyAlignment="0" applyProtection="0">
      <alignment vertical="center"/>
    </xf>
    <xf numFmtId="0" fontId="147" fillId="30" borderId="0" applyNumberFormat="0" applyBorder="0" applyAlignment="0" applyProtection="0">
      <alignment vertical="center"/>
    </xf>
    <xf numFmtId="0" fontId="147" fillId="47"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52" fillId="27" borderId="0" applyNumberFormat="0" applyBorder="0" applyAlignment="0" applyProtection="0">
      <alignment vertical="center"/>
    </xf>
    <xf numFmtId="0" fontId="152" fillId="46" borderId="0" applyNumberFormat="0" applyBorder="0" applyAlignment="0" applyProtection="0">
      <alignment vertical="center"/>
    </xf>
    <xf numFmtId="0" fontId="147" fillId="48" borderId="0" applyNumberFormat="0" applyBorder="0" applyAlignment="0" applyProtection="0">
      <alignment vertical="center"/>
    </xf>
    <xf numFmtId="0" fontId="152" fillId="39"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6"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6" fontId="43" fillId="13" borderId="14" xfId="0" applyNumberFormat="1" applyFont="1" applyFill="1" applyBorder="1" applyAlignment="1" applyProtection="1">
      <alignment horizontal="center" vertical="center"/>
      <protection locked="0"/>
    </xf>
    <xf numFmtId="17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6"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0"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1"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78" fontId="91" fillId="2" borderId="7" xfId="57" applyNumberFormat="1" applyFont="1" applyFill="1" applyBorder="1" applyAlignment="1" applyProtection="1">
      <alignment horizontal="center" vertical="center"/>
    </xf>
    <xf numFmtId="180"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76"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17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6"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3"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6" fontId="90" fillId="0" borderId="0" xfId="0" applyNumberFormat="1" applyFont="1" applyAlignment="1">
      <alignment horizontal="left" vertical="center"/>
    </xf>
    <xf numFmtId="186"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0" customWidth="1"/>
    <col min="2" max="2" width="94.875"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估价对象为北京市房地产，为XX所有。根据《房屋所有权证》[]，估价对象建筑面积为81.9平方米。根据《》[]，估价对象（分摊）出让国有建设用地使用权面积为平方米。估价对象用途为。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81.9</v>
      </c>
    </row>
    <row r="19" spans="1:2">
      <c r="A19" s="3427" t="s">
        <v>19</v>
      </c>
      <c r="B19" s="3431">
        <f ca="1">'预评函-2（1）'!D7</f>
        <v>2771250</v>
      </c>
    </row>
    <row r="20" spans="1:2">
      <c r="A20" s="3427" t="s">
        <v>20</v>
      </c>
      <c r="B20" s="3431" t="str">
        <f>'预评函-2（1）'!C7</f>
        <v>总价（元）</v>
      </c>
    </row>
    <row r="21" spans="1:2">
      <c r="A21" s="3427" t="s">
        <v>21</v>
      </c>
      <c r="B21" s="3431">
        <f ca="1">'预评函-2（1）'!D9</f>
        <v>33837</v>
      </c>
    </row>
    <row r="22" spans="1:2">
      <c r="A22" s="3427" t="s">
        <v>22</v>
      </c>
      <c r="B22" s="3431" t="str">
        <f ca="1">'预评函-2（1）'!D8</f>
        <v>贰佰柒拾柒万壹仟贰佰伍拾元整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2771250</v>
      </c>
    </row>
    <row r="30" spans="1:2">
      <c r="A30" s="3427" t="s">
        <v>30</v>
      </c>
      <c r="B30" s="3431" t="str">
        <f ca="1">'预评函-2（1）'!D16</f>
        <v>贰佰柒拾柒万壹仟贰佰伍拾元整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2302946</v>
      </c>
    </row>
    <row r="38" spans="1:2">
      <c r="A38" s="3427" t="s">
        <v>38</v>
      </c>
      <c r="B38" s="3431">
        <f ca="1">'预评函-2（2）'!E4</f>
        <v>28119</v>
      </c>
    </row>
    <row r="39" spans="1:2">
      <c r="A39" s="3427" t="s">
        <v>39</v>
      </c>
      <c r="B39" s="3431" t="str">
        <f ca="1">'预评函-2（2）'!D5</f>
        <v>贰佰叁拾万贰仟玖佰肆拾陆元整</v>
      </c>
    </row>
    <row r="40" spans="1:2">
      <c r="A40" s="3427" t="s">
        <v>40</v>
      </c>
      <c r="B40" s="3431">
        <f ca="1">'预评函-2（2）'!F4</f>
        <v>468304</v>
      </c>
    </row>
    <row r="41" spans="1:2">
      <c r="A41" s="3427" t="s">
        <v>41</v>
      </c>
      <c r="B41" s="3431">
        <f ca="1">'预评函-2（2）'!G4</f>
        <v>5718</v>
      </c>
    </row>
    <row r="42" s="3418" customFormat="1" ht="15.75" spans="1:2">
      <c r="A42" s="3429" t="s">
        <v>42</v>
      </c>
      <c r="B42" s="3433" t="str">
        <f ca="1">'预评函-2（2）'!F5</f>
        <v>肆拾陆万捌仟叁佰零肆元整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33837</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1" customWidth="1"/>
    <col min="2" max="2" width="15" style="3091" customWidth="1"/>
    <col min="3" max="3" width="14.125" style="3091" customWidth="1"/>
    <col min="4" max="4" width="12.5" style="3091" customWidth="1"/>
    <col min="5" max="5" width="13.875" style="3091" customWidth="1"/>
    <col min="6" max="6" width="15" style="3091" customWidth="1"/>
    <col min="7" max="7" width="14.875" style="3091" customWidth="1"/>
    <col min="8" max="8" width="4.25"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81.9</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8 C18:C19">
      <formula1>"原件,复印件,——"</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3" customWidth="1"/>
    <col min="2" max="2" width="10.625" style="3083" customWidth="1"/>
    <col min="3" max="3" width="15.75" style="3083" customWidth="1"/>
    <col min="4" max="7" width="9.5" style="3083" customWidth="1"/>
    <col min="8" max="13" width="9.125"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9" zoomScaleNormal="90" workbookViewId="0">
      <pane xSplit="3" ySplit="11" topLeftCell="E12" activePane="bottomRight" state="frozen"/>
      <selection/>
      <selection pane="topRight"/>
      <selection pane="bottomLeft"/>
      <selection pane="bottomRight" activeCell="K18" sqref="K18"/>
    </sheetView>
  </sheetViews>
  <sheetFormatPr defaultColWidth="13.75" defaultRowHeight="12.75"/>
  <cols>
    <col min="1" max="1" width="20.875" style="2972" customWidth="1"/>
    <col min="2" max="2" width="16.75" style="2895" customWidth="1"/>
    <col min="3" max="3" width="18.25" style="2896" customWidth="1"/>
    <col min="4" max="4" width="34.125" style="2973" customWidth="1"/>
    <col min="5" max="5" width="17.625" style="2973" customWidth="1"/>
    <col min="6" max="6" width="15.5" style="2974" customWidth="1"/>
    <col min="7" max="8" width="9.125" style="2975" customWidth="1"/>
    <col min="9" max="9" width="15" style="2896" customWidth="1"/>
    <col min="10" max="14" width="8.875" style="2896" customWidth="1"/>
    <col min="15" max="16" width="12.375" style="2896" customWidth="1"/>
    <col min="17" max="17" width="8.625" style="2896" customWidth="1"/>
    <col min="18" max="18" width="12.5" style="2896" customWidth="1"/>
    <col min="19" max="19" width="8.5" style="2896" customWidth="1"/>
    <col min="20" max="21" width="10.875" style="2896" customWidth="1"/>
    <col min="22" max="23" width="12.5" style="2896" customWidth="1"/>
    <col min="24" max="24" width="12.125" style="2896" customWidth="1"/>
    <col min="25" max="25" width="7.5" style="2896" customWidth="1"/>
    <col min="26" max="26" width="6.375" style="2896" customWidth="1"/>
    <col min="27" max="32" width="6.75" style="2896" customWidth="1"/>
    <col min="33" max="33" width="6.5" style="2896" customWidth="1"/>
    <col min="34" max="36" width="7.25" style="2896" customWidth="1"/>
    <col min="37" max="41" width="8" style="2896" customWidth="1"/>
    <col min="42" max="16384" width="13.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81.9</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163800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51</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899" customWidth="1"/>
    <col min="2" max="2" width="24.5" style="2900" customWidth="1"/>
    <col min="3" max="3" width="28.375" style="2901" customWidth="1"/>
    <col min="4" max="4" width="2.625" style="2901" customWidth="1"/>
    <col min="5" max="5" width="5.875" style="2901" customWidth="1"/>
    <col min="6" max="6" width="27" style="2900" customWidth="1"/>
    <col min="7" max="7" width="32.375" style="2902" customWidth="1"/>
    <col min="8" max="8" width="11.875" style="2903" customWidth="1"/>
    <col min="9" max="9" width="16.75" style="2904" customWidth="1"/>
    <col min="10" max="10" width="2.625" style="2903" customWidth="1"/>
    <col min="11" max="11" width="11.875" style="2903" customWidth="1"/>
    <col min="12" max="12" width="16.75" style="2904" customWidth="1"/>
    <col min="13" max="13" width="2.625" style="2903" customWidth="1"/>
    <col min="14" max="14" width="11.875" style="2903" customWidth="1"/>
    <col min="15" max="15" width="16.75" style="2904" customWidth="1"/>
    <col min="16" max="16" width="2.625" style="2903" customWidth="1"/>
    <col min="17" max="17" width="11.875" style="2903" customWidth="1"/>
    <col min="18" max="18" width="16.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25" defaultRowHeight="13.5"/>
  <cols>
    <col min="1" max="1" width="24.375" style="2880" customWidth="1"/>
    <col min="2" max="16384" width="14.625" style="2880"/>
  </cols>
  <sheetData>
    <row r="1" ht="16.5" spans="1:7">
      <c r="A1" s="2881" t="s">
        <v>577</v>
      </c>
      <c r="B1" s="2881">
        <f>SUM(B14:B23)</f>
        <v>81.9</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277.125</v>
      </c>
      <c r="C5" s="2881">
        <f ca="1">ROUND(B5*10000/$B$1,0)</f>
        <v>33837</v>
      </c>
      <c r="D5" s="2881" t="e">
        <f ca="1">ROUND(B5*10000/$B$2,0)</f>
        <v>#DIV/0!</v>
      </c>
      <c r="E5" s="2882"/>
      <c r="F5" s="2883"/>
      <c r="G5" s="2883"/>
    </row>
    <row r="6" ht="16.5" spans="1:7">
      <c r="A6" s="2881" t="s">
        <v>585</v>
      </c>
      <c r="B6" s="2881">
        <f ca="1">SUM(G14:G23)</f>
        <v>277.125</v>
      </c>
      <c r="C6" s="2881">
        <f ca="1" t="shared" ref="C6:C8" si="0">ROUND(B6*10000/$B$1,0)</f>
        <v>33837</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81.9</v>
      </c>
      <c r="C14" s="2889">
        <f>项目基本情况!C13</f>
        <v>0</v>
      </c>
      <c r="D14" s="2889">
        <f ca="1">IF('数据-取费表'!B3="万元",IF(A14="估价对象1（结果表）",结果表!H121,'结果表 (1修多)'!H125),IF(A14="估价对象1（结果表）",结果表!H121,'结果表 (1修多)'!H125)/10000)</f>
        <v>277.125</v>
      </c>
      <c r="E14" s="2889">
        <f ca="1">ROUND(D14*10000/B14,0)</f>
        <v>33837</v>
      </c>
      <c r="F14" s="2889" t="e">
        <f ca="1">ROUND(D14*10000/C14,0)</f>
        <v>#DIV/0!</v>
      </c>
      <c r="G14" s="2889">
        <f ca="1">IF('数据-取费表'!B3="万元",IF(A14="估价对象1（结果表）",结果表!D125,'结果表 (1修多)'!D129),IF(A14="估价对象1（结果表）",结果表!D125,'结果表 (1修多)'!D129)/10000)</f>
        <v>277.125</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37" sqref="C37"/>
    </sheetView>
  </sheetViews>
  <sheetFormatPr defaultColWidth="12.625" defaultRowHeight="21.75" customHeight="1"/>
  <cols>
    <col min="1" max="2" width="12.625" style="2423"/>
    <col min="3" max="4" width="12.625" style="2423" customWidth="1"/>
    <col min="5" max="9" width="12.625" style="2423"/>
    <col min="10" max="10" width="3.6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909433</v>
      </c>
      <c r="D19" s="2446">
        <f ca="1">SUMIF(INDIRECT("'"&amp;D4&amp;"'"&amp;"!A:A"),结果表!B19,INDIRECT("'"&amp;D4&amp;"'"&amp;"!B:B"))</f>
        <v>3236688</v>
      </c>
      <c r="E19" s="2443" t="s">
        <v>635</v>
      </c>
      <c r="F19" s="2444" t="s">
        <v>634</v>
      </c>
      <c r="G19" s="2447">
        <f ca="1">ROUND(C19*$C$18+D19*$D$18,0)</f>
        <v>2771237</v>
      </c>
      <c r="H19" s="2448" t="str">
        <f>'数据-取费表'!B3</f>
        <v>元</v>
      </c>
      <c r="I19" s="2822"/>
      <c r="J19" s="2823"/>
    </row>
    <row r="20" ht="15" spans="1:10">
      <c r="A20" s="2449"/>
      <c r="B20" s="1311" t="s">
        <v>636</v>
      </c>
      <c r="C20" s="1218">
        <f ca="1">SUMIF(INDIRECT("'"&amp;C4&amp;"'"&amp;"!A:A"),结果表!B20,INDIRECT("'"&amp;C4&amp;"'"&amp;"!B:B"))</f>
        <v>11104</v>
      </c>
      <c r="D20" s="2386">
        <f ca="1">SUMIF(INDIRECT("'"&amp;D4&amp;"'"&amp;"!A:A"),结果表!B20,INDIRECT("'"&amp;D4&amp;"'"&amp;"!B:B"))</f>
        <v>39520</v>
      </c>
      <c r="E20" s="2449"/>
      <c r="F20" s="1311" t="s">
        <v>636</v>
      </c>
      <c r="G20" s="1242">
        <f ca="1">ROUND(C20*$C$18+D20*$D$18,0)</f>
        <v>33837</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2.55901754169906</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5"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33837</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28119</v>
      </c>
      <c r="D34" s="2805">
        <f ca="1">IF(D33="自定义",ROUND(C34/C32,3),1-D35)</f>
        <v>0.831</v>
      </c>
      <c r="E34" s="2806" t="s">
        <v>651</v>
      </c>
      <c r="F34" s="2807">
        <v>2000</v>
      </c>
      <c r="G34" s="2082"/>
      <c r="H34" s="2082"/>
      <c r="I34" s="2082"/>
      <c r="J34" s="2561"/>
    </row>
    <row r="35" ht="15.75" spans="1:10">
      <c r="A35" s="2486"/>
      <c r="B35" s="2808" t="s">
        <v>652</v>
      </c>
      <c r="C35" s="2809">
        <f ca="1">IF(D33="自定义",F35,ROUND(C32*D35,0))</f>
        <v>5718</v>
      </c>
      <c r="D35" s="2810">
        <f ca="1">IF(D33="自定义",ROUND(C35/C32,3),IF(D33="成本法成本比率",成本法!C56,IF(D33="收益法收益比率",收益法!J38,收益法!J41)))</f>
        <v>0.169</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2771250</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147800</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2771250</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5"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147800</v>
      </c>
      <c r="E52" s="1985" t="s">
        <v>697</v>
      </c>
      <c r="F52" s="2541">
        <f>'数据-取费表'!E29</f>
        <v>0.056</v>
      </c>
      <c r="G52" s="2542"/>
      <c r="H52" s="2082"/>
      <c r="I52" s="2582"/>
      <c r="J52" s="2581"/>
      <c r="K52" s="2829">
        <v>1</v>
      </c>
      <c r="L52" s="2829" t="s">
        <v>698</v>
      </c>
      <c r="M52" s="2829"/>
      <c r="N52" s="2833">
        <f ca="1">D48</f>
        <v>147800</v>
      </c>
      <c r="O52" s="2829" t="str">
        <f>E48</f>
        <v>销售额×税（费）率</v>
      </c>
      <c r="P52" s="2834">
        <f>F48</f>
        <v>0.056</v>
      </c>
      <c r="Q52" s="2422"/>
    </row>
    <row r="53" ht="12" customHeight="1" spans="1:17">
      <c r="A53" s="2540" t="s">
        <v>699</v>
      </c>
      <c r="B53" s="1963" t="s">
        <v>700</v>
      </c>
      <c r="C53" s="2543"/>
      <c r="D53" s="1980">
        <f ca="1">ROUND(D45*'数据-取费表'!E29/(1+'数据-取费表'!F30),0)</f>
        <v>147800</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147800</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147800</v>
      </c>
      <c r="P57" s="2845"/>
      <c r="Q57" s="2608" t="e">
        <f ca="1">O57/N49</f>
        <v>#VALUE!</v>
      </c>
    </row>
    <row r="58" ht="24.75" spans="1:17">
      <c r="A58" s="2540" t="s">
        <v>695</v>
      </c>
      <c r="B58" s="1963" t="s">
        <v>714</v>
      </c>
      <c r="C58" s="1964"/>
      <c r="D58" s="2044">
        <f ca="1">IF(H58="转让取得",C81,C97)</f>
        <v>1568527</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壹拾肆万柒仟捌佰元整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2639286</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2771250</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2639286</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147800</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2639286</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15836</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15836</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2623450</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165.663677696388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1568527</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2639286</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15836</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15836</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2623450</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165.663677696388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1568527</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909433</v>
      </c>
      <c r="D101" s="2680">
        <f ca="1">D19</f>
        <v>3236688</v>
      </c>
      <c r="E101" s="2426"/>
      <c r="F101" s="2675" t="str">
        <f>项目基本情况!I1</f>
        <v>北京市房地产</v>
      </c>
      <c r="G101" s="2676"/>
      <c r="H101" s="2683">
        <f>项目基本情况!C12</f>
        <v>81.9</v>
      </c>
      <c r="I101" s="2742"/>
      <c r="J101" s="2743"/>
    </row>
    <row r="102" ht="13.5" spans="1:10">
      <c r="A102" s="551"/>
      <c r="B102" s="518" t="s">
        <v>800</v>
      </c>
      <c r="C102" s="2684">
        <f ca="1">C20</f>
        <v>11104</v>
      </c>
      <c r="D102" s="2685">
        <f ca="1">D20</f>
        <v>39520</v>
      </c>
      <c r="E102" s="2426"/>
      <c r="F102" s="2633" t="s">
        <v>801</v>
      </c>
      <c r="G102" s="2148"/>
      <c r="H102" s="2686" t="str">
        <f>C106</f>
        <v>总价（元）</v>
      </c>
      <c r="I102" s="2703">
        <f ca="1">H121</f>
        <v>2771250</v>
      </c>
      <c r="J102" s="2743"/>
    </row>
    <row r="103" ht="13.5" spans="1:10">
      <c r="A103" s="551" t="s">
        <v>802</v>
      </c>
      <c r="B103" s="519" t="str">
        <f>B101</f>
        <v>总价（元）</v>
      </c>
      <c r="C103" s="2690">
        <f ca="1">H121</f>
        <v>2771250</v>
      </c>
      <c r="D103" s="2687"/>
      <c r="E103" s="2426"/>
      <c r="F103" s="2633"/>
      <c r="G103" s="2148"/>
      <c r="H103" s="2686" t="s">
        <v>800</v>
      </c>
      <c r="I103" s="2616">
        <f ca="1">I121</f>
        <v>33837</v>
      </c>
      <c r="J103" s="2560"/>
    </row>
    <row r="104" ht="14.25" spans="1:10">
      <c r="A104" s="567"/>
      <c r="B104" s="2695" t="s">
        <v>800</v>
      </c>
      <c r="C104" s="2696">
        <f ca="1">I121</f>
        <v>33837</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2771250</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33837</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2771250</v>
      </c>
      <c r="J110" s="2743"/>
    </row>
    <row r="111" ht="13.5" spans="1:10">
      <c r="A111" s="2698" t="s">
        <v>807</v>
      </c>
      <c r="B111" s="2699"/>
      <c r="C111" s="2694" t="str">
        <f>C108</f>
        <v>总额（元）</v>
      </c>
      <c r="D111" s="2616">
        <f>C38</f>
        <v>0</v>
      </c>
      <c r="E111" s="2426"/>
      <c r="F111" s="2707"/>
      <c r="G111" s="2524"/>
      <c r="H111" s="2686" t="s">
        <v>800</v>
      </c>
      <c r="I111" s="2750">
        <f ca="1">D113</f>
        <v>33837</v>
      </c>
      <c r="J111" s="2751"/>
    </row>
    <row r="112" ht="26.25" customHeight="1" spans="1:10">
      <c r="A112" s="2633" t="str">
        <f>IF(项目基本情况!F5="已注销","——","3.房地产抵押价值")</f>
        <v>3.房地产抵押价值</v>
      </c>
      <c r="B112" s="2148"/>
      <c r="C112" s="2686" t="str">
        <f>B101</f>
        <v>总价（元）</v>
      </c>
      <c r="D112" s="2703">
        <f ca="1">IF(A112="——","——",D106-D108)</f>
        <v>2771250</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33837</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81.9</v>
      </c>
      <c r="C121" s="1985">
        <f>项目基本情况!C13</f>
        <v>0</v>
      </c>
      <c r="D121" s="1985">
        <f ca="1">ROUND(IF(B32="总价",C34,IF('数据-取费表'!B3="万元",E121*B121/10000,E121*B121)),0)</f>
        <v>2302946</v>
      </c>
      <c r="E121" s="1985">
        <f ca="1">ROUND(IF(B32="楼面单价",C34,IF(H19="元",D121/B121,D121*10000/B121)),0)</f>
        <v>28119</v>
      </c>
      <c r="F121" s="1985">
        <f ca="1">ROUND(IF(B32="总价",C35,IF('数据-取费表'!B3="万元",G121*B121/10000,G121*B121)),0)</f>
        <v>468304</v>
      </c>
      <c r="G121" s="1985">
        <f ca="1">ROUND(IF(B32="楼面单价",C35,IF(H19="元",F121/B121,F121*10000/B121)),0)</f>
        <v>5718</v>
      </c>
      <c r="H121" s="1985">
        <f ca="1">ROUND(IF(B32="总价",C32,IF('数据-取费表'!B3="万元",I121*B121/10000,I121*B121)),0)</f>
        <v>2771250</v>
      </c>
      <c r="I121" s="2616">
        <f ca="1">ROUND(IF(B32="楼面单价",C32,IF(H19="元",H121/B121,H121*10000/B121)),0)</f>
        <v>33837</v>
      </c>
      <c r="J121" s="2560"/>
    </row>
    <row r="122" ht="13.5" spans="1:10">
      <c r="A122" s="2540" t="s">
        <v>815</v>
      </c>
      <c r="B122" s="1985"/>
      <c r="C122" s="1985"/>
      <c r="D122" s="2720" t="str">
        <f ca="1">IF(H19="元",NUMBERSTRING(INT(D121),2)&amp;"元整",NUMBERSTRING(INT(D121*10000),2)&amp;"元整")</f>
        <v>贰佰叁拾万贰仟玖佰肆拾陆元整</v>
      </c>
      <c r="E122" s="2721"/>
      <c r="F122" s="2720" t="str">
        <f ca="1">IF(H19="元",NUMBERSTRING(INT(F121),2)&amp;"元整",NUMBERSTRING(INT(F121*10000),2)&amp;"元整")</f>
        <v>肆拾陆万捌仟叁佰零肆元整</v>
      </c>
      <c r="G122" s="2721"/>
      <c r="H122" s="2720" t="str">
        <f ca="1">IF(H19="元",NUMBERSTRING(INT(H121),2)&amp;"元整",NUMBERSTRING(INT(H121*10000),2)&amp;"元整")</f>
        <v>贰佰柒拾柒万壹仟贰佰伍拾元整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2771250</v>
      </c>
      <c r="E125" s="2677"/>
      <c r="F125" s="2677"/>
      <c r="G125" s="2677"/>
      <c r="H125" s="2677"/>
      <c r="I125" s="2742"/>
      <c r="J125" s="2743"/>
    </row>
    <row r="126" ht="13.5" spans="1:10">
      <c r="A126" s="2540" t="s">
        <v>815</v>
      </c>
      <c r="B126" s="1985"/>
      <c r="C126" s="1985"/>
      <c r="D126" s="2723">
        <f ca="1">I111</f>
        <v>33837</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3"/>
    <col min="2" max="2" width="17.625" style="2423" customWidth="1"/>
    <col min="3" max="4" width="12.625" style="2423" customWidth="1"/>
    <col min="5" max="9" width="12.625" style="2423"/>
    <col min="10" max="10" width="4.1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5"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5"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16" workbookViewId="0">
      <selection activeCell="R49" sqref="R49:W49"/>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3236688</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81.9</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340" t="s">
        <v>904</v>
      </c>
      <c r="F26" s="1609">
        <f>SUMIF(88:88,E26,89:89)-SUMIF(88:88,C26,89:89)+100</f>
        <v>99</v>
      </c>
      <c r="G26" s="1186" t="s">
        <v>903</v>
      </c>
      <c r="H26" s="1138">
        <f>SUMIF(88:88,G26,89:89)-SUMIF(88:88,C26,89:89)+100</f>
        <v>100</v>
      </c>
      <c r="I26" s="2340" t="s">
        <v>903</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905</v>
      </c>
      <c r="C27" s="1128">
        <v>1</v>
      </c>
      <c r="D27" s="1603">
        <v>100</v>
      </c>
      <c r="E27" s="1131" t="s">
        <v>769</v>
      </c>
      <c r="F27" s="1678">
        <f>SUMIF(90:90,E27,91:91)-SUMIF(90:90,C27,91:91)+100</f>
        <v>101</v>
      </c>
      <c r="G27" s="1130" t="s">
        <v>906</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908</v>
      </c>
      <c r="C32" s="1679" t="s">
        <v>909</v>
      </c>
      <c r="D32" s="1184">
        <v>100</v>
      </c>
      <c r="E32" s="2342" t="s">
        <v>909</v>
      </c>
      <c r="F32" s="1609">
        <f>SUMIF(100:100,E32,101:101)-SUMIF(100:100,C32,101:101)+100</f>
        <v>100</v>
      </c>
      <c r="G32" s="1679" t="s">
        <v>909</v>
      </c>
      <c r="H32" s="1184">
        <f>SUMIF(100:100,G32,101:101)-SUMIF(100:100,C32,101:101)+100</f>
        <v>100</v>
      </c>
      <c r="I32" s="2342" t="s">
        <v>909</v>
      </c>
      <c r="J32" s="1138">
        <f>SUMIF(100:100,I32,101:101)-SUMIF(100:100,C32,101:101)+100</f>
        <v>100</v>
      </c>
      <c r="K32" s="2354"/>
      <c r="L32" s="1251"/>
      <c r="M32" s="1236"/>
      <c r="N32" s="1236"/>
      <c r="O32" s="1236"/>
      <c r="P32" s="1688" t="s">
        <v>910</v>
      </c>
      <c r="Q32" s="491" t="str">
        <f t="shared" si="11"/>
        <v>建筑类型</v>
      </c>
      <c r="R32" s="1295" t="s">
        <v>885</v>
      </c>
      <c r="S32" s="1296">
        <f t="shared" si="12"/>
        <v>100</v>
      </c>
      <c r="T32" s="1295" t="s">
        <v>885</v>
      </c>
      <c r="U32" s="1296">
        <f t="shared" si="13"/>
        <v>100</v>
      </c>
      <c r="V32" s="1295" t="s">
        <v>885</v>
      </c>
      <c r="W32" s="1296">
        <f t="shared" si="14"/>
        <v>100</v>
      </c>
      <c r="X32" s="1282"/>
      <c r="Y32" s="1267" t="s">
        <v>910</v>
      </c>
      <c r="Z32" s="1281" t="str">
        <f t="shared" si="15"/>
        <v>建筑类型</v>
      </c>
      <c r="AA32" s="1312">
        <f t="shared" si="3"/>
        <v>1</v>
      </c>
      <c r="AB32" s="1312">
        <f t="shared" si="4"/>
        <v>1</v>
      </c>
      <c r="AC32" s="1312">
        <f t="shared" si="5"/>
        <v>1</v>
      </c>
    </row>
    <row r="33" s="1082" customFormat="1" ht="15" spans="1:29">
      <c r="A33" s="1190"/>
      <c r="B33" s="1127" t="s">
        <v>911</v>
      </c>
      <c r="C33" s="1610">
        <f>项目基本情况!C12</f>
        <v>81.9</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914</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915</v>
      </c>
      <c r="C36" s="1186" t="s">
        <v>916</v>
      </c>
      <c r="D36" s="1138">
        <v>100</v>
      </c>
      <c r="E36" s="2340" t="s">
        <v>916</v>
      </c>
      <c r="F36" s="1609">
        <f>SUMIF(109:109,E36,110:110)-SUMIF(109:109,C36,110:110)+100</f>
        <v>100</v>
      </c>
      <c r="G36" s="1186" t="s">
        <v>916</v>
      </c>
      <c r="H36" s="1138">
        <f>SUMIF(109:109,G36,110:110)-SUMIF(109:109,C36,110:110)+100</f>
        <v>100</v>
      </c>
      <c r="I36" s="2340" t="s">
        <v>916</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917</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918</v>
      </c>
      <c r="C38" s="1186" t="s">
        <v>919</v>
      </c>
      <c r="D38" s="1138">
        <v>100</v>
      </c>
      <c r="E38" s="2340" t="s">
        <v>919</v>
      </c>
      <c r="F38" s="1609">
        <f>SUMIF(114:114,E38,115:115)-SUMIF(114:114,C38,115:115)+100</f>
        <v>100</v>
      </c>
      <c r="G38" s="1186" t="s">
        <v>919</v>
      </c>
      <c r="H38" s="1138">
        <f>SUMIF(114:114,G38,115:115)-SUMIF(114:114,C38,115:115)+100</f>
        <v>100</v>
      </c>
      <c r="I38" s="2340" t="s">
        <v>919</v>
      </c>
      <c r="J38" s="1138">
        <f>SUMIF(114:114,I38,115:115)-SUMIF(114:114,C38,115:115)+100</f>
        <v>100</v>
      </c>
      <c r="K38" s="2354"/>
      <c r="L38" s="1251"/>
      <c r="M38" s="1236"/>
      <c r="N38" s="1236"/>
      <c r="O38" s="1236"/>
      <c r="P38" s="1689" t="s">
        <v>910</v>
      </c>
      <c r="Q38" s="491" t="str">
        <f t="shared" si="11"/>
        <v>物业管理</v>
      </c>
      <c r="R38" s="1295" t="s">
        <v>885</v>
      </c>
      <c r="S38" s="1296">
        <f t="shared" si="12"/>
        <v>100</v>
      </c>
      <c r="T38" s="1295" t="s">
        <v>885</v>
      </c>
      <c r="U38" s="1296">
        <f t="shared" si="13"/>
        <v>100</v>
      </c>
      <c r="V38" s="1295" t="s">
        <v>885</v>
      </c>
      <c r="W38" s="1296">
        <f t="shared" si="14"/>
        <v>100</v>
      </c>
      <c r="X38" s="1282"/>
      <c r="Y38" s="1267" t="s">
        <v>910</v>
      </c>
      <c r="Z38" s="1281" t="str">
        <f t="shared" si="15"/>
        <v>物业管理</v>
      </c>
      <c r="AA38" s="1312">
        <f t="shared" si="3"/>
        <v>1</v>
      </c>
      <c r="AB38" s="1312">
        <f t="shared" si="4"/>
        <v>1</v>
      </c>
      <c r="AC38" s="1312">
        <f t="shared" si="5"/>
        <v>1</v>
      </c>
    </row>
    <row r="39" ht="15" spans="1:29">
      <c r="A39" s="1185"/>
      <c r="B39" s="1127" t="s">
        <v>920</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921</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923</v>
      </c>
      <c r="C42" s="1186" t="s">
        <v>924</v>
      </c>
      <c r="D42" s="1138">
        <v>100</v>
      </c>
      <c r="E42" s="2340" t="s">
        <v>925</v>
      </c>
      <c r="F42" s="1609">
        <f>SUMIF(122:122,E42,123:123)-SUMIF(122:122,C42,123:123)+100</f>
        <v>102</v>
      </c>
      <c r="G42" s="1186" t="s">
        <v>925</v>
      </c>
      <c r="H42" s="1138">
        <f>SUMIF(122:122,G42,123:123)-SUMIF(122:122,C42,123:123)+100</f>
        <v>102</v>
      </c>
      <c r="I42" s="2340" t="s">
        <v>925</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926</v>
      </c>
      <c r="D43" s="1138">
        <v>100</v>
      </c>
      <c r="E43" s="2340" t="s">
        <v>927</v>
      </c>
      <c r="F43" s="1609">
        <f>SUMIF(124:124,E43,125:125)-SUMIF(124:124,C43,125:125)+100</f>
        <v>101</v>
      </c>
      <c r="G43" s="1186" t="s">
        <v>898</v>
      </c>
      <c r="H43" s="1138">
        <f>SUMIF(124:124,G43,125:125)-SUMIF(124:124,C43,125:125)+100</f>
        <v>102</v>
      </c>
      <c r="I43" s="2340" t="s">
        <v>927</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901</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902</v>
      </c>
      <c r="C88" s="2372" t="s">
        <v>950</v>
      </c>
      <c r="D88" s="2372" t="s">
        <v>903</v>
      </c>
      <c r="E88" s="2372" t="s">
        <v>904</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907</v>
      </c>
      <c r="B100" s="1341" t="s">
        <v>908</v>
      </c>
      <c r="C100" s="2373" t="s">
        <v>909</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911</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912</v>
      </c>
      <c r="C105" s="2372" t="s">
        <v>913</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914</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915</v>
      </c>
      <c r="C109" s="2372" t="s">
        <v>916</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918</v>
      </c>
      <c r="C114" s="2372" t="s">
        <v>919</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920</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921</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923</v>
      </c>
      <c r="C122" s="2372" t="s">
        <v>951</v>
      </c>
      <c r="D122" s="2372" t="s">
        <v>925</v>
      </c>
      <c r="E122" s="2372" t="s">
        <v>916</v>
      </c>
      <c r="F122" s="2374" t="s">
        <v>924</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38 E38 G38 I38">
      <formula1>住宅物业管理</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M1"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623406</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7612</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81.9</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81.9</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195741</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163800</v>
      </c>
      <c r="D34" s="2281"/>
      <c r="E34" s="2284"/>
      <c r="F34" s="2318" t="str">
        <f>IF('数据-取费表'!B26=0,"",'数据-取费表'!E20)</f>
        <v/>
      </c>
      <c r="G34" s="2283"/>
    </row>
    <row r="35" ht="13.5" customHeight="1" spans="1:7">
      <c r="A35" s="2278" t="s">
        <v>981</v>
      </c>
      <c r="B35" s="2279" t="s">
        <v>1039</v>
      </c>
      <c r="C35" s="2284">
        <f>ROUND(C34*F35,0)</f>
        <v>4914</v>
      </c>
      <c r="D35" s="2284"/>
      <c r="E35" s="2284"/>
      <c r="F35" s="2319">
        <f>'数据-取费表'!E21</f>
        <v>0.03</v>
      </c>
      <c r="G35" s="2283" t="s">
        <v>1040</v>
      </c>
    </row>
    <row r="36" ht="24" spans="1:7">
      <c r="A36" s="2278" t="s">
        <v>983</v>
      </c>
      <c r="B36" s="2279" t="s">
        <v>1041</v>
      </c>
      <c r="C36" s="2284">
        <f>ROUND(IF('数据-取费表'!B10="住宅",C34*F36,0),0)</f>
        <v>8190</v>
      </c>
      <c r="D36" s="2284"/>
      <c r="E36" s="2284"/>
      <c r="F36" s="2319">
        <f>'数据-取费表'!E22</f>
        <v>0.05</v>
      </c>
      <c r="G36" s="2320" t="s">
        <v>1042</v>
      </c>
    </row>
    <row r="37" s="2259" customFormat="1" ht="13.5" customHeight="1" spans="1:7">
      <c r="A37" s="2278" t="s">
        <v>1024</v>
      </c>
      <c r="B37" s="2279" t="s">
        <v>1043</v>
      </c>
      <c r="C37" s="2284">
        <f>ROUND(E37*D37,0)</f>
        <v>16380</v>
      </c>
      <c r="D37" s="2281">
        <f>IF(B1="仅计算典型户型",'数据-取费表'!E5,'数据-取费表'!B5)</f>
        <v>81.9</v>
      </c>
      <c r="E37" s="2284">
        <f>'数据-取费表'!E23</f>
        <v>200</v>
      </c>
      <c r="F37" s="2319"/>
      <c r="G37" s="2321" t="s">
        <v>1044</v>
      </c>
    </row>
    <row r="38" ht="13.5" customHeight="1" spans="1:7">
      <c r="A38" s="2278" t="s">
        <v>1045</v>
      </c>
      <c r="B38" s="2279" t="s">
        <v>761</v>
      </c>
      <c r="C38" s="2284">
        <f>ROUND(C34*F38,0)</f>
        <v>2457</v>
      </c>
      <c r="D38" s="2284"/>
      <c r="E38" s="2284"/>
      <c r="F38" s="2319">
        <f>'数据-取费表'!E24</f>
        <v>0.015</v>
      </c>
      <c r="G38" s="2283" t="s">
        <v>1040</v>
      </c>
    </row>
    <row r="39" s="2257" customFormat="1" ht="13.5" customHeight="1" spans="1:123">
      <c r="A39" s="2273" t="s">
        <v>1006</v>
      </c>
      <c r="B39" s="2274" t="s">
        <v>1010</v>
      </c>
      <c r="C39" s="2297">
        <f>ROUND(C33*F20,0)</f>
        <v>1957</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8600</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8515</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19770</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19770</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241706</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153483</v>
      </c>
      <c r="D51" s="2297"/>
      <c r="E51" s="2297"/>
      <c r="F51" s="2328"/>
      <c r="G51" s="2299" t="s">
        <v>1061</v>
      </c>
    </row>
    <row r="52" s="2256" customFormat="1" ht="16.5" spans="1:123">
      <c r="A52" s="2329" t="s">
        <v>1062</v>
      </c>
      <c r="B52" s="2330"/>
      <c r="C52" s="2331">
        <f ca="1">C31+C51</f>
        <v>623406</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0.246</v>
      </c>
    </row>
    <row r="57" spans="2:3">
      <c r="B57" s="2088" t="s">
        <v>1065</v>
      </c>
      <c r="C57" s="2089">
        <f ca="1">1-C56</f>
        <v>0.754</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E13" workbookViewId="0">
      <selection activeCell="F33" sqref="F33"/>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909433</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11104</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45167</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45111</v>
      </c>
      <c r="D6" s="1929" t="s">
        <v>1143</v>
      </c>
      <c r="E6" s="1930" t="s">
        <v>1144</v>
      </c>
      <c r="F6" s="1931">
        <f>'数据-取费表'!B30</f>
        <v>51</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81.9</v>
      </c>
      <c r="G7" s="1921"/>
      <c r="H7" s="1936"/>
      <c r="I7" s="1933"/>
      <c r="J7" s="1934"/>
      <c r="K7" s="1935"/>
      <c r="L7" s="1930" t="s">
        <v>1145</v>
      </c>
      <c r="M7" s="1931">
        <f>IF('数据-取费表'!B42="",IF(D1="仅计算典型户型",'数据-取费表'!E5,'数据-取费表'!B5),'数据-取费表'!B42)</f>
        <v>81.9</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56</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153483</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163800</v>
      </c>
      <c r="D14" s="1963" t="s">
        <v>1161</v>
      </c>
      <c r="E14" s="1964"/>
      <c r="F14" s="1965"/>
      <c r="G14" s="1948"/>
      <c r="H14" s="1961" t="s">
        <v>1072</v>
      </c>
      <c r="I14" s="1930" t="s">
        <v>1162</v>
      </c>
      <c r="J14" s="1763">
        <f ca="1">C29</f>
        <v>241706</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4914</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8190</v>
      </c>
      <c r="D16" s="1930" t="s">
        <v>1163</v>
      </c>
      <c r="E16" s="1930" t="s">
        <v>1164</v>
      </c>
      <c r="F16" s="1969">
        <f>IF('数据-取费表'!B10="住宅",'数据-取费表'!E22,0)</f>
        <v>0.05</v>
      </c>
      <c r="G16" s="1948"/>
      <c r="H16" s="1956" t="s">
        <v>740</v>
      </c>
      <c r="I16" s="1957" t="s">
        <v>1165</v>
      </c>
      <c r="J16" s="1958">
        <f ca="1">ROUND(J17+J22+J23+J24,0)</f>
        <v>2417</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16380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2457</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195741</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1957</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2417</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8600</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-2417</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19770</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241706</v>
      </c>
      <c r="D29" s="1977"/>
      <c r="E29" s="1954"/>
      <c r="F29" s="1978"/>
      <c r="G29" s="1896"/>
      <c r="H29" s="1979" t="s">
        <v>1217</v>
      </c>
      <c r="I29" s="2006" t="s">
        <v>1218</v>
      </c>
      <c r="J29" s="2007">
        <f ca="1">ROUND(J26/(1+F40)^F41,0)</f>
        <v>0</v>
      </c>
      <c r="K29" s="2008" t="s">
        <v>1219</v>
      </c>
      <c r="L29" s="2009"/>
      <c r="M29" s="2010">
        <f>IF(D1="仅计算典型户型",'数据-取费表'!E5,'数据-取费表'!B5)</f>
        <v>81.9</v>
      </c>
    </row>
    <row r="30" ht="18" customHeight="1" spans="1:13">
      <c r="A30" s="1956" t="s">
        <v>740</v>
      </c>
      <c r="B30" s="1957" t="s">
        <v>1165</v>
      </c>
      <c r="C30" s="1958">
        <f ca="1">ROUND(C31+C36+C37+C38,0)</f>
        <v>4096</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1074</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2417</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452</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41071</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909433</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0.169</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0.831</v>
      </c>
      <c r="K42" s="2082"/>
      <c r="L42" s="2004"/>
      <c r="M42" s="2004"/>
      <c r="Q42" s="1900"/>
    </row>
    <row r="43" s="1896" customFormat="1" ht="18" customHeight="1" spans="1:18">
      <c r="A43" s="1979" t="s">
        <v>1217</v>
      </c>
      <c r="B43" s="2006" t="s">
        <v>1233</v>
      </c>
      <c r="C43" s="2007">
        <f ca="1">ROUND(C40/F43,0)</f>
        <v>11104</v>
      </c>
      <c r="D43" s="2008" t="s">
        <v>1234</v>
      </c>
      <c r="E43" s="2009" t="s">
        <v>1235</v>
      </c>
      <c r="F43" s="2010">
        <f>IF(D1="仅计算典型户型",'数据-取费表'!E5,'数据-取费表'!B5)</f>
        <v>81.9</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909433</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-954826</v>
      </c>
      <c r="D47" s="2017" t="str">
        <f>C2</f>
        <v>元</v>
      </c>
      <c r="E47" s="2012"/>
      <c r="F47" s="2012"/>
      <c r="I47" s="2097" t="s">
        <v>1246</v>
      </c>
      <c r="J47" s="2098"/>
      <c r="K47" s="2099"/>
      <c r="L47" s="2100">
        <f ca="1">IF(M48="住宅",0,IF(L49&gt;J52,L61,J61))</f>
        <v>0</v>
      </c>
      <c r="O47" s="2101" t="s">
        <v>1247</v>
      </c>
      <c r="P47" s="2096" t="s">
        <v>1248</v>
      </c>
      <c r="Q47" s="2145">
        <f ca="1">C29</f>
        <v>241706</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906</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81.9</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909433</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13774828</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909433</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153483</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241706</v>
      </c>
      <c r="D58" s="2037"/>
      <c r="E58" s="2038"/>
      <c r="F58" s="2039"/>
      <c r="I58" s="2131" t="s">
        <v>1286</v>
      </c>
      <c r="J58" s="2132" t="str">
        <f>IF(OR(M48="住宅",J52&lt;L49,J57="是"),"——",J52-L49)</f>
        <v>——</v>
      </c>
      <c r="K58" s="2107" t="s">
        <v>1287</v>
      </c>
      <c r="L58" s="2110">
        <f ca="1">IF(L49&lt;J52,"——",IF(L56="比较法",L50,IF(L56="基准地价",L51,L52)))</f>
        <v>13774828</v>
      </c>
      <c r="O58" s="2101" t="s">
        <v>1257</v>
      </c>
      <c r="P58" s="2096" t="s">
        <v>1288</v>
      </c>
      <c r="Q58" s="2145" t="e">
        <f>L59</f>
        <v>#DIV/0!</v>
      </c>
      <c r="R58" s="2146" t="s">
        <v>1289</v>
      </c>
    </row>
    <row r="59" s="1896" customFormat="1" ht="29.25" spans="1:18">
      <c r="A59" s="2042" t="s">
        <v>740</v>
      </c>
      <c r="B59" s="2043" t="s">
        <v>1165</v>
      </c>
      <c r="C59" s="1716">
        <f ca="1">ROUND(C60+C65+C66+C67,0)</f>
        <v>2570</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909433</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909433</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2417</v>
      </c>
      <c r="D65" s="1985" t="s">
        <v>1225</v>
      </c>
      <c r="E65" s="1930" t="s">
        <v>1164</v>
      </c>
      <c r="F65" s="1994">
        <f t="shared" si="0"/>
        <v>0.01</v>
      </c>
      <c r="I65" s="2137" t="s">
        <v>1310</v>
      </c>
      <c r="J65" s="2138">
        <v>50</v>
      </c>
      <c r="K65" s="2138">
        <v>35</v>
      </c>
      <c r="L65" s="2138">
        <v>60</v>
      </c>
      <c r="M65" s="2139">
        <v>0</v>
      </c>
      <c r="O65" s="2101" t="s">
        <v>1247</v>
      </c>
      <c r="P65" s="2096" t="s">
        <v>1281</v>
      </c>
      <c r="Q65" s="2152">
        <f ca="1">L52</f>
        <v>13774828</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41071</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41071</v>
      </c>
      <c r="R67" s="2146" t="s">
        <v>1242</v>
      </c>
    </row>
    <row r="68" ht="15.75" spans="1:18">
      <c r="A68" s="2042" t="s">
        <v>743</v>
      </c>
      <c r="B68" s="2148" t="s">
        <v>1201</v>
      </c>
      <c r="C68" s="1716">
        <f ca="1">C49-C59</f>
        <v>-2570</v>
      </c>
      <c r="D68" s="1963" t="s">
        <v>1202</v>
      </c>
      <c r="E68" s="2149"/>
      <c r="F68" s="2150"/>
      <c r="H68" s="1896"/>
      <c r="I68" s="1896"/>
      <c r="J68" s="1896"/>
      <c r="K68" s="1896"/>
      <c r="L68" s="1896"/>
      <c r="M68" s="1896"/>
      <c r="O68" s="2101" t="s">
        <v>1318</v>
      </c>
      <c r="P68" s="2151" t="s">
        <v>1319</v>
      </c>
      <c r="Q68" s="2145">
        <f ca="1">C13</f>
        <v>153483</v>
      </c>
      <c r="R68" s="2146" t="s">
        <v>1242</v>
      </c>
    </row>
    <row r="69" ht="15.75" spans="1:18">
      <c r="A69" s="1922" t="s">
        <v>769</v>
      </c>
      <c r="B69" s="1923" t="s">
        <v>1230</v>
      </c>
      <c r="C69" s="1924">
        <f ca="1">ROUND(C68*(1-((1+F71)/(1+F69))^F70)/(F69-F71),0)</f>
        <v>-45393</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81.9</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909433</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910</v>
      </c>
      <c r="Q32" s="491" t="str">
        <f t="shared" si="11"/>
        <v>商业类型</v>
      </c>
      <c r="R32" s="1295" t="s">
        <v>885</v>
      </c>
      <c r="S32" s="1296">
        <f t="shared" si="12"/>
        <v>100</v>
      </c>
      <c r="T32" s="1295" t="s">
        <v>885</v>
      </c>
      <c r="U32" s="1296">
        <f t="shared" si="13"/>
        <v>100</v>
      </c>
      <c r="V32" s="1295" t="s">
        <v>885</v>
      </c>
      <c r="W32" s="1296">
        <f t="shared" si="14"/>
        <v>100</v>
      </c>
      <c r="X32" s="1282"/>
      <c r="Y32" s="1267" t="s">
        <v>910</v>
      </c>
      <c r="Z32" s="1281" t="str">
        <f t="shared" si="15"/>
        <v>商业类型</v>
      </c>
      <c r="AA32" s="1312">
        <f t="shared" si="3"/>
        <v>1</v>
      </c>
      <c r="AB32" s="1312">
        <f t="shared" si="4"/>
        <v>1</v>
      </c>
      <c r="AC32" s="1312">
        <f t="shared" si="5"/>
        <v>1</v>
      </c>
    </row>
    <row r="33" s="1082" customFormat="1" ht="15" spans="1:29">
      <c r="A33" s="1190"/>
      <c r="B33" s="1127" t="s">
        <v>911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910</v>
      </c>
      <c r="Q38" s="491" t="str">
        <f t="shared" si="11"/>
        <v>业态</v>
      </c>
      <c r="R38" s="1295" t="s">
        <v>885</v>
      </c>
      <c r="S38" s="1296">
        <f t="shared" si="12"/>
        <v>100</v>
      </c>
      <c r="T38" s="1295" t="s">
        <v>885</v>
      </c>
      <c r="U38" s="1296">
        <f t="shared" si="13"/>
        <v>100</v>
      </c>
      <c r="V38" s="1295" t="s">
        <v>885</v>
      </c>
      <c r="W38" s="1296">
        <f t="shared" si="14"/>
        <v>100</v>
      </c>
      <c r="X38" s="1282"/>
      <c r="Y38" s="1267" t="s">
        <v>910</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907</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907</v>
      </c>
      <c r="B33" s="1123" t="s">
        <v>908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910</v>
      </c>
      <c r="Q33" s="491" t="str">
        <f t="shared" si="11"/>
        <v>建筑类型</v>
      </c>
      <c r="R33" s="1295" t="s">
        <v>885</v>
      </c>
      <c r="S33" s="1296">
        <f t="shared" si="12"/>
        <v>100</v>
      </c>
      <c r="T33" s="1295" t="s">
        <v>885</v>
      </c>
      <c r="U33" s="1296">
        <f t="shared" si="13"/>
        <v>100</v>
      </c>
      <c r="V33" s="1295" t="s">
        <v>885</v>
      </c>
      <c r="W33" s="1296">
        <f t="shared" si="14"/>
        <v>100</v>
      </c>
      <c r="X33" s="1282"/>
      <c r="Y33" s="1267" t="s">
        <v>910</v>
      </c>
      <c r="Z33" s="1281" t="str">
        <f t="shared" si="15"/>
        <v>建筑类型</v>
      </c>
      <c r="AA33" s="1312">
        <f t="shared" si="3"/>
        <v>1</v>
      </c>
      <c r="AB33" s="1312">
        <f t="shared" si="4"/>
        <v>1</v>
      </c>
      <c r="AC33" s="1312">
        <f t="shared" si="5"/>
        <v>1</v>
      </c>
    </row>
    <row r="34" s="1082" customFormat="1" ht="15" spans="1:29">
      <c r="A34" s="1190"/>
      <c r="B34" s="1127" t="s">
        <v>911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910</v>
      </c>
      <c r="Q39" s="491" t="str">
        <f t="shared" si="11"/>
        <v>物业管理</v>
      </c>
      <c r="R39" s="1295" t="s">
        <v>885</v>
      </c>
      <c r="S39" s="1296">
        <f t="shared" si="12"/>
        <v>100</v>
      </c>
      <c r="T39" s="1295" t="s">
        <v>885</v>
      </c>
      <c r="U39" s="1296">
        <f t="shared" si="13"/>
        <v>100</v>
      </c>
      <c r="V39" s="1295" t="s">
        <v>885</v>
      </c>
      <c r="W39" s="1296">
        <f t="shared" si="14"/>
        <v>100</v>
      </c>
      <c r="X39" s="1282"/>
      <c r="Y39" s="1267" t="s">
        <v>910</v>
      </c>
      <c r="Z39" s="1281" t="str">
        <f t="shared" si="15"/>
        <v>物业管理</v>
      </c>
      <c r="AA39" s="1312">
        <f t="shared" si="3"/>
        <v>1</v>
      </c>
      <c r="AB39" s="1312">
        <f t="shared" si="4"/>
        <v>1</v>
      </c>
      <c r="AC39" s="1312">
        <f t="shared" si="5"/>
        <v>1</v>
      </c>
    </row>
    <row r="40" ht="15" spans="1:29">
      <c r="A40" s="1185"/>
      <c r="B40" s="1127" t="s">
        <v>920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907</v>
      </c>
      <c r="B101" s="1341" t="s">
        <v>908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907</v>
      </c>
      <c r="B29" s="755" t="s">
        <v>908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910</v>
      </c>
      <c r="Q29" s="893" t="str">
        <f t="shared" si="11"/>
        <v>建筑类型</v>
      </c>
      <c r="R29" s="947" t="s">
        <v>885</v>
      </c>
      <c r="S29" s="948">
        <f t="shared" si="12"/>
        <v>100</v>
      </c>
      <c r="T29" s="947" t="s">
        <v>885</v>
      </c>
      <c r="U29" s="948">
        <f t="shared" si="13"/>
        <v>100</v>
      </c>
      <c r="V29" s="947" t="s">
        <v>885</v>
      </c>
      <c r="W29" s="948">
        <f t="shared" si="14"/>
        <v>100</v>
      </c>
      <c r="X29" s="934"/>
      <c r="Y29" s="913" t="s">
        <v>910</v>
      </c>
      <c r="Z29" s="851" t="str">
        <f t="shared" si="15"/>
        <v>建筑类型</v>
      </c>
      <c r="AA29" s="963">
        <f t="shared" si="3"/>
        <v>1</v>
      </c>
      <c r="AB29" s="963">
        <f t="shared" si="4"/>
        <v>1</v>
      </c>
      <c r="AC29" s="963">
        <f t="shared" si="5"/>
        <v>1</v>
      </c>
    </row>
    <row r="30" s="709" customFormat="1" ht="15" spans="1:29">
      <c r="A30" s="818"/>
      <c r="B30" s="759" t="s">
        <v>911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910</v>
      </c>
      <c r="Q35" s="893" t="str">
        <f t="shared" si="11"/>
        <v>市政基础设施</v>
      </c>
      <c r="R35" s="947" t="s">
        <v>885</v>
      </c>
      <c r="S35" s="948">
        <f t="shared" si="12"/>
        <v>100</v>
      </c>
      <c r="T35" s="947" t="s">
        <v>885</v>
      </c>
      <c r="U35" s="948">
        <f t="shared" si="13"/>
        <v>100</v>
      </c>
      <c r="V35" s="947" t="s">
        <v>885</v>
      </c>
      <c r="W35" s="948">
        <f t="shared" si="14"/>
        <v>100</v>
      </c>
      <c r="X35" s="934"/>
      <c r="Y35" s="913" t="s">
        <v>910</v>
      </c>
      <c r="Z35" s="851" t="str">
        <f t="shared" si="15"/>
        <v>市政基础设施</v>
      </c>
      <c r="AA35" s="963">
        <f t="shared" si="3"/>
        <v>1</v>
      </c>
      <c r="AB35" s="963">
        <f t="shared" si="4"/>
        <v>1</v>
      </c>
      <c r="AC35" s="963">
        <f t="shared" si="5"/>
        <v>1</v>
      </c>
    </row>
    <row r="36" ht="15" spans="1:29">
      <c r="A36" s="810"/>
      <c r="B36" s="759" t="s">
        <v>923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907</v>
      </c>
      <c r="B88" s="983" t="s">
        <v>908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81.9</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907</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910</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910</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910</v>
      </c>
      <c r="Q32" s="893" t="str">
        <f t="shared" si="11"/>
        <v>车位类型</v>
      </c>
      <c r="R32" s="947" t="s">
        <v>885</v>
      </c>
      <c r="S32" s="948">
        <f t="shared" si="12"/>
        <v>100</v>
      </c>
      <c r="T32" s="947" t="s">
        <v>885</v>
      </c>
      <c r="U32" s="948">
        <f t="shared" si="13"/>
        <v>100</v>
      </c>
      <c r="V32" s="947" t="s">
        <v>885</v>
      </c>
      <c r="W32" s="948">
        <f t="shared" si="14"/>
        <v>100</v>
      </c>
      <c r="X32" s="934"/>
      <c r="Y32" s="913" t="s">
        <v>910</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907</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907</v>
      </c>
      <c r="B26" s="755" t="s">
        <v>915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910</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910</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910</v>
      </c>
      <c r="Q32" s="893">
        <f t="shared" si="11"/>
        <v>111</v>
      </c>
      <c r="R32" s="947" t="s">
        <v>885</v>
      </c>
      <c r="S32" s="948">
        <f t="shared" si="12"/>
        <v>100</v>
      </c>
      <c r="T32" s="947" t="s">
        <v>885</v>
      </c>
      <c r="U32" s="948">
        <f t="shared" si="13"/>
        <v>100</v>
      </c>
      <c r="V32" s="947" t="s">
        <v>885</v>
      </c>
      <c r="W32" s="948">
        <f t="shared" si="14"/>
        <v>100</v>
      </c>
      <c r="X32" s="934"/>
      <c r="Y32" s="913" t="s">
        <v>910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907</v>
      </c>
      <c r="B77" s="983" t="s">
        <v>915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910</v>
      </c>
      <c r="Q36" s="491">
        <f t="shared" si="8"/>
        <v>111</v>
      </c>
      <c r="R36" s="1295" t="s">
        <v>885</v>
      </c>
      <c r="S36" s="1296">
        <f t="shared" si="10"/>
        <v>100</v>
      </c>
      <c r="T36" s="1295" t="s">
        <v>885</v>
      </c>
      <c r="U36" s="1296">
        <f t="shared" si="11"/>
        <v>100</v>
      </c>
      <c r="V36" s="1295" t="s">
        <v>885</v>
      </c>
      <c r="W36" s="1296">
        <f t="shared" si="12"/>
        <v>100</v>
      </c>
      <c r="X36" s="1282"/>
      <c r="Y36" s="1267" t="s">
        <v>910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907</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910</v>
      </c>
      <c r="Q42" s="491" t="str">
        <f t="shared" si="14"/>
        <v>工程地质条件</v>
      </c>
      <c r="R42" s="1295" t="s">
        <v>885</v>
      </c>
      <c r="S42" s="1296">
        <f t="shared" si="10"/>
        <v>100</v>
      </c>
      <c r="T42" s="1295" t="s">
        <v>885</v>
      </c>
      <c r="U42" s="1296">
        <f t="shared" si="11"/>
        <v>100</v>
      </c>
      <c r="V42" s="1295" t="s">
        <v>885</v>
      </c>
      <c r="W42" s="1296">
        <f t="shared" si="12"/>
        <v>100</v>
      </c>
      <c r="X42" s="1282"/>
      <c r="Y42" s="1267" t="s">
        <v>910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907</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55">
      <formula1>"北京市系数,其他省市系数"</formula1>
    </dataValidation>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2" customWidth="1"/>
    <col min="2" max="3" width="12.5" style="3312" customWidth="1"/>
    <col min="4" max="6" width="8.125" style="3312"/>
    <col min="7" max="7" width="17.5" style="3312" customWidth="1"/>
    <col min="8" max="16384" width="8.125"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估价对象为北京市房地产，为XX所有。根据《房屋所有权证》[]，估价对象建筑面积为81.9平方米。根据《》[]，估价对象（分摊）出让国有建设用地使用权面积为平方米。估价对象用途为。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910</v>
      </c>
      <c r="Q32" s="893">
        <f t="shared" si="8"/>
        <v>111</v>
      </c>
      <c r="R32" s="947" t="s">
        <v>885</v>
      </c>
      <c r="S32" s="948">
        <f t="shared" si="10"/>
        <v>100</v>
      </c>
      <c r="T32" s="947" t="s">
        <v>885</v>
      </c>
      <c r="U32" s="948">
        <f t="shared" si="11"/>
        <v>100</v>
      </c>
      <c r="V32" s="947" t="s">
        <v>885</v>
      </c>
      <c r="W32" s="948">
        <f t="shared" si="12"/>
        <v>100</v>
      </c>
      <c r="X32" s="934"/>
      <c r="Y32" s="913" t="s">
        <v>910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907</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910</v>
      </c>
      <c r="Q37" s="893" t="str">
        <f t="shared" si="14"/>
        <v>工程地质条件</v>
      </c>
      <c r="R37" s="947" t="s">
        <v>885</v>
      </c>
      <c r="S37" s="948">
        <f t="shared" si="10"/>
        <v>100</v>
      </c>
      <c r="T37" s="947" t="s">
        <v>885</v>
      </c>
      <c r="U37" s="948">
        <f t="shared" si="11"/>
        <v>100</v>
      </c>
      <c r="V37" s="947" t="s">
        <v>885</v>
      </c>
      <c r="W37" s="948">
        <f t="shared" si="12"/>
        <v>100</v>
      </c>
      <c r="X37" s="934"/>
      <c r="Y37" s="913" t="s">
        <v>910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907</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1487</v>
      </c>
      <c r="B1" s="398"/>
      <c r="C1" s="399" t="s">
        <v>872</v>
      </c>
      <c r="D1" s="400">
        <f>SUM(D29:D30,D33:D39)</f>
        <v>81.9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81.9</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927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927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927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926</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2" customWidth="1"/>
    <col min="2" max="2" width="37.875" style="3342" customWidth="1"/>
    <col min="3" max="3" width="16.125" style="3342" customWidth="1"/>
    <col min="4" max="4" width="22.25" style="3342" customWidth="1"/>
    <col min="5" max="5" width="4.125"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81.9</v>
      </c>
      <c r="D6" s="3352"/>
      <c r="E6" s="3344"/>
    </row>
    <row r="7" ht="14.25" spans="1:5">
      <c r="A7" s="3344"/>
      <c r="B7" s="3353" t="s">
        <v>89</v>
      </c>
      <c r="C7" s="3354" t="str">
        <f>IF('数据-取费表'!B3="万元","总价（万元）","总价（元）")</f>
        <v>总价（元）</v>
      </c>
      <c r="D7" s="3352">
        <f ca="1">IF('数据-取费表'!E3="否",结果表!I102,'结果表 (1修多)'!I104)</f>
        <v>2771250</v>
      </c>
      <c r="E7" s="3344"/>
    </row>
    <row r="8" ht="28.5" spans="1:5">
      <c r="A8" s="3344"/>
      <c r="B8" s="3353"/>
      <c r="C8" s="3355" t="s">
        <v>90</v>
      </c>
      <c r="D8" s="3356" t="str">
        <f ca="1">IF('数据-取费表'!B3="万元",NUMBERSTRING(INT(D7*10000),2)&amp;"元整",NUMBERSTRING(INT(D7),2)&amp;"元整")</f>
        <v>贰佰柒拾柒万壹仟贰佰伍拾元整</v>
      </c>
      <c r="E8" s="3344"/>
    </row>
    <row r="9" ht="14.25" spans="1:5">
      <c r="A9" s="3344"/>
      <c r="B9" s="3353"/>
      <c r="C9" s="3357" t="s">
        <v>91</v>
      </c>
      <c r="D9" s="3352">
        <f ca="1">IF('数据-取费表'!E3="否",结果表!I103,'结果表 (1修多)'!I105)</f>
        <v>33837</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2771250</v>
      </c>
      <c r="E15" s="3344"/>
    </row>
    <row r="16" ht="28.5" spans="1:5">
      <c r="A16" s="3344"/>
      <c r="B16" s="3351"/>
      <c r="C16" s="3355" t="s">
        <v>90</v>
      </c>
      <c r="D16" s="3352" t="str">
        <f ca="1">IF('数据-取费表'!B3="万元",NUMBERSTRING(INT(D15*10000),2)&amp;"元整",NUMBERSTRING(INT(D15),2)&amp;"元整")</f>
        <v>贰佰柒拾柒万壹仟贰佰伍拾元整</v>
      </c>
      <c r="E16" s="3344"/>
    </row>
    <row r="17" ht="14.25" spans="1:5">
      <c r="A17" s="3344"/>
      <c r="B17" s="3351"/>
      <c r="C17" s="3357" t="s">
        <v>91</v>
      </c>
      <c r="D17" s="3352">
        <f ca="1">IF('数据-取费表'!E3="否",结果表!I111,'结果表 (1修多)'!I113)</f>
        <v>33837</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2771250</v>
      </c>
      <c r="E28" s="3344"/>
    </row>
    <row r="29" ht="28.5" spans="1:5">
      <c r="A29" s="3344"/>
      <c r="B29" s="3376"/>
      <c r="C29" s="3377" t="s">
        <v>90</v>
      </c>
      <c r="D29" s="3378" t="str">
        <f ca="1">IF('数据-取费表'!B3="万元",NUMBERSTRING(INT(D28*10000),2)&amp;"元整",NUMBERSTRING(INT(D28),2)&amp;"元整")</f>
        <v>贰佰柒拾柒万壹仟贰佰伍拾元整</v>
      </c>
      <c r="E29" s="3344"/>
    </row>
    <row r="30" ht="14.25" spans="1:5">
      <c r="A30" s="3344"/>
      <c r="B30" s="3379"/>
      <c r="C30" s="3357" t="s">
        <v>99</v>
      </c>
      <c r="D30" s="3380">
        <f ca="1">IF('数据-取费表'!E3="否",结果表!I103,'结果表 (1修多)'!I105)</f>
        <v>33837</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2771250</v>
      </c>
      <c r="E36" s="3344"/>
    </row>
    <row r="37" ht="28.5" spans="1:5">
      <c r="A37" s="3344"/>
      <c r="B37" s="3382"/>
      <c r="C37" s="3377" t="s">
        <v>90</v>
      </c>
      <c r="D37" s="3383" t="str">
        <f ca="1">IF('数据-取费表'!B3="万元",NUMBERSTRING(INT(D36*10000),2)&amp;"元整",NUMBERSTRING(INT(D36),2)&amp;"元整")</f>
        <v>贰佰柒拾柒万壹仟贰佰伍拾元整</v>
      </c>
      <c r="E37" s="3344"/>
    </row>
    <row r="38" ht="14.25" spans="1:5">
      <c r="A38" s="3344"/>
      <c r="B38" s="3382"/>
      <c r="C38" s="3357" t="s">
        <v>99</v>
      </c>
      <c r="D38" s="3380">
        <f ca="1">IF('数据-取费表'!E3="否",结果表!D113,'结果表 (1修多)'!D117)</f>
        <v>33837</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2" customWidth="1"/>
    <col min="2" max="9" width="12.25"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81.9</v>
      </c>
      <c r="C4" s="3333">
        <f>结果表!C121</f>
        <v>0</v>
      </c>
      <c r="D4" s="3333">
        <f ca="1">IF('数据-取费表'!E3="否",结果表!D121,'结果表 (1修多)'!D125)</f>
        <v>2302946</v>
      </c>
      <c r="E4" s="3333">
        <f ca="1">IF('数据-取费表'!E3="否",结果表!E121,'结果表 (1修多)'!E125)</f>
        <v>28119</v>
      </c>
      <c r="F4" s="3333">
        <f ca="1">IF('数据-取费表'!E3="否",结果表!F121,'结果表 (1修多)'!F125)</f>
        <v>468304</v>
      </c>
      <c r="G4" s="3333">
        <f ca="1">IF('数据-取费表'!E3="否",结果表!G121,'结果表 (1修多)'!G125)</f>
        <v>5718</v>
      </c>
      <c r="H4" s="3333">
        <f ca="1">IF('数据-取费表'!E3="否",结果表!H121,'结果表 (1修多)'!H125)</f>
        <v>2771250</v>
      </c>
      <c r="I4" s="3333">
        <f ca="1">IF('数据-取费表'!E3="否",结果表!I121,'结果表 (1修多)'!I125)</f>
        <v>33837</v>
      </c>
    </row>
    <row r="5" ht="15" spans="1:9">
      <c r="A5" s="3333" t="s">
        <v>109</v>
      </c>
      <c r="B5" s="3333"/>
      <c r="C5" s="3333"/>
      <c r="D5" s="3334" t="str">
        <f ca="1">IF('数据-取费表'!E3="否",结果表!D122,'结果表 (1修多)'!D126)</f>
        <v>贰佰叁拾万贰仟玖佰肆拾陆元整</v>
      </c>
      <c r="E5" s="3334"/>
      <c r="F5" s="3334" t="str">
        <f ca="1">IF('数据-取费表'!E3="否",结果表!F122,'结果表 (1修多)'!F126)</f>
        <v>肆拾陆万捌仟叁佰零肆元整</v>
      </c>
      <c r="G5" s="3334"/>
      <c r="H5" s="3334" t="str">
        <f ca="1">IF('数据-取费表'!E3="否",结果表!H122,'结果表 (1修多)'!H126)</f>
        <v>贰佰柒拾柒万壹仟贰佰伍拾元整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2771250</v>
      </c>
      <c r="E8" s="3335"/>
      <c r="F8" s="3335"/>
      <c r="G8" s="3335"/>
      <c r="H8" s="3335"/>
      <c r="I8" s="3335"/>
    </row>
    <row r="9" ht="15" spans="1:9">
      <c r="A9" s="3333" t="s">
        <v>109</v>
      </c>
      <c r="B9" s="3333"/>
      <c r="C9" s="3333"/>
      <c r="D9" s="3334">
        <f ca="1">IF('数据-取费表'!E3="否",结果表!D126,'结果表 (1修多)'!D130)</f>
        <v>33837</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2" customWidth="1"/>
    <col min="2" max="2" width="24" style="3312" customWidth="1"/>
    <col min="3" max="3" width="23.25"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0" customWidth="1"/>
    <col min="2" max="16384" width="14.5"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57" customWidth="1"/>
    <col min="2" max="2" width="38.625" style="3257" customWidth="1"/>
    <col min="3" max="3" width="26" style="3257" customWidth="1"/>
    <col min="4" max="4" width="35" style="3257" hidden="1" customWidth="1"/>
    <col min="5" max="5" width="30.125" style="3257" customWidth="1"/>
    <col min="6" max="6" width="35.5" style="3257" customWidth="1"/>
    <col min="7" max="7" width="31" style="3257" customWidth="1"/>
    <col min="8" max="8" width="37.5" style="3257" hidden="1" customWidth="1"/>
    <col min="9" max="16384" width="22.625" style="3257"/>
  </cols>
  <sheetData>
    <row r="1" customHeight="1" spans="1:8">
      <c r="A1" s="3258"/>
      <c r="B1" s="3258"/>
      <c r="C1" s="3258"/>
      <c r="D1" s="3258"/>
      <c r="E1" s="3258"/>
      <c r="F1" s="3258"/>
      <c r="G1" s="3258"/>
      <c r="H1" s="3258"/>
    </row>
    <row r="2" customHeight="1" spans="1:8">
      <c r="A2" s="3259" t="s">
        <v>162</v>
      </c>
      <c r="B2" s="3260">
        <f ca="1">TODAY()</f>
        <v>44503</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5" style="3241" customWidth="1"/>
    <col min="3" max="3" width="13" style="2738" hidden="1" customWidth="1"/>
    <col min="4" max="4" width="5.75" style="3242" hidden="1" customWidth="1"/>
    <col min="5" max="5" width="7.125" style="3242" hidden="1" customWidth="1"/>
    <col min="6" max="6" width="10.625" style="3242" hidden="1" customWidth="1"/>
    <col min="7" max="7" width="7.5" style="3242" hidden="1" customWidth="1"/>
    <col min="8" max="8" width="9" style="2738" hidden="1" customWidth="1"/>
    <col min="9" max="9" width="11.625" style="2738" hidden="1" customWidth="1"/>
    <col min="10" max="10" width="9" style="2738" hidden="1" customWidth="1"/>
    <col min="11" max="19" width="9" style="3242" hidden="1" customWidth="1"/>
    <col min="20" max="24" width="9" style="2738" hidden="1" customWidth="1"/>
    <col min="25" max="25" width="9" style="2738" customWidth="1"/>
    <col min="26" max="26" width="15.875"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2021-11-03T03:14:20Z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