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F:\北保询价-宋家庄20250214\"/>
    </mc:Choice>
  </mc:AlternateContent>
  <xr:revisionPtr revIDLastSave="0" documentId="13_ncr:1_{F587C5D3-77B8-4752-8F18-289E8EEF00D1}" xr6:coauthVersionLast="47" xr6:coauthVersionMax="47" xr10:uidLastSave="{00000000-0000-0000-0000-000000000000}"/>
  <bookViews>
    <workbookView xWindow="-120" yWindow="-120" windowWidth="38640" windowHeight="21240" tabRatio="899" firstSheet="11"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r:id="rId27"/>
    <sheet name="比较法-办公" sheetId="34" state="hidden" r:id="rId28"/>
    <sheet name="比较法-工业" sheetId="37" state="hidden" r:id="rId29"/>
    <sheet name="比较法-车位" sheetId="35"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住宅" sheetId="82" r:id="rId36"/>
    <sheet name="基准地价修正-商业" sheetId="43" r:id="rId37"/>
    <sheet name="基准地价修正-办公" sheetId="81" r:id="rId38"/>
    <sheet name="基准地价修正-交通" sheetId="84" r:id="rId39"/>
    <sheet name="Sheet1" sheetId="80" r:id="rId40"/>
    <sheet name="案例" sheetId="83"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'基准地价修正-办公'!$A$1:$J$44,'基准地价修正-办公'!$A$47:$H$101,'基准地价修正-办公'!$R$1:$V$16</definedName>
    <definedName name="_xlnm.Print_Area" localSheetId="38">'基准地价修正-交通'!$A$1:$J$44,'基准地价修正-交通'!$A$47:$H$101,'基准地价修正-交通'!$R$1:$V$16</definedName>
    <definedName name="_xlnm.Print_Area" localSheetId="36">'基准地价修正-商业'!$A$1:$J$44,'基准地价修正-商业'!$A$47:$H$101,'基准地价修正-商业'!$R$1:$V$16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'基准地价修正-办公'!$Q$19:$AD$19</definedName>
    <definedName name="季度" localSheetId="38">'基准地价修正-交通'!$Q$19:$AD$19</definedName>
    <definedName name="季度" localSheetId="35">'基准地价修正-住宅'!$Q$19:$AD$19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E14" i="74"/>
  <c r="N46" i="80"/>
  <c r="M46" i="80"/>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c r="D101" i="84"/>
  <c r="B101" i="84"/>
  <c r="N100" i="84"/>
  <c r="M100" i="84"/>
  <c r="K100" i="84"/>
  <c r="J100" i="84" s="1"/>
  <c r="D100" i="84"/>
  <c r="B100" i="84"/>
  <c r="M99" i="84"/>
  <c r="N99" i="84" s="1"/>
  <c r="K99" i="84"/>
  <c r="J99" i="84"/>
  <c r="D99" i="84"/>
  <c r="B99" i="84"/>
  <c r="N98" i="84"/>
  <c r="M98" i="84"/>
  <c r="K98" i="84"/>
  <c r="J98" i="84" s="1"/>
  <c r="D98" i="84"/>
  <c r="N97" i="84"/>
  <c r="M97" i="84"/>
  <c r="K97" i="84"/>
  <c r="J97" i="84" s="1"/>
  <c r="D97" i="84"/>
  <c r="B97" i="84"/>
  <c r="M96" i="84"/>
  <c r="N96" i="84" s="1"/>
  <c r="K96" i="84"/>
  <c r="J96" i="84" s="1"/>
  <c r="D96" i="84"/>
  <c r="N95" i="84"/>
  <c r="M95" i="84"/>
  <c r="K95" i="84"/>
  <c r="J95" i="84"/>
  <c r="D95" i="84"/>
  <c r="B95" i="84"/>
  <c r="N94" i="84"/>
  <c r="M94" i="84"/>
  <c r="K94" i="84"/>
  <c r="J94" i="84" s="1"/>
  <c r="D94" i="84"/>
  <c r="B94" i="84"/>
  <c r="M93" i="84"/>
  <c r="N93" i="84" s="1"/>
  <c r="K93" i="84"/>
  <c r="J93" i="84" s="1"/>
  <c r="F93" i="84"/>
  <c r="D93" i="84"/>
  <c r="E93" i="84" s="1"/>
  <c r="B91" i="84" s="1"/>
  <c r="N90" i="84"/>
  <c r="M90" i="84"/>
  <c r="K90" i="84"/>
  <c r="J90" i="84" s="1"/>
  <c r="D90" i="84"/>
  <c r="B90" i="84"/>
  <c r="M89" i="84"/>
  <c r="N89" i="84" s="1"/>
  <c r="K89" i="84"/>
  <c r="J89" i="84" s="1"/>
  <c r="D89" i="84"/>
  <c r="N88" i="84"/>
  <c r="M88" i="84"/>
  <c r="K88" i="84"/>
  <c r="J88" i="84"/>
  <c r="D88" i="84"/>
  <c r="B88" i="84"/>
  <c r="M87" i="84"/>
  <c r="N87" i="84" s="1"/>
  <c r="K87" i="84"/>
  <c r="J87" i="84" s="1"/>
  <c r="D87" i="84"/>
  <c r="B87" i="84"/>
  <c r="M86" i="84"/>
  <c r="N86" i="84" s="1"/>
  <c r="K86" i="84"/>
  <c r="J86" i="84" s="1"/>
  <c r="D86" i="84"/>
  <c r="B86" i="84"/>
  <c r="M85" i="84"/>
  <c r="N85" i="84" s="1"/>
  <c r="K85" i="84"/>
  <c r="J85" i="84" s="1"/>
  <c r="D85" i="84"/>
  <c r="B85" i="84"/>
  <c r="N84" i="84"/>
  <c r="M84" i="84"/>
  <c r="K84" i="84"/>
  <c r="J84" i="84"/>
  <c r="D84" i="84"/>
  <c r="B84" i="84"/>
  <c r="M83" i="84"/>
  <c r="N83" i="84" s="1"/>
  <c r="K83" i="84"/>
  <c r="J83" i="84" s="1"/>
  <c r="D83" i="84"/>
  <c r="B83" i="84"/>
  <c r="M80" i="84"/>
  <c r="N80" i="84" s="1"/>
  <c r="K80" i="84"/>
  <c r="M79" i="84"/>
  <c r="N79" i="84" s="1"/>
  <c r="K79" i="84"/>
  <c r="D79" i="84" s="1"/>
  <c r="B79" i="84"/>
  <c r="M78" i="84"/>
  <c r="N78" i="84" s="1"/>
  <c r="K78" i="84"/>
  <c r="J78" i="84"/>
  <c r="D78" i="84"/>
  <c r="M77" i="84"/>
  <c r="N77" i="84" s="1"/>
  <c r="K77" i="84"/>
  <c r="J77" i="84"/>
  <c r="D77" i="84" s="1"/>
  <c r="B77" i="84"/>
  <c r="M76" i="84"/>
  <c r="N76" i="84" s="1"/>
  <c r="K76" i="84"/>
  <c r="J76" i="84" s="1"/>
  <c r="D76" i="84" s="1"/>
  <c r="B76" i="84"/>
  <c r="M75" i="84"/>
  <c r="N75" i="84" s="1"/>
  <c r="K75" i="84"/>
  <c r="J75" i="84"/>
  <c r="D75" i="84"/>
  <c r="B75" i="84"/>
  <c r="M74" i="84"/>
  <c r="N74" i="84" s="1"/>
  <c r="K74" i="84"/>
  <c r="B74" i="84"/>
  <c r="M73" i="84"/>
  <c r="N73" i="84" s="1"/>
  <c r="K73" i="84"/>
  <c r="J73" i="84"/>
  <c r="D73" i="84" s="1"/>
  <c r="B73" i="84"/>
  <c r="M72" i="84"/>
  <c r="N72" i="84" s="1"/>
  <c r="K72" i="84"/>
  <c r="J72" i="84" s="1"/>
  <c r="B72" i="84"/>
  <c r="N69" i="84"/>
  <c r="M69" i="84"/>
  <c r="K69" i="84"/>
  <c r="J69" i="84" s="1"/>
  <c r="D69" i="84"/>
  <c r="B69" i="84"/>
  <c r="M68" i="84"/>
  <c r="N68" i="84" s="1"/>
  <c r="K68" i="84"/>
  <c r="J68" i="84"/>
  <c r="D68" i="84"/>
  <c r="B68" i="84"/>
  <c r="N67" i="84"/>
  <c r="M67" i="84"/>
  <c r="K67" i="84"/>
  <c r="J67" i="84" s="1"/>
  <c r="D67" i="84"/>
  <c r="B67" i="84"/>
  <c r="M66" i="84"/>
  <c r="N66" i="84" s="1"/>
  <c r="K66" i="84"/>
  <c r="J66" i="84"/>
  <c r="D66" i="84"/>
  <c r="E61" i="84" s="1"/>
  <c r="B59" i="84" s="1"/>
  <c r="M65" i="84"/>
  <c r="N65" i="84" s="1"/>
  <c r="K65" i="84"/>
  <c r="J65" i="84"/>
  <c r="D65" i="84"/>
  <c r="B65" i="84"/>
  <c r="N64" i="84"/>
  <c r="M64" i="84"/>
  <c r="K64" i="84"/>
  <c r="J64" i="84" s="1"/>
  <c r="D64" i="84"/>
  <c r="N63" i="84"/>
  <c r="M63" i="84"/>
  <c r="K63" i="84"/>
  <c r="J63" i="84" s="1"/>
  <c r="D63" i="84"/>
  <c r="B63" i="84"/>
  <c r="M62" i="84"/>
  <c r="N62" i="84" s="1"/>
  <c r="K62" i="84"/>
  <c r="J62" i="84"/>
  <c r="D62" i="84"/>
  <c r="B62" i="84"/>
  <c r="N61" i="84"/>
  <c r="M61" i="84"/>
  <c r="K61" i="84"/>
  <c r="J61" i="84" s="1"/>
  <c r="F61" i="84"/>
  <c r="H68" i="84" s="1"/>
  <c r="D61" i="84"/>
  <c r="B61" i="84"/>
  <c r="N58" i="84"/>
  <c r="M58" i="84"/>
  <c r="K58" i="84"/>
  <c r="J58" i="84" s="1"/>
  <c r="D58" i="84"/>
  <c r="B58" i="84"/>
  <c r="M57" i="84"/>
  <c r="N57" i="84" s="1"/>
  <c r="K57" i="84"/>
  <c r="J57" i="84"/>
  <c r="D57" i="84"/>
  <c r="B57" i="84"/>
  <c r="N56" i="84"/>
  <c r="M56" i="84"/>
  <c r="K56" i="84"/>
  <c r="J56" i="84" s="1"/>
  <c r="D56" i="84"/>
  <c r="B56" i="84"/>
  <c r="M55" i="84"/>
  <c r="N55" i="84" s="1"/>
  <c r="K55" i="84"/>
  <c r="J55" i="84"/>
  <c r="D55" i="84"/>
  <c r="E50" i="84" s="1"/>
  <c r="B48" i="84" s="1"/>
  <c r="M54" i="84"/>
  <c r="N54" i="84" s="1"/>
  <c r="K54" i="84"/>
  <c r="J54" i="84"/>
  <c r="D54" i="84"/>
  <c r="B54" i="84"/>
  <c r="N53" i="84"/>
  <c r="M53" i="84"/>
  <c r="K53" i="84"/>
  <c r="J53" i="84" s="1"/>
  <c r="D53" i="84"/>
  <c r="N52" i="84"/>
  <c r="M52" i="84"/>
  <c r="K52" i="84"/>
  <c r="J52" i="84" s="1"/>
  <c r="D52" i="84"/>
  <c r="B52" i="84"/>
  <c r="M51" i="84"/>
  <c r="N51" i="84" s="1"/>
  <c r="K51" i="84"/>
  <c r="J51" i="84"/>
  <c r="D51" i="84"/>
  <c r="B51" i="84"/>
  <c r="N50" i="84"/>
  <c r="M50" i="84"/>
  <c r="K50" i="84"/>
  <c r="J50" i="84" s="1"/>
  <c r="F50" i="84"/>
  <c r="H57" i="84" s="1"/>
  <c r="D50" i="84"/>
  <c r="B50" i="84"/>
  <c r="H42" i="84"/>
  <c r="H41" i="84"/>
  <c r="H40" i="84"/>
  <c r="H39" i="84"/>
  <c r="H38" i="84"/>
  <c r="H37" i="84"/>
  <c r="Q32" i="84"/>
  <c r="O32" i="84"/>
  <c r="M32" i="84"/>
  <c r="J24" i="84"/>
  <c r="G24" i="84"/>
  <c r="E44" i="84" s="1"/>
  <c r="C44" i="84" s="1"/>
  <c r="E24" i="84"/>
  <c r="P32" i="84" s="1"/>
  <c r="M23" i="84"/>
  <c r="I23" i="84"/>
  <c r="G23" i="84"/>
  <c r="P27" i="84" s="1"/>
  <c r="C22" i="84"/>
  <c r="L21" i="84"/>
  <c r="E21" i="84"/>
  <c r="C20" i="84"/>
  <c r="I18" i="84"/>
  <c r="G18" i="84"/>
  <c r="G17" i="84"/>
  <c r="C17" i="84"/>
  <c r="C13" i="84"/>
  <c r="N12" i="84"/>
  <c r="M11" i="84"/>
  <c r="AI10" i="84"/>
  <c r="AH10" i="84"/>
  <c r="AE10" i="84"/>
  <c r="AD10" i="84"/>
  <c r="AB10" i="84"/>
  <c r="AA10" i="84"/>
  <c r="Y10" i="84"/>
  <c r="C10" i="84"/>
  <c r="C11" i="84" s="1"/>
  <c r="E11" i="84" s="1"/>
  <c r="AJ9" i="84"/>
  <c r="AJ10" i="84" s="1"/>
  <c r="AI9" i="84"/>
  <c r="AH9" i="84"/>
  <c r="AG9" i="84"/>
  <c r="AG10" i="84" s="1"/>
  <c r="AF9" i="84"/>
  <c r="AF10" i="84" s="1"/>
  <c r="AE9" i="84"/>
  <c r="AD9" i="84"/>
  <c r="AC9" i="84"/>
  <c r="AC10" i="84" s="1"/>
  <c r="AB9" i="84"/>
  <c r="AA9" i="84"/>
  <c r="Z9" i="84"/>
  <c r="Z10" i="84" s="1"/>
  <c r="C9" i="84"/>
  <c r="M8" i="84"/>
  <c r="M6" i="84"/>
  <c r="S5" i="84"/>
  <c r="M4" i="84"/>
  <c r="C6" i="84" s="1"/>
  <c r="S3" i="84"/>
  <c r="G3" i="84"/>
  <c r="N2" i="84"/>
  <c r="M2" i="84"/>
  <c r="I2" i="84"/>
  <c r="M12" i="84" s="1"/>
  <c r="G2" i="84"/>
  <c r="N1" i="84"/>
  <c r="M1" i="84"/>
  <c r="D1" i="84"/>
  <c r="I5" i="33"/>
  <c r="G5" i="33"/>
  <c r="E5" i="33"/>
  <c r="I5" i="35"/>
  <c r="G5" i="35"/>
  <c r="E5" i="35"/>
  <c r="I33" i="33"/>
  <c r="G33" i="33"/>
  <c r="E33" i="33"/>
  <c r="I47" i="21"/>
  <c r="I33" i="21"/>
  <c r="I5" i="21"/>
  <c r="G47" i="21"/>
  <c r="G33" i="21"/>
  <c r="G5" i="21"/>
  <c r="E47" i="21"/>
  <c r="E33" i="21"/>
  <c r="E5" i="21"/>
  <c r="S40" i="83"/>
  <c r="S39" i="83"/>
  <c r="S38" i="83"/>
  <c r="S37" i="83"/>
  <c r="S36" i="83"/>
  <c r="S35" i="83"/>
  <c r="S34" i="83"/>
  <c r="S33" i="83"/>
  <c r="S32" i="83"/>
  <c r="S31" i="83"/>
  <c r="S30" i="83"/>
  <c r="S29" i="83"/>
  <c r="S28" i="83"/>
  <c r="S27" i="83"/>
  <c r="S26" i="83"/>
  <c r="S25" i="83"/>
  <c r="S24" i="83"/>
  <c r="S23" i="83"/>
  <c r="S22" i="83"/>
  <c r="S21" i="83"/>
  <c r="S20" i="83"/>
  <c r="S19" i="83"/>
  <c r="S18" i="83"/>
  <c r="S17" i="83"/>
  <c r="S16" i="83"/>
  <c r="S15" i="83"/>
  <c r="S14" i="83"/>
  <c r="S13" i="83"/>
  <c r="S12" i="83"/>
  <c r="S11" i="83"/>
  <c r="S10" i="83"/>
  <c r="S9" i="83"/>
  <c r="S8" i="83"/>
  <c r="S7" i="83"/>
  <c r="S6" i="83"/>
  <c r="S3" i="83"/>
  <c r="S4" i="83"/>
  <c r="S5" i="83"/>
  <c r="S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c r="D101" i="82"/>
  <c r="B101" i="82"/>
  <c r="N100" i="82"/>
  <c r="M100" i="82"/>
  <c r="K100" i="82"/>
  <c r="J100" i="82" s="1"/>
  <c r="D100" i="82"/>
  <c r="B100" i="82"/>
  <c r="M99" i="82"/>
  <c r="N99" i="82" s="1"/>
  <c r="K99" i="82"/>
  <c r="J99" i="82" s="1"/>
  <c r="D99" i="82"/>
  <c r="B99" i="82"/>
  <c r="N98" i="82"/>
  <c r="M98" i="82"/>
  <c r="K98" i="82"/>
  <c r="J98" i="82" s="1"/>
  <c r="D98" i="82"/>
  <c r="N97" i="82"/>
  <c r="M97" i="82"/>
  <c r="K97" i="82"/>
  <c r="J97" i="82"/>
  <c r="D97" i="82"/>
  <c r="B97" i="82"/>
  <c r="M96" i="82"/>
  <c r="N96" i="82" s="1"/>
  <c r="K96" i="82"/>
  <c r="J96" i="82" s="1"/>
  <c r="D96" i="82"/>
  <c r="N95" i="82"/>
  <c r="M95" i="82"/>
  <c r="K95" i="82"/>
  <c r="J95" i="82"/>
  <c r="D95" i="82"/>
  <c r="B95" i="82"/>
  <c r="N94" i="82"/>
  <c r="M94" i="82"/>
  <c r="K94" i="82"/>
  <c r="J94" i="82" s="1"/>
  <c r="D94" i="82"/>
  <c r="B94" i="82"/>
  <c r="M93" i="82"/>
  <c r="N93" i="82" s="1"/>
  <c r="K93" i="82"/>
  <c r="J93" i="82" s="1"/>
  <c r="F93" i="82"/>
  <c r="H100" i="82" s="1"/>
  <c r="D93" i="82"/>
  <c r="N90" i="82"/>
  <c r="M90" i="82"/>
  <c r="K90" i="82"/>
  <c r="J90" i="82" s="1"/>
  <c r="D90" i="82"/>
  <c r="B90" i="82"/>
  <c r="M89" i="82"/>
  <c r="N89" i="82" s="1"/>
  <c r="K89" i="82"/>
  <c r="J89" i="82" s="1"/>
  <c r="D89" i="82"/>
  <c r="N88" i="82"/>
  <c r="M88" i="82"/>
  <c r="K88" i="82"/>
  <c r="J88" i="82"/>
  <c r="D88" i="82"/>
  <c r="B88" i="82"/>
  <c r="N87" i="82"/>
  <c r="M87" i="82"/>
  <c r="K87" i="82"/>
  <c r="J87" i="82" s="1"/>
  <c r="D87" i="82"/>
  <c r="B87" i="82"/>
  <c r="M86" i="82"/>
  <c r="N86" i="82" s="1"/>
  <c r="K86" i="82"/>
  <c r="J86" i="82" s="1"/>
  <c r="D86" i="82"/>
  <c r="E83" i="82" s="1"/>
  <c r="B81" i="82" s="1"/>
  <c r="B86" i="82"/>
  <c r="N85" i="82"/>
  <c r="M85" i="82"/>
  <c r="K85" i="82"/>
  <c r="J85" i="82" s="1"/>
  <c r="D85" i="82"/>
  <c r="B85" i="82"/>
  <c r="N84" i="82"/>
  <c r="M84" i="82"/>
  <c r="K84" i="82"/>
  <c r="J84" i="82"/>
  <c r="D84" i="82"/>
  <c r="B84" i="82"/>
  <c r="N83" i="82"/>
  <c r="M83" i="82"/>
  <c r="K83" i="82"/>
  <c r="J83" i="82" s="1"/>
  <c r="F83" i="82"/>
  <c r="H88" i="82" s="1"/>
  <c r="D83" i="82"/>
  <c r="B83" i="82"/>
  <c r="M80" i="82"/>
  <c r="N80" i="82" s="1"/>
  <c r="K80" i="82"/>
  <c r="J80" i="82" s="1"/>
  <c r="D80" i="82"/>
  <c r="M79" i="82"/>
  <c r="N79" i="82" s="1"/>
  <c r="K79" i="82"/>
  <c r="J79" i="82" s="1"/>
  <c r="D79" i="82"/>
  <c r="B79" i="82"/>
  <c r="M78" i="82"/>
  <c r="N78" i="82" s="1"/>
  <c r="K78" i="82"/>
  <c r="J78" i="82" s="1"/>
  <c r="D78" i="82"/>
  <c r="M77" i="82"/>
  <c r="N77" i="82" s="1"/>
  <c r="K77" i="82"/>
  <c r="J77" i="82"/>
  <c r="D77" i="82" s="1"/>
  <c r="B77" i="82"/>
  <c r="M76" i="82"/>
  <c r="N76" i="82" s="1"/>
  <c r="K76" i="82"/>
  <c r="J76" i="82" s="1"/>
  <c r="D76" i="82"/>
  <c r="B76" i="82"/>
  <c r="M75" i="82"/>
  <c r="N75" i="82" s="1"/>
  <c r="K75" i="82"/>
  <c r="J75" i="82" s="1"/>
  <c r="D75" i="82"/>
  <c r="B75" i="82"/>
  <c r="N74" i="82"/>
  <c r="M74" i="82"/>
  <c r="K74" i="82"/>
  <c r="J74" i="82" s="1"/>
  <c r="B74" i="82"/>
  <c r="M73" i="82"/>
  <c r="N73" i="82" s="1"/>
  <c r="K73" i="82"/>
  <c r="J73" i="82"/>
  <c r="D73" i="82" s="1"/>
  <c r="B73" i="82"/>
  <c r="M72" i="82"/>
  <c r="N72" i="82" s="1"/>
  <c r="K72" i="82"/>
  <c r="J72" i="82" s="1"/>
  <c r="D72" i="82"/>
  <c r="B72" i="82"/>
  <c r="N69" i="82"/>
  <c r="M69" i="82"/>
  <c r="K69" i="82"/>
  <c r="J69" i="82" s="1"/>
  <c r="D69" i="82"/>
  <c r="B69" i="82"/>
  <c r="M68" i="82"/>
  <c r="N68" i="82" s="1"/>
  <c r="K68" i="82"/>
  <c r="J68" i="82"/>
  <c r="D68" i="82"/>
  <c r="B68" i="82"/>
  <c r="M67" i="82"/>
  <c r="N67" i="82" s="1"/>
  <c r="K67" i="82"/>
  <c r="J67" i="82" s="1"/>
  <c r="D67" i="82"/>
  <c r="B67" i="82"/>
  <c r="M66" i="82"/>
  <c r="N66" i="82" s="1"/>
  <c r="K66" i="82"/>
  <c r="J66" i="82" s="1"/>
  <c r="D66" i="82"/>
  <c r="M65" i="82"/>
  <c r="N65" i="82" s="1"/>
  <c r="K65" i="82"/>
  <c r="J65" i="82"/>
  <c r="D65" i="82"/>
  <c r="B65" i="82"/>
  <c r="M64" i="82"/>
  <c r="N64" i="82" s="1"/>
  <c r="K64" i="82"/>
  <c r="J64" i="82" s="1"/>
  <c r="D64" i="82"/>
  <c r="M63" i="82"/>
  <c r="N63" i="82" s="1"/>
  <c r="K63" i="82"/>
  <c r="J63" i="82" s="1"/>
  <c r="D63" i="82"/>
  <c r="B63" i="82"/>
  <c r="M62" i="82"/>
  <c r="N62" i="82" s="1"/>
  <c r="K62" i="82"/>
  <c r="J62" i="82"/>
  <c r="D62" i="82"/>
  <c r="B62" i="82"/>
  <c r="M61" i="82"/>
  <c r="N61" i="82" s="1"/>
  <c r="K61" i="82"/>
  <c r="J61" i="82" s="1"/>
  <c r="F61" i="82"/>
  <c r="H68" i="82" s="1"/>
  <c r="D61" i="82"/>
  <c r="B61" i="82"/>
  <c r="N58" i="82"/>
  <c r="M58" i="82"/>
  <c r="K58" i="82"/>
  <c r="J58" i="82" s="1"/>
  <c r="D58" i="82"/>
  <c r="B58" i="82"/>
  <c r="M57" i="82"/>
  <c r="N57" i="82" s="1"/>
  <c r="K57" i="82"/>
  <c r="J57" i="82"/>
  <c r="D57" i="82"/>
  <c r="B57" i="82"/>
  <c r="M56" i="82"/>
  <c r="N56" i="82" s="1"/>
  <c r="K56" i="82"/>
  <c r="J56" i="82" s="1"/>
  <c r="D56" i="82"/>
  <c r="B56" i="82"/>
  <c r="M55" i="82"/>
  <c r="N55" i="82" s="1"/>
  <c r="K55" i="82"/>
  <c r="J55" i="82" s="1"/>
  <c r="D55" i="82"/>
  <c r="M54" i="82"/>
  <c r="N54" i="82" s="1"/>
  <c r="K54" i="82"/>
  <c r="J54" i="82" s="1"/>
  <c r="D54" i="82"/>
  <c r="B54" i="82"/>
  <c r="N53" i="82"/>
  <c r="M53" i="82"/>
  <c r="K53" i="82"/>
  <c r="J53" i="82" s="1"/>
  <c r="D53" i="82"/>
  <c r="M52" i="82"/>
  <c r="N52" i="82" s="1"/>
  <c r="K52" i="82"/>
  <c r="J52" i="82" s="1"/>
  <c r="D52" i="82"/>
  <c r="B52" i="82"/>
  <c r="M51" i="82"/>
  <c r="N51" i="82" s="1"/>
  <c r="K51" i="82"/>
  <c r="J51" i="82"/>
  <c r="D51" i="82"/>
  <c r="B51" i="82"/>
  <c r="M50" i="82"/>
  <c r="N50" i="82" s="1"/>
  <c r="K50" i="82"/>
  <c r="J50" i="82" s="1"/>
  <c r="H50" i="82"/>
  <c r="F50" i="82"/>
  <c r="H57" i="82" s="1"/>
  <c r="D50" i="82"/>
  <c r="B50" i="82"/>
  <c r="H42" i="82"/>
  <c r="H41" i="82"/>
  <c r="H40" i="82"/>
  <c r="H39" i="82"/>
  <c r="H38" i="82"/>
  <c r="H37" i="82"/>
  <c r="P28" i="82"/>
  <c r="P26" i="82"/>
  <c r="M24" i="82"/>
  <c r="J24" i="82"/>
  <c r="G24" i="82"/>
  <c r="G18" i="82" s="1"/>
  <c r="E24" i="82"/>
  <c r="O23" i="82"/>
  <c r="M23" i="82"/>
  <c r="I23" i="82"/>
  <c r="G23" i="82"/>
  <c r="P27" i="82" s="1"/>
  <c r="C23" i="82"/>
  <c r="C22" i="82"/>
  <c r="L21" i="82"/>
  <c r="G17" i="82"/>
  <c r="C17" i="82"/>
  <c r="C13" i="82"/>
  <c r="AI10" i="82"/>
  <c r="AH10" i="82"/>
  <c r="AD10" i="82"/>
  <c r="Z10" i="82"/>
  <c r="Y10" i="82"/>
  <c r="C10" i="82"/>
  <c r="C11" i="82" s="1"/>
  <c r="AJ9" i="82"/>
  <c r="AJ10" i="82" s="1"/>
  <c r="AI9" i="82"/>
  <c r="AH9" i="82"/>
  <c r="AG9" i="82"/>
  <c r="AG10" i="82" s="1"/>
  <c r="AF9" i="82"/>
  <c r="AF10" i="82" s="1"/>
  <c r="AE9" i="82"/>
  <c r="AE10" i="82" s="1"/>
  <c r="AD9" i="82"/>
  <c r="AC9" i="82"/>
  <c r="AC10" i="82" s="1"/>
  <c r="AB9" i="82"/>
  <c r="AB10" i="82" s="1"/>
  <c r="AA9" i="82"/>
  <c r="AA10" i="82" s="1"/>
  <c r="Z9" i="82"/>
  <c r="C9" i="82"/>
  <c r="G3" i="82"/>
  <c r="J26" i="82" s="1"/>
  <c r="I2" i="82"/>
  <c r="G2" i="82"/>
  <c r="K21" i="82" s="1"/>
  <c r="D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M96" i="81"/>
  <c r="N96" i="81" s="1"/>
  <c r="K96" i="81"/>
  <c r="J96" i="81" s="1"/>
  <c r="D96" i="81"/>
  <c r="N95" i="81"/>
  <c r="M95" i="81"/>
  <c r="K95" i="81"/>
  <c r="J95" i="81"/>
  <c r="D95" i="81"/>
  <c r="B95" i="81"/>
  <c r="N94" i="81"/>
  <c r="M94" i="81"/>
  <c r="K94" i="81"/>
  <c r="J94" i="81" s="1"/>
  <c r="D94" i="81"/>
  <c r="B94" i="81"/>
  <c r="M93" i="81"/>
  <c r="N93" i="81" s="1"/>
  <c r="K93" i="81"/>
  <c r="J93" i="81" s="1"/>
  <c r="F93" i="81"/>
  <c r="H94" i="81" s="1"/>
  <c r="D93" i="81"/>
  <c r="N90" i="81"/>
  <c r="M90" i="81"/>
  <c r="K90" i="81"/>
  <c r="J90" i="81" s="1"/>
  <c r="D90" i="81"/>
  <c r="B90" i="81"/>
  <c r="M89" i="81"/>
  <c r="N89" i="81" s="1"/>
  <c r="K89" i="81"/>
  <c r="J89" i="81" s="1"/>
  <c r="D89" i="81"/>
  <c r="N88" i="81"/>
  <c r="M88" i="81"/>
  <c r="K88" i="81"/>
  <c r="J88" i="81"/>
  <c r="D88" i="81"/>
  <c r="B88" i="81"/>
  <c r="N87" i="81"/>
  <c r="M87" i="81"/>
  <c r="K87" i="81"/>
  <c r="J87" i="81" s="1"/>
  <c r="D87" i="81"/>
  <c r="B87" i="81"/>
  <c r="M86" i="81"/>
  <c r="N86" i="81" s="1"/>
  <c r="K86" i="81"/>
  <c r="J86" i="81" s="1"/>
  <c r="D86" i="81"/>
  <c r="E83" i="81" s="1"/>
  <c r="B81" i="81" s="1"/>
  <c r="B86" i="81"/>
  <c r="N85" i="81"/>
  <c r="M85" i="81"/>
  <c r="K85" i="81"/>
  <c r="J85" i="81" s="1"/>
  <c r="D85" i="81"/>
  <c r="B85" i="81"/>
  <c r="N84" i="81"/>
  <c r="M84" i="81"/>
  <c r="K84" i="81"/>
  <c r="J84" i="81"/>
  <c r="D84" i="81"/>
  <c r="B84" i="81"/>
  <c r="N83" i="81"/>
  <c r="M83" i="81"/>
  <c r="K83" i="81"/>
  <c r="J83" i="81" s="1"/>
  <c r="F83" i="81"/>
  <c r="H88" i="81" s="1"/>
  <c r="D83" i="81"/>
  <c r="B83" i="81"/>
  <c r="N80" i="81"/>
  <c r="M80" i="81"/>
  <c r="K80" i="81"/>
  <c r="J80" i="81" s="1"/>
  <c r="D80" i="81"/>
  <c r="N79" i="81"/>
  <c r="M79" i="81"/>
  <c r="K79" i="81"/>
  <c r="J79" i="81" s="1"/>
  <c r="D79" i="81"/>
  <c r="B79" i="81"/>
  <c r="M78" i="81"/>
  <c r="N78" i="81" s="1"/>
  <c r="K78" i="81"/>
  <c r="J78" i="81" s="1"/>
  <c r="D78" i="81"/>
  <c r="N77" i="81"/>
  <c r="M77" i="81"/>
  <c r="K77" i="81"/>
  <c r="J77" i="81"/>
  <c r="D77" i="81"/>
  <c r="B77" i="81"/>
  <c r="N76" i="81"/>
  <c r="M76" i="81"/>
  <c r="K76" i="81"/>
  <c r="J76" i="81" s="1"/>
  <c r="D76" i="81"/>
  <c r="B76" i="81"/>
  <c r="M75" i="81"/>
  <c r="N75" i="81" s="1"/>
  <c r="K75" i="81"/>
  <c r="J75" i="81" s="1"/>
  <c r="D75" i="81"/>
  <c r="B75" i="81"/>
  <c r="N74" i="81"/>
  <c r="M74" i="81"/>
  <c r="K74" i="81"/>
  <c r="J74" i="81" s="1"/>
  <c r="D74" i="81"/>
  <c r="B74" i="81"/>
  <c r="N73" i="81"/>
  <c r="M73" i="81"/>
  <c r="K73" i="81"/>
  <c r="J73" i="81"/>
  <c r="D73" i="81"/>
  <c r="B73" i="81"/>
  <c r="N72" i="81"/>
  <c r="M72" i="81"/>
  <c r="K72" i="81"/>
  <c r="J72" i="81" s="1"/>
  <c r="F72" i="81"/>
  <c r="H77" i="81" s="1"/>
  <c r="D72" i="81"/>
  <c r="B72" i="81"/>
  <c r="M69" i="81"/>
  <c r="N69" i="81" s="1"/>
  <c r="K69" i="81"/>
  <c r="J69" i="81" s="1"/>
  <c r="B69" i="81"/>
  <c r="M68" i="81"/>
  <c r="N68" i="81" s="1"/>
  <c r="K68" i="81"/>
  <c r="J68" i="81" s="1"/>
  <c r="D68" i="81" s="1"/>
  <c r="B68" i="81"/>
  <c r="N67" i="81"/>
  <c r="M67" i="81"/>
  <c r="K67" i="81"/>
  <c r="J67" i="81" s="1"/>
  <c r="D67" i="81" s="1"/>
  <c r="B67" i="81"/>
  <c r="M66" i="81"/>
  <c r="N66" i="81" s="1"/>
  <c r="K66" i="81"/>
  <c r="J66" i="81" s="1"/>
  <c r="D66" i="81" s="1"/>
  <c r="M65" i="81"/>
  <c r="N65" i="81" s="1"/>
  <c r="K65" i="81"/>
  <c r="J65" i="81" s="1"/>
  <c r="D65" i="81"/>
  <c r="B65" i="81"/>
  <c r="M64" i="81"/>
  <c r="N64" i="81" s="1"/>
  <c r="K64" i="81"/>
  <c r="J64" i="81" s="1"/>
  <c r="M63" i="81"/>
  <c r="N63" i="81" s="1"/>
  <c r="K63" i="81"/>
  <c r="J63" i="81" s="1"/>
  <c r="B63" i="81"/>
  <c r="M62" i="81"/>
  <c r="N62" i="81" s="1"/>
  <c r="K62" i="81"/>
  <c r="J62" i="81" s="1"/>
  <c r="D62" i="81" s="1"/>
  <c r="B62" i="81"/>
  <c r="N61" i="81"/>
  <c r="M61" i="81"/>
  <c r="K61" i="81"/>
  <c r="J61" i="81" s="1"/>
  <c r="D61" i="81"/>
  <c r="B61" i="81"/>
  <c r="M58" i="81"/>
  <c r="N58" i="81" s="1"/>
  <c r="K58" i="81"/>
  <c r="J58" i="81" s="1"/>
  <c r="D58" i="81"/>
  <c r="B58" i="81"/>
  <c r="M57" i="81"/>
  <c r="N57" i="81" s="1"/>
  <c r="K57" i="81"/>
  <c r="J57" i="81" s="1"/>
  <c r="D57" i="81"/>
  <c r="B57" i="81"/>
  <c r="N56" i="81"/>
  <c r="M56" i="81"/>
  <c r="K56" i="81"/>
  <c r="J56" i="81" s="1"/>
  <c r="D56" i="81"/>
  <c r="B56" i="81"/>
  <c r="M55" i="81"/>
  <c r="N55" i="81" s="1"/>
  <c r="K55" i="81"/>
  <c r="J55" i="81"/>
  <c r="D55" i="81"/>
  <c r="M54" i="81"/>
  <c r="N54" i="81" s="1"/>
  <c r="K54" i="81"/>
  <c r="J54" i="81"/>
  <c r="D54" i="81"/>
  <c r="B54" i="81"/>
  <c r="M53" i="81"/>
  <c r="N53" i="81" s="1"/>
  <c r="K53" i="81"/>
  <c r="J53" i="81" s="1"/>
  <c r="D53" i="81"/>
  <c r="M52" i="81"/>
  <c r="N52" i="81" s="1"/>
  <c r="K52" i="81"/>
  <c r="J52" i="81" s="1"/>
  <c r="D52" i="81"/>
  <c r="B52" i="81"/>
  <c r="M51" i="81"/>
  <c r="N51" i="81" s="1"/>
  <c r="K51" i="81"/>
  <c r="J51" i="81"/>
  <c r="D51" i="81"/>
  <c r="B51" i="81"/>
  <c r="M50" i="81"/>
  <c r="N50" i="81" s="1"/>
  <c r="K50" i="81"/>
  <c r="J50" i="81" s="1"/>
  <c r="F50" i="81"/>
  <c r="H57" i="81" s="1"/>
  <c r="D50" i="81"/>
  <c r="B50" i="81"/>
  <c r="H42" i="81"/>
  <c r="H41" i="81"/>
  <c r="H40" i="81"/>
  <c r="H39" i="81"/>
  <c r="H38" i="81"/>
  <c r="H37" i="81"/>
  <c r="P28" i="81"/>
  <c r="P26" i="81"/>
  <c r="M24" i="81"/>
  <c r="J24" i="81"/>
  <c r="G24" i="81"/>
  <c r="E24" i="81"/>
  <c r="Q32" i="81" s="1"/>
  <c r="O23" i="81"/>
  <c r="M23" i="81"/>
  <c r="I23" i="81"/>
  <c r="G23" i="81"/>
  <c r="P27" i="81" s="1"/>
  <c r="C23" i="81"/>
  <c r="C22" i="81"/>
  <c r="G17" i="81"/>
  <c r="C17" i="81"/>
  <c r="C13" i="81"/>
  <c r="AI10" i="81"/>
  <c r="AH10" i="81"/>
  <c r="AD10" i="81"/>
  <c r="Z10" i="81"/>
  <c r="Y10" i="81"/>
  <c r="C10" i="81"/>
  <c r="C11" i="81" s="1"/>
  <c r="AJ9" i="81"/>
  <c r="AJ10" i="81" s="1"/>
  <c r="AI9" i="81"/>
  <c r="AH9" i="81"/>
  <c r="AG9" i="81"/>
  <c r="AG10" i="81" s="1"/>
  <c r="AF9" i="81"/>
  <c r="AF10" i="81" s="1"/>
  <c r="AE9" i="81"/>
  <c r="AE10" i="81" s="1"/>
  <c r="AD9" i="81"/>
  <c r="AC9" i="81"/>
  <c r="AC10" i="81" s="1"/>
  <c r="AB9" i="81"/>
  <c r="AB10" i="81" s="1"/>
  <c r="AA9" i="81"/>
  <c r="AA10" i="81" s="1"/>
  <c r="Z9" i="81"/>
  <c r="C9" i="81"/>
  <c r="G3" i="81"/>
  <c r="J26" i="81" s="1"/>
  <c r="I2" i="81"/>
  <c r="M10" i="81" s="1"/>
  <c r="G2" i="81"/>
  <c r="O21" i="81" s="1"/>
  <c r="D1" i="81"/>
  <c r="C60" i="78"/>
  <c r="D60" i="78" s="1"/>
  <c r="D53" i="78"/>
  <c r="D52" i="78"/>
  <c r="D51" i="78" s="1"/>
  <c r="B51" i="78"/>
  <c r="B56" i="78" s="1"/>
  <c r="E83" i="84" l="1"/>
  <c r="B81" i="84" s="1"/>
  <c r="H52" i="84"/>
  <c r="H56" i="84"/>
  <c r="H63" i="84"/>
  <c r="H67" i="84"/>
  <c r="N4" i="84"/>
  <c r="F83" i="84" s="1"/>
  <c r="N6" i="84"/>
  <c r="N11" i="84"/>
  <c r="H50" i="84"/>
  <c r="H53" i="84"/>
  <c r="H61" i="84"/>
  <c r="H64" i="84"/>
  <c r="N3" i="84"/>
  <c r="N5" i="84"/>
  <c r="N7" i="84"/>
  <c r="C5" i="84"/>
  <c r="D5" i="84"/>
  <c r="H101" i="84"/>
  <c r="H95" i="84"/>
  <c r="H98" i="84"/>
  <c r="H99" i="84"/>
  <c r="H96" i="84"/>
  <c r="H93" i="84"/>
  <c r="H97" i="84"/>
  <c r="H116" i="84"/>
  <c r="F72" i="84"/>
  <c r="F41" i="84"/>
  <c r="F39" i="84"/>
  <c r="O21" i="84"/>
  <c r="K21" i="84"/>
  <c r="F42" i="84"/>
  <c r="F40" i="84"/>
  <c r="F38" i="84"/>
  <c r="F37" i="84"/>
  <c r="C27" i="84"/>
  <c r="S2" i="84"/>
  <c r="J26" i="84"/>
  <c r="E26" i="84"/>
  <c r="G26" i="84"/>
  <c r="S4" i="84"/>
  <c r="E9" i="84"/>
  <c r="E10" i="84"/>
  <c r="H21" i="84"/>
  <c r="M21" i="84"/>
  <c r="J80" i="84"/>
  <c r="D80" i="84"/>
  <c r="H94" i="84"/>
  <c r="M24" i="84"/>
  <c r="P29" i="84"/>
  <c r="P25" i="84"/>
  <c r="O23" i="84"/>
  <c r="C23" i="84"/>
  <c r="P26" i="84"/>
  <c r="M10" i="84"/>
  <c r="N9" i="84"/>
  <c r="M3" i="84"/>
  <c r="M5" i="84"/>
  <c r="S6" i="84"/>
  <c r="M7" i="84"/>
  <c r="X7" i="84"/>
  <c r="N8" i="84"/>
  <c r="M9" i="84"/>
  <c r="N10" i="84"/>
  <c r="C21" i="84"/>
  <c r="I21" i="84"/>
  <c r="N21" i="84"/>
  <c r="F26" i="84"/>
  <c r="P28" i="84"/>
  <c r="E8" i="84"/>
  <c r="Z7" i="84"/>
  <c r="E17" i="84"/>
  <c r="D21" i="84"/>
  <c r="J21" i="84"/>
  <c r="H26" i="84"/>
  <c r="J74" i="84"/>
  <c r="D74" i="84"/>
  <c r="H100" i="84"/>
  <c r="B116" i="84"/>
  <c r="N32" i="84"/>
  <c r="H55" i="84"/>
  <c r="H66" i="84"/>
  <c r="D72" i="84"/>
  <c r="E72" i="84" s="1"/>
  <c r="B70" i="84" s="1"/>
  <c r="C28" i="84" s="1"/>
  <c r="J79" i="84"/>
  <c r="H86" i="84"/>
  <c r="H89" i="84"/>
  <c r="H58" i="84"/>
  <c r="H69" i="84"/>
  <c r="H85" i="84"/>
  <c r="H51" i="84"/>
  <c r="H54" i="84"/>
  <c r="H62" i="84"/>
  <c r="H65" i="84"/>
  <c r="H84" i="84"/>
  <c r="H52" i="81"/>
  <c r="H53" i="81"/>
  <c r="H87" i="82"/>
  <c r="H50" i="81"/>
  <c r="H56" i="81"/>
  <c r="H83" i="81"/>
  <c r="H100" i="81"/>
  <c r="H53" i="82"/>
  <c r="H61" i="82"/>
  <c r="D21" i="82"/>
  <c r="H83" i="82"/>
  <c r="H90" i="82"/>
  <c r="H90" i="81"/>
  <c r="H64" i="82"/>
  <c r="H94" i="82"/>
  <c r="D63" i="81"/>
  <c r="D64" i="81"/>
  <c r="D69" i="81"/>
  <c r="S2" i="81"/>
  <c r="C21" i="81"/>
  <c r="H72" i="81"/>
  <c r="H79" i="81"/>
  <c r="H87" i="81"/>
  <c r="H21" i="81"/>
  <c r="H76" i="81"/>
  <c r="S5" i="81"/>
  <c r="L21" i="81"/>
  <c r="E61" i="81"/>
  <c r="B59" i="81" s="1"/>
  <c r="C28" i="81" s="1"/>
  <c r="E50" i="81"/>
  <c r="B48" i="81" s="1"/>
  <c r="D74" i="82"/>
  <c r="E50" i="82"/>
  <c r="B48" i="82" s="1"/>
  <c r="E61" i="82"/>
  <c r="B59" i="82" s="1"/>
  <c r="E93" i="82"/>
  <c r="B91" i="82" s="1"/>
  <c r="E26" i="82"/>
  <c r="S2" i="82"/>
  <c r="H52" i="82"/>
  <c r="H56" i="82"/>
  <c r="H67" i="82"/>
  <c r="S5" i="82"/>
  <c r="H21" i="82"/>
  <c r="E10" i="82"/>
  <c r="E11" i="82"/>
  <c r="E9" i="82"/>
  <c r="E8" i="82"/>
  <c r="C7" i="82" s="1"/>
  <c r="N12" i="82"/>
  <c r="N11" i="82"/>
  <c r="M9" i="82"/>
  <c r="N7" i="82"/>
  <c r="N5" i="82"/>
  <c r="M4" i="82"/>
  <c r="N3" i="82"/>
  <c r="M2" i="82"/>
  <c r="N1" i="82"/>
  <c r="N6" i="82"/>
  <c r="M7" i="82"/>
  <c r="M1" i="82"/>
  <c r="N2" i="82"/>
  <c r="H26" i="82"/>
  <c r="Z7" i="82"/>
  <c r="G26" i="82"/>
  <c r="S6" i="82"/>
  <c r="M8" i="82"/>
  <c r="M10" i="82"/>
  <c r="C21" i="82"/>
  <c r="F26" i="82"/>
  <c r="M3" i="82"/>
  <c r="N8" i="82"/>
  <c r="N9" i="82"/>
  <c r="N10" i="82"/>
  <c r="M12" i="82"/>
  <c r="P32" i="82"/>
  <c r="O32" i="82"/>
  <c r="N32" i="82"/>
  <c r="M32" i="82"/>
  <c r="N4" i="82"/>
  <c r="F72" i="82" s="1"/>
  <c r="H116" i="82"/>
  <c r="F41" i="82"/>
  <c r="F39" i="82"/>
  <c r="N21" i="82"/>
  <c r="J21" i="82"/>
  <c r="E21" i="82"/>
  <c r="C6" i="82"/>
  <c r="M21" i="82"/>
  <c r="I21" i="82"/>
  <c r="F42" i="82"/>
  <c r="F40" i="82"/>
  <c r="F38" i="82"/>
  <c r="F37" i="82"/>
  <c r="C27" i="82"/>
  <c r="S3" i="82"/>
  <c r="S4" i="82"/>
  <c r="M5" i="82"/>
  <c r="M6" i="82"/>
  <c r="X7" i="82"/>
  <c r="M11" i="82"/>
  <c r="O21" i="82"/>
  <c r="E44" i="82"/>
  <c r="C44" i="82" s="1"/>
  <c r="I18" i="82"/>
  <c r="E17" i="82" s="1"/>
  <c r="Q32" i="82"/>
  <c r="E72" i="82"/>
  <c r="B70" i="82" s="1"/>
  <c r="C28" i="82" s="1"/>
  <c r="H101" i="82"/>
  <c r="H95" i="82"/>
  <c r="H98" i="82"/>
  <c r="H99" i="82"/>
  <c r="H96" i="82"/>
  <c r="H93" i="82"/>
  <c r="H97" i="82"/>
  <c r="B116" i="82"/>
  <c r="P25" i="82"/>
  <c r="P29" i="82"/>
  <c r="H55" i="82"/>
  <c r="H66" i="82"/>
  <c r="H86" i="82"/>
  <c r="H89" i="82"/>
  <c r="H58" i="82"/>
  <c r="H63" i="82"/>
  <c r="H69" i="82"/>
  <c r="H85" i="82"/>
  <c r="H51" i="82"/>
  <c r="H54" i="82"/>
  <c r="H62" i="82"/>
  <c r="H65" i="82"/>
  <c r="H84" i="82"/>
  <c r="E10" i="81"/>
  <c r="E11" i="81"/>
  <c r="E8" i="81"/>
  <c r="E9" i="81"/>
  <c r="M32" i="81"/>
  <c r="M1" i="81"/>
  <c r="N2" i="81"/>
  <c r="H26" i="81"/>
  <c r="Z7" i="81"/>
  <c r="G26" i="81"/>
  <c r="S6" i="81"/>
  <c r="M8" i="81"/>
  <c r="E44" i="81"/>
  <c r="C44" i="81" s="1"/>
  <c r="I18" i="81"/>
  <c r="G18" i="81"/>
  <c r="E17" i="81" s="1"/>
  <c r="N12" i="81"/>
  <c r="N11" i="81"/>
  <c r="M9" i="81"/>
  <c r="N7" i="81"/>
  <c r="N5" i="81"/>
  <c r="M4" i="81"/>
  <c r="C6" i="81" s="1"/>
  <c r="N3" i="81"/>
  <c r="M2" i="81"/>
  <c r="N1" i="81"/>
  <c r="N6" i="81"/>
  <c r="M7" i="81"/>
  <c r="E26" i="81"/>
  <c r="E93" i="81"/>
  <c r="B91" i="81" s="1"/>
  <c r="P32" i="81"/>
  <c r="O32" i="81"/>
  <c r="N32" i="81"/>
  <c r="M3" i="81"/>
  <c r="N4" i="81"/>
  <c r="F61" i="81" s="1"/>
  <c r="N8" i="81"/>
  <c r="N9" i="81"/>
  <c r="N10" i="81"/>
  <c r="M12" i="81"/>
  <c r="H116" i="81"/>
  <c r="F41" i="81"/>
  <c r="F39" i="81"/>
  <c r="N21" i="81"/>
  <c r="J21" i="81"/>
  <c r="E21" i="81"/>
  <c r="M21" i="81"/>
  <c r="I21" i="81"/>
  <c r="D21" i="81"/>
  <c r="F42" i="81"/>
  <c r="F40" i="81"/>
  <c r="F38" i="81"/>
  <c r="F37" i="81"/>
  <c r="C27" i="81"/>
  <c r="S3" i="81"/>
  <c r="S4" i="81"/>
  <c r="M5" i="81"/>
  <c r="M6" i="81"/>
  <c r="X7" i="81"/>
  <c r="M11" i="81"/>
  <c r="K21" i="81"/>
  <c r="F26" i="81"/>
  <c r="E72" i="81"/>
  <c r="B70" i="81" s="1"/>
  <c r="H101" i="81"/>
  <c r="H95" i="81"/>
  <c r="H98" i="81"/>
  <c r="H99" i="81"/>
  <c r="H96" i="81"/>
  <c r="H93" i="81"/>
  <c r="H97" i="81"/>
  <c r="B116" i="81"/>
  <c r="P25" i="81"/>
  <c r="P29" i="81"/>
  <c r="H55" i="81"/>
  <c r="H75" i="81"/>
  <c r="H78" i="81"/>
  <c r="H86" i="81"/>
  <c r="H89" i="81"/>
  <c r="H58" i="81"/>
  <c r="H74" i="81"/>
  <c r="H80" i="81"/>
  <c r="H85" i="81"/>
  <c r="H51" i="81"/>
  <c r="H54" i="81"/>
  <c r="H73" i="81"/>
  <c r="H84" i="81"/>
  <c r="B55" i="78"/>
  <c r="D55" i="78" s="1"/>
  <c r="C51" i="78"/>
  <c r="C56" i="78" s="1"/>
  <c r="C58" i="78" s="1"/>
  <c r="B62" i="78"/>
  <c r="B54" i="78"/>
  <c r="D54" i="78" s="1"/>
  <c r="D56" i="78" s="1"/>
  <c r="D26" i="84" l="1"/>
  <c r="C25" i="84" s="1"/>
  <c r="H88" i="84"/>
  <c r="H87" i="84"/>
  <c r="H90" i="84"/>
  <c r="H83" i="84"/>
  <c r="H77" i="84"/>
  <c r="H73" i="84"/>
  <c r="H80" i="84"/>
  <c r="H74" i="84"/>
  <c r="H78" i="84"/>
  <c r="H75" i="84"/>
  <c r="H72" i="84"/>
  <c r="H79" i="84"/>
  <c r="H76" i="84"/>
  <c r="C7" i="84"/>
  <c r="C42" i="84"/>
  <c r="C4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C118" i="84" s="1"/>
  <c r="B119" i="84"/>
  <c r="C119" i="84" s="1"/>
  <c r="G21" i="84"/>
  <c r="D26" i="82"/>
  <c r="C25" i="82" s="1"/>
  <c r="H68" i="81"/>
  <c r="H61" i="81"/>
  <c r="H67" i="81"/>
  <c r="H64" i="81"/>
  <c r="H66" i="81"/>
  <c r="H63" i="81"/>
  <c r="H69" i="81"/>
  <c r="H62" i="81"/>
  <c r="H65" i="81"/>
  <c r="H77" i="82"/>
  <c r="H79" i="82"/>
  <c r="H72" i="82"/>
  <c r="H76" i="82"/>
  <c r="H75" i="82"/>
  <c r="H80" i="82"/>
  <c r="H74" i="82"/>
  <c r="H78" i="82"/>
  <c r="H73" i="82"/>
  <c r="G21" i="82"/>
  <c r="C20" i="82" s="1"/>
  <c r="D5"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G21" i="81"/>
  <c r="C20" i="81" s="1"/>
  <c r="D5" i="81" s="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C7" i="81"/>
  <c r="D26" i="81"/>
  <c r="C25" i="81" s="1"/>
  <c r="D58" i="78"/>
  <c r="D62" i="78" s="1"/>
  <c r="C62" i="78" s="1"/>
  <c r="E42" i="84" l="1"/>
  <c r="G42" i="84"/>
  <c r="I42" i="84" s="1"/>
  <c r="E41" i="84"/>
  <c r="G41" i="84"/>
  <c r="I41" i="84" s="1"/>
  <c r="D116" i="84"/>
  <c r="C5" i="81"/>
  <c r="D116" i="81"/>
  <c r="C5" i="82"/>
  <c r="D116" i="82"/>
  <c r="C42" i="82"/>
  <c r="C41" i="82"/>
  <c r="M45" i="80" s="1"/>
  <c r="N45" i="80" s="1"/>
  <c r="C42" i="81"/>
  <c r="C41" i="81"/>
  <c r="G14" i="73"/>
  <c r="F14" i="73"/>
  <c r="E14" i="73"/>
  <c r="E41" i="82" l="1"/>
  <c r="G41" i="82"/>
  <c r="I41" i="82" s="1"/>
  <c r="G42" i="82"/>
  <c r="I42" i="82" s="1"/>
  <c r="E42" i="82"/>
  <c r="E41" i="81"/>
  <c r="G41" i="81"/>
  <c r="I41" i="81" s="1"/>
  <c r="G42" i="81"/>
  <c r="I42" i="81" s="1"/>
  <c r="E42"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S42" i="79"/>
  <c r="AD45" i="79"/>
  <c r="Z3" i="79"/>
  <c r="T34" i="79"/>
  <c r="W34" i="79" s="1"/>
  <c r="U40" i="79"/>
  <c r="AD41" i="79"/>
  <c r="U44"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32" i="6"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AZ521" i="3" s="1"/>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A527" i="3" s="1"/>
  <c r="AZ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J14" i="40" s="1"/>
  <c r="W14" i="40" s="1"/>
  <c r="B79" i="40"/>
  <c r="F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s="1"/>
  <c r="B73" i="35"/>
  <c r="J23" i="35" s="1"/>
  <c r="AC23" i="35" s="1"/>
  <c r="B57" i="35"/>
  <c r="J11" i="35" s="1"/>
  <c r="W11" i="35" s="1"/>
  <c r="B61" i="35"/>
  <c r="F13" i="35" s="1"/>
  <c r="B59" i="35"/>
  <c r="F12" i="35" s="1"/>
  <c r="B131" i="34"/>
  <c r="B129" i="34"/>
  <c r="B127" i="34"/>
  <c r="F45" i="34" s="1"/>
  <c r="S45" i="34" s="1"/>
  <c r="B99" i="34"/>
  <c r="B97" i="34"/>
  <c r="B95" i="34"/>
  <c r="H30" i="34" s="1"/>
  <c r="B93" i="34"/>
  <c r="J29" i="34" s="1"/>
  <c r="B75" i="34"/>
  <c r="B73" i="34"/>
  <c r="B71" i="34"/>
  <c r="B130" i="33"/>
  <c r="H46" i="33" s="1"/>
  <c r="B128" i="33"/>
  <c r="B126" i="33"/>
  <c r="B98" i="33"/>
  <c r="B96" i="33"/>
  <c r="F30" i="33" s="1"/>
  <c r="B94" i="33"/>
  <c r="B74" i="33"/>
  <c r="B72" i="33"/>
  <c r="H13" i="33" s="1"/>
  <c r="U13" i="33" s="1"/>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J35" i="39"/>
  <c r="AC35" i="39" s="1"/>
  <c r="F35" i="39"/>
  <c r="AA35"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U34" i="35"/>
  <c r="F36" i="34"/>
  <c r="J35" i="34"/>
  <c r="U34" i="34"/>
  <c r="H39" i="33"/>
  <c r="AB39" i="33" s="1"/>
  <c r="F26" i="33"/>
  <c r="AA26" i="33" s="1"/>
  <c r="U35" i="33"/>
  <c r="S40" i="33"/>
  <c r="W39" i="33"/>
  <c r="H39" i="37"/>
  <c r="AB39" i="37"/>
  <c r="F11" i="40"/>
  <c r="AA11" i="40"/>
  <c r="H11" i="40"/>
  <c r="AB11" i="40"/>
  <c r="W8" i="40"/>
  <c r="U9" i="40"/>
  <c r="W31" i="40"/>
  <c r="U34" i="40"/>
  <c r="S38" i="40"/>
  <c r="F42" i="39"/>
  <c r="AA42" i="39" s="1"/>
  <c r="F41" i="39"/>
  <c r="S41" i="39" s="1"/>
  <c r="H40" i="39"/>
  <c r="AB40" i="39" s="1"/>
  <c r="H39" i="39"/>
  <c r="U39" i="39" s="1"/>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W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W36" i="34" s="1"/>
  <c r="H37" i="34"/>
  <c r="U37" i="34" s="1"/>
  <c r="H25" i="34"/>
  <c r="AB25" i="34" s="1"/>
  <c r="J25" i="34"/>
  <c r="AC25" i="34" s="1"/>
  <c r="AB23" i="34"/>
  <c r="F23" i="34"/>
  <c r="AA23" i="34" s="1"/>
  <c r="J19" i="34"/>
  <c r="AC19" i="34" s="1"/>
  <c r="F17" i="34"/>
  <c r="S17" i="34" s="1"/>
  <c r="J17" i="34"/>
  <c r="W17" i="34" s="1"/>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AB44" i="21" s="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AA31" i="21" s="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AA14" i="34" s="1"/>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F11" i="36"/>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AC12" i="40"/>
  <c r="W12" i="40"/>
  <c r="H14" i="33"/>
  <c r="U14" i="33" s="1"/>
  <c r="F14" i="33"/>
  <c r="S14" i="33"/>
  <c r="J14" i="33"/>
  <c r="AC14" i="33" s="1"/>
  <c r="H30" i="33"/>
  <c r="AB30" i="33" s="1"/>
  <c r="H44" i="33"/>
  <c r="U44" i="33" s="1"/>
  <c r="J44" i="33"/>
  <c r="AC44" i="33"/>
  <c r="F44" i="33"/>
  <c r="S44" i="33" s="1"/>
  <c r="J46" i="33"/>
  <c r="AC46" i="33" s="1"/>
  <c r="F46" i="33"/>
  <c r="AA46" i="33" s="1"/>
  <c r="H13" i="34"/>
  <c r="U13" i="34" s="1"/>
  <c r="J13" i="34"/>
  <c r="W13" i="34" s="1"/>
  <c r="F13" i="34"/>
  <c r="AA13" i="34" s="1"/>
  <c r="F29" i="34"/>
  <c r="S29" i="34" s="1"/>
  <c r="J31" i="34"/>
  <c r="AC31" i="34"/>
  <c r="H31" i="34"/>
  <c r="F31" i="34"/>
  <c r="S31" i="34" s="1"/>
  <c r="J45" i="34"/>
  <c r="AC45" i="34" s="1"/>
  <c r="H47" i="34"/>
  <c r="U47" i="34"/>
  <c r="F47" i="34"/>
  <c r="S47" i="34" s="1"/>
  <c r="J47" i="34"/>
  <c r="AC47" i="34"/>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s="1"/>
  <c r="H33" i="40"/>
  <c r="U33" i="40" s="1"/>
  <c r="J35" i="40"/>
  <c r="AC35" i="40" s="1"/>
  <c r="J37" i="40"/>
  <c r="AC37" i="40" s="1"/>
  <c r="J13" i="40"/>
  <c r="W13" i="40" s="1"/>
  <c r="F14" i="37"/>
  <c r="S14" i="37" s="1"/>
  <c r="F27" i="37"/>
  <c r="AA27" i="37" s="1"/>
  <c r="F13" i="39"/>
  <c r="J13" i="39"/>
  <c r="W13" i="39" s="1"/>
  <c r="H13" i="39"/>
  <c r="U13" i="39" s="1"/>
  <c r="H14" i="40"/>
  <c r="AB14" i="40"/>
  <c r="F14" i="40"/>
  <c r="S14" i="40" s="1"/>
  <c r="J14" i="37"/>
  <c r="J27" i="37"/>
  <c r="AC27" i="37"/>
  <c r="AA44" i="33"/>
  <c r="AA14" i="33"/>
  <c r="J36" i="37"/>
  <c r="AC36" i="37" s="1"/>
  <c r="J10" i="36"/>
  <c r="AC10" i="36" s="1"/>
  <c r="AA14" i="37"/>
  <c r="W31" i="34"/>
  <c r="S45" i="33"/>
  <c r="AC28" i="21"/>
  <c r="F17" i="21"/>
  <c r="AA17" i="21" s="1"/>
  <c r="H17" i="21"/>
  <c r="AB17" i="21" s="1"/>
  <c r="F15" i="21"/>
  <c r="S15" i="21" s="1"/>
  <c r="J41" i="39"/>
  <c r="W41" i="39" s="1"/>
  <c r="W44" i="39"/>
  <c r="S35" i="39"/>
  <c r="G544" i="3"/>
  <c r="G540" i="3"/>
  <c r="G536" i="3"/>
  <c r="G535" i="3"/>
  <c r="G528" i="3"/>
  <c r="G527" i="3"/>
  <c r="G514" i="3"/>
  <c r="G510" i="3"/>
  <c r="G508" i="3"/>
  <c r="G500" i="3"/>
  <c r="G496" i="3"/>
  <c r="G584" i="3"/>
  <c r="G576" i="3"/>
  <c r="G572" i="3"/>
  <c r="G564" i="3"/>
  <c r="G560" i="3"/>
  <c r="G554" i="3"/>
  <c r="G550" i="3"/>
  <c r="BL584" i="3"/>
  <c r="BL568" i="3"/>
  <c r="BL564" i="3"/>
  <c r="BL560" i="3"/>
  <c r="BL542" i="3"/>
  <c r="BL538" i="3"/>
  <c r="BL522" i="3"/>
  <c r="BL512" i="3"/>
  <c r="BL502" i="3"/>
  <c r="BL494" i="3"/>
  <c r="BL582" i="3"/>
  <c r="BL566" i="3"/>
  <c r="BL562" i="3"/>
  <c r="BL556" i="3"/>
  <c r="BL544" i="3"/>
  <c r="BL540" i="3"/>
  <c r="G529" i="3"/>
  <c r="G525" i="3"/>
  <c r="BL510" i="3"/>
  <c r="BL504" i="3"/>
  <c r="BL500" i="3"/>
  <c r="G493" i="3"/>
  <c r="BA584" i="3"/>
  <c r="AZ584" i="3" s="1"/>
  <c r="BA582" i="3"/>
  <c r="AZ582" i="3" s="1"/>
  <c r="BA574" i="3"/>
  <c r="BA570" i="3"/>
  <c r="BA564" i="3"/>
  <c r="BA562" i="3"/>
  <c r="BA560" i="3"/>
  <c r="BA558" i="3"/>
  <c r="BA556" i="3"/>
  <c r="AZ556" i="3" s="1"/>
  <c r="BA548" i="3"/>
  <c r="BA542" i="3"/>
  <c r="AZ542" i="3" s="1"/>
  <c r="BA540" i="3"/>
  <c r="BA534" i="3"/>
  <c r="BA530" i="3"/>
  <c r="AZ530" i="3" s="1"/>
  <c r="BA528" i="3"/>
  <c r="BA520" i="3"/>
  <c r="BA516" i="3"/>
  <c r="BA510" i="3"/>
  <c r="AZ510" i="3" s="1"/>
  <c r="BA508" i="3"/>
  <c r="BA504" i="3"/>
  <c r="AZ504" i="3"/>
  <c r="BA502" i="3"/>
  <c r="BA498" i="3"/>
  <c r="BA496" i="3"/>
  <c r="BA587" i="3"/>
  <c r="BA579" i="3"/>
  <c r="BA577" i="3"/>
  <c r="BA569" i="3"/>
  <c r="BA567" i="3"/>
  <c r="BA565" i="3"/>
  <c r="BA563" i="3"/>
  <c r="BA561" i="3"/>
  <c r="BA559" i="3"/>
  <c r="BA547" i="3"/>
  <c r="BA543" i="3"/>
  <c r="BA535" i="3"/>
  <c r="BA533" i="3"/>
  <c r="BA525" i="3"/>
  <c r="BA523" i="3"/>
  <c r="BA513" i="3"/>
  <c r="BA507" i="3"/>
  <c r="BA505" i="3"/>
  <c r="BA503" i="3"/>
  <c r="BA499" i="3"/>
  <c r="BA497" i="3"/>
  <c r="BA495" i="3"/>
  <c r="AZ560" i="3"/>
  <c r="G583" i="3"/>
  <c r="G581" i="3"/>
  <c r="G577" i="3"/>
  <c r="G575" i="3"/>
  <c r="G573" i="3"/>
  <c r="G569" i="3"/>
  <c r="G567" i="3"/>
  <c r="G565" i="3"/>
  <c r="G563" i="3"/>
  <c r="G561" i="3"/>
  <c r="BL558" i="3"/>
  <c r="BA557" i="3"/>
  <c r="AC557" i="3"/>
  <c r="G557" i="3" s="1"/>
  <c r="BQ557" i="3"/>
  <c r="BL557" i="3" s="1"/>
  <c r="BQ583" i="3"/>
  <c r="BQ581" i="3"/>
  <c r="BQ579" i="3"/>
  <c r="BL579" i="3" s="1"/>
  <c r="BQ577" i="3"/>
  <c r="BQ575" i="3"/>
  <c r="BL575" i="3"/>
  <c r="BQ573" i="3"/>
  <c r="BL573" i="3" s="1"/>
  <c r="BQ571" i="3"/>
  <c r="BQ569" i="3"/>
  <c r="BQ567" i="3"/>
  <c r="BL567" i="3" s="1"/>
  <c r="BQ565" i="3"/>
  <c r="BL565" i="3" s="1"/>
  <c r="AZ565" i="3"/>
  <c r="BQ563" i="3"/>
  <c r="BL563" i="3" s="1"/>
  <c r="AZ563" i="3" s="1"/>
  <c r="BQ561" i="3"/>
  <c r="BL561" i="3"/>
  <c r="BQ559" i="3"/>
  <c r="BL559" i="3" s="1"/>
  <c r="AZ559" i="3" s="1"/>
  <c r="G559" i="3"/>
  <c r="G555" i="3"/>
  <c r="G553" i="3"/>
  <c r="G549" i="3"/>
  <c r="G545" i="3"/>
  <c r="G543" i="3"/>
  <c r="G541" i="3"/>
  <c r="G537" i="3"/>
  <c r="BQ555" i="3"/>
  <c r="BQ553" i="3"/>
  <c r="BQ551" i="3"/>
  <c r="BQ549" i="3"/>
  <c r="BQ547" i="3"/>
  <c r="BL547" i="3" s="1"/>
  <c r="BQ545" i="3"/>
  <c r="BQ543" i="3"/>
  <c r="BQ541" i="3"/>
  <c r="BQ539" i="3"/>
  <c r="BQ537" i="3"/>
  <c r="BQ535" i="3"/>
  <c r="BQ533" i="3"/>
  <c r="BL533" i="3"/>
  <c r="AZ533" i="3" s="1"/>
  <c r="BQ531" i="3"/>
  <c r="BQ529" i="3"/>
  <c r="BQ527" i="3"/>
  <c r="BL527" i="3" s="1"/>
  <c r="BQ525" i="3"/>
  <c r="BQ523" i="3"/>
  <c r="BA521" i="3"/>
  <c r="AC521" i="3"/>
  <c r="G521" i="3" s="1"/>
  <c r="BQ521" i="3"/>
  <c r="BL520" i="3"/>
  <c r="G519" i="3"/>
  <c r="G515" i="3"/>
  <c r="G513" i="3"/>
  <c r="G511" i="3"/>
  <c r="BQ519" i="3"/>
  <c r="BQ517" i="3"/>
  <c r="BQ515" i="3"/>
  <c r="BL515" i="3" s="1"/>
  <c r="BQ513" i="3"/>
  <c r="BL513" i="3" s="1"/>
  <c r="BQ511" i="3"/>
  <c r="BA509" i="3"/>
  <c r="AC509" i="3"/>
  <c r="AC5" i="3" s="1"/>
  <c r="BQ509" i="3"/>
  <c r="BL508" i="3"/>
  <c r="AZ508" i="3"/>
  <c r="G507" i="3"/>
  <c r="G503" i="3"/>
  <c r="G501" i="3"/>
  <c r="G499" i="3"/>
  <c r="G495" i="3"/>
  <c r="BQ507" i="3"/>
  <c r="BQ505" i="3"/>
  <c r="BQ503" i="3"/>
  <c r="BL503" i="3" s="1"/>
  <c r="AZ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AA36" i="37" s="1"/>
  <c r="F37" i="37"/>
  <c r="AA37" i="37" s="1"/>
  <c r="F31" i="40"/>
  <c r="S31" i="40" s="1"/>
  <c r="H31" i="40"/>
  <c r="U31" i="40" s="1"/>
  <c r="F32" i="40"/>
  <c r="S32" i="40" s="1"/>
  <c r="H32" i="40"/>
  <c r="AB32" i="40" s="1"/>
  <c r="J36" i="40"/>
  <c r="AC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W44" i="33"/>
  <c r="U19" i="21"/>
  <c r="AB38" i="21"/>
  <c r="F43" i="33"/>
  <c r="S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152"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G375" i="3"/>
  <c r="BA377" i="3"/>
  <c r="AZ377" i="3"/>
  <c r="AZ241" i="3"/>
  <c r="BA379" i="3"/>
  <c r="AZ379" i="3" s="1"/>
  <c r="BL380" i="3"/>
  <c r="G381" i="3"/>
  <c r="BA383" i="3"/>
  <c r="BL384" i="3"/>
  <c r="AZ384" i="3" s="1"/>
  <c r="G385" i="3"/>
  <c r="BA387" i="3"/>
  <c r="AZ387" i="3" s="1"/>
  <c r="BL388" i="3"/>
  <c r="G389" i="3"/>
  <c r="BA391" i="3"/>
  <c r="BL392" i="3"/>
  <c r="G393" i="3"/>
  <c r="AZ291" i="3"/>
  <c r="BM5" i="3"/>
  <c r="BJ5" i="3"/>
  <c r="BH5" i="3"/>
  <c r="BF5" i="3"/>
  <c r="BD5" i="3"/>
  <c r="AZ325" i="3"/>
  <c r="G548" i="3"/>
  <c r="G538" i="3"/>
  <c r="G520" i="3"/>
  <c r="G502" i="3"/>
  <c r="BS5" i="3"/>
  <c r="BP5" i="3"/>
  <c r="BN5" i="3"/>
  <c r="G29" i="6" s="1"/>
  <c r="BK5" i="3"/>
  <c r="BI5" i="3"/>
  <c r="BG5" i="3"/>
  <c r="BE5" i="3"/>
  <c r="BC5" i="3"/>
  <c r="G17" i="3"/>
  <c r="BA17" i="3"/>
  <c r="BT5" i="3"/>
  <c r="AZ350" i="3"/>
  <c r="AZ356" i="3"/>
  <c r="BA15" i="3"/>
  <c r="BB5" i="3"/>
  <c r="BR5" i="3"/>
  <c r="AZ499" i="3"/>
  <c r="BL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82"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A32" i="36"/>
  <c r="S32" i="36"/>
  <c r="BL14" i="3"/>
  <c r="U30" i="33"/>
  <c r="W28" i="37"/>
  <c r="S19" i="39"/>
  <c r="F12" i="33"/>
  <c r="H12" i="39"/>
  <c r="AB12" i="39"/>
  <c r="F39" i="40"/>
  <c r="AA39" i="40" s="1"/>
  <c r="BA1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AA19" i="40"/>
  <c r="S28" i="40"/>
  <c r="AA27"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U12" i="39"/>
  <c r="S23" i="36"/>
  <c r="U26" i="36"/>
  <c r="S33" i="36"/>
  <c r="AA26" i="36"/>
  <c r="AA34" i="36"/>
  <c r="AC26" i="36"/>
  <c r="AA22" i="36"/>
  <c r="W14" i="36"/>
  <c r="U22" i="36"/>
  <c r="S16"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S32" i="37"/>
  <c r="W30" i="37"/>
  <c r="S36" i="37"/>
  <c r="AA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AC42" i="34"/>
  <c r="AB35" i="34"/>
  <c r="U39" i="34"/>
  <c r="AB41" i="34"/>
  <c r="AA45" i="34"/>
  <c r="AA25"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F91" i="33"/>
  <c r="G91" i="33" s="1"/>
  <c r="H91" i="33" s="1"/>
  <c r="I91" i="33" s="1"/>
  <c r="J91" i="33" s="1"/>
  <c r="K91" i="33" s="1"/>
  <c r="L91" i="33" s="1"/>
  <c r="M91" i="33" s="1"/>
  <c r="H27" i="33"/>
  <c r="AB27" i="33" s="1"/>
  <c r="F25" i="33"/>
  <c r="S25" i="33" s="1"/>
  <c r="J23" i="33"/>
  <c r="AC23" i="33" s="1"/>
  <c r="F85" i="33"/>
  <c r="H23" i="33"/>
  <c r="F81" i="33"/>
  <c r="G81" i="33" s="1"/>
  <c r="F19" i="33"/>
  <c r="S19" i="33" s="1"/>
  <c r="J17" i="33"/>
  <c r="AC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E5"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U15" i="40"/>
  <c r="AB17" i="40"/>
  <c r="U8" i="40"/>
  <c r="S8" i="40"/>
  <c r="AA39" i="39"/>
  <c r="AC41" i="39"/>
  <c r="U42" i="39"/>
  <c r="W25" i="39"/>
  <c r="AC25"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A13" i="36"/>
  <c r="W9" i="36"/>
  <c r="W22" i="36"/>
  <c r="AB20" i="35"/>
  <c r="AC25" i="35"/>
  <c r="U25" i="35"/>
  <c r="S35" i="35"/>
  <c r="W35" i="35"/>
  <c r="AA16" i="35"/>
  <c r="AA35" i="37"/>
  <c r="W36" i="37"/>
  <c r="S27" i="37"/>
  <c r="S28" i="37"/>
  <c r="W32" i="37"/>
  <c r="U36" i="37"/>
  <c r="S40" i="37"/>
  <c r="U38" i="37"/>
  <c r="AB37" i="37"/>
  <c r="AC34" i="37"/>
  <c r="AB35" i="37"/>
  <c r="AA31" i="37"/>
  <c r="U19" i="37"/>
  <c r="AA29" i="37"/>
  <c r="U8" i="37"/>
  <c r="AA40" i="34"/>
  <c r="AB40" i="34"/>
  <c r="U19" i="34"/>
  <c r="W19"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S31" i="33"/>
  <c r="AA31" i="33"/>
  <c r="W13" i="33"/>
  <c r="AC13" i="33"/>
  <c r="S11" i="33"/>
  <c r="U37" i="33"/>
  <c r="AC28" i="33"/>
  <c r="S28" i="33"/>
  <c r="W9" i="33"/>
  <c r="W8" i="33"/>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U17" i="21"/>
  <c r="W29"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AC32" i="39" s="1"/>
  <c r="H32" i="39"/>
  <c r="AB32" i="39" s="1"/>
  <c r="S32" i="39"/>
  <c r="AB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W32" i="33"/>
  <c r="J27" i="33"/>
  <c r="AC27" i="33" s="1"/>
  <c r="AB23" i="33"/>
  <c r="U23" i="33"/>
  <c r="F23" i="33"/>
  <c r="G85" i="33"/>
  <c r="H19" i="33"/>
  <c r="U19" i="33" s="1"/>
  <c r="H17" i="33"/>
  <c r="U17" i="33" s="1"/>
  <c r="F17" i="33"/>
  <c r="S17" i="33" s="1"/>
  <c r="J23" i="21"/>
  <c r="F85" i="21"/>
  <c r="G85" i="21" s="1"/>
  <c r="H23" i="21"/>
  <c r="U23" i="21" s="1"/>
  <c r="S13" i="21"/>
  <c r="AB45" i="21"/>
  <c r="AB9" i="21"/>
  <c r="U9" i="21"/>
  <c r="AA32" i="21"/>
  <c r="S32" i="21"/>
  <c r="W9" i="21"/>
  <c r="AB32" i="21"/>
  <c r="U32" i="21"/>
  <c r="A18" i="62"/>
  <c r="B64" i="72" s="1"/>
  <c r="U32" i="39"/>
  <c r="W23" i="37"/>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C76" i="15"/>
  <c r="F16" i="15"/>
  <c r="B11" i="76"/>
  <c r="F8" i="15"/>
  <c r="M22" i="15"/>
  <c r="F7" i="73"/>
  <c r="M24" i="15"/>
  <c r="J15" i="15"/>
  <c r="F43" i="15"/>
  <c r="F26" i="15"/>
  <c r="C19" i="9"/>
  <c r="F37" i="15"/>
  <c r="C20" i="9"/>
  <c r="D34" i="9"/>
  <c r="E2" i="68"/>
  <c r="L47" i="15"/>
  <c r="E7" i="76"/>
  <c r="F40" i="15"/>
  <c r="M23" i="15"/>
  <c r="B13" i="76"/>
  <c r="M6" i="15"/>
  <c r="B8" i="76"/>
  <c r="E10" i="76"/>
  <c r="F5" i="73"/>
  <c r="F4" i="73"/>
  <c r="F6" i="15"/>
  <c r="B10" i="76"/>
  <c r="D20" i="9"/>
  <c r="F3" i="73"/>
  <c r="F6" i="73"/>
  <c r="AO13" i="1"/>
  <c r="E13" i="76"/>
  <c r="M28" i="67"/>
  <c r="M26" i="15"/>
  <c r="B12" i="76"/>
  <c r="E9" i="76"/>
  <c r="E2" i="69"/>
  <c r="M28" i="15"/>
  <c r="M9" i="15"/>
  <c r="F20" i="31"/>
  <c r="F13" i="15"/>
  <c r="F7" i="15"/>
  <c r="E12" i="76"/>
  <c r="D19" i="9"/>
  <c r="E11" i="76"/>
  <c r="F38" i="15"/>
  <c r="E8" i="76"/>
  <c r="F42" i="15"/>
  <c r="M29" i="15"/>
  <c r="B9" i="76"/>
  <c r="F38" i="67"/>
  <c r="F40" i="67"/>
  <c r="F16" i="67"/>
  <c r="M8" i="67"/>
  <c r="M8" i="15"/>
  <c r="F26" i="67"/>
  <c r="D6" i="73"/>
  <c r="F9" i="15"/>
  <c r="F36" i="67"/>
  <c r="D35" i="9"/>
  <c r="M9" i="67"/>
  <c r="B7" i="76"/>
  <c r="G7" i="1" l="1"/>
  <c r="I24" i="82"/>
  <c r="C24" i="82" s="1"/>
  <c r="W17" i="33"/>
  <c r="U15" i="33"/>
  <c r="S15" i="33"/>
  <c r="W15" i="33"/>
  <c r="H25" i="33"/>
  <c r="U25" i="33" s="1"/>
  <c r="J25" i="33"/>
  <c r="AC25" i="33" s="1"/>
  <c r="U31" i="35"/>
  <c r="AB25" i="33"/>
  <c r="S27" i="33"/>
  <c r="W27" i="33"/>
  <c r="U27" i="33"/>
  <c r="S36" i="33"/>
  <c r="U33" i="33"/>
  <c r="U11" i="33"/>
  <c r="AP7" i="1"/>
  <c r="D53" i="43"/>
  <c r="AC25" i="37"/>
  <c r="W25" i="37"/>
  <c r="AC28" i="34"/>
  <c r="W28" i="34"/>
  <c r="S13" i="40"/>
  <c r="AA13" i="40"/>
  <c r="AZ576" i="3"/>
  <c r="AZ552" i="3"/>
  <c r="AZ524" i="3"/>
  <c r="S30" i="33"/>
  <c r="AA30" i="33"/>
  <c r="U46" i="33"/>
  <c r="AB46" i="33"/>
  <c r="AZ370" i="3"/>
  <c r="AA43" i="33"/>
  <c r="W36" i="40"/>
  <c r="AA31" i="40"/>
  <c r="AZ547" i="3"/>
  <c r="AZ528" i="3"/>
  <c r="AZ570" i="3"/>
  <c r="AZ540" i="3"/>
  <c r="AA14" i="40"/>
  <c r="W45" i="34"/>
  <c r="S14" i="34"/>
  <c r="S31" i="21"/>
  <c r="U44" i="21"/>
  <c r="AA17" i="34"/>
  <c r="S29" i="35"/>
  <c r="AA29" i="35"/>
  <c r="AC19" i="33"/>
  <c r="U17" i="34"/>
  <c r="AB17" i="34"/>
  <c r="U12" i="36"/>
  <c r="AB12" i="36"/>
  <c r="AA38" i="39"/>
  <c r="S38" i="39"/>
  <c r="AB36" i="33"/>
  <c r="W32" i="39"/>
  <c r="AA23" i="21"/>
  <c r="S39" i="40"/>
  <c r="F29" i="6"/>
  <c r="E29" i="6" s="1"/>
  <c r="AZ364" i="3"/>
  <c r="AZ139" i="3"/>
  <c r="AZ306" i="3"/>
  <c r="AA11" i="36"/>
  <c r="S11" i="36"/>
  <c r="BL585" i="3"/>
  <c r="BA585" i="3"/>
  <c r="AC33" i="33"/>
  <c r="W33" i="33"/>
  <c r="F9" i="34"/>
  <c r="AA9" i="34" s="1"/>
  <c r="J9" i="34"/>
  <c r="H9" i="34"/>
  <c r="J12" i="33"/>
  <c r="H12" i="33"/>
  <c r="U12" i="33" s="1"/>
  <c r="AB9" i="39"/>
  <c r="U9" i="39"/>
  <c r="AC40" i="39"/>
  <c r="W40" i="39"/>
  <c r="F36" i="39"/>
  <c r="H36" i="39"/>
  <c r="J36" i="39"/>
  <c r="AC36" i="39" s="1"/>
  <c r="BL581" i="3"/>
  <c r="AZ581" i="3" s="1"/>
  <c r="BA581" i="3"/>
  <c r="BA580" i="3"/>
  <c r="AZ580" i="3" s="1"/>
  <c r="BL574" i="3"/>
  <c r="BA573" i="3"/>
  <c r="AZ573" i="3" s="1"/>
  <c r="BL572" i="3"/>
  <c r="BA572" i="3"/>
  <c r="AZ572" i="3" s="1"/>
  <c r="BL571" i="3"/>
  <c r="AZ571" i="3" s="1"/>
  <c r="BA555" i="3"/>
  <c r="BL554" i="3"/>
  <c r="AZ554" i="3" s="1"/>
  <c r="BA551" i="3"/>
  <c r="AZ551" i="3" s="1"/>
  <c r="BA550" i="3"/>
  <c r="BL548" i="3"/>
  <c r="AZ548" i="3" s="1"/>
  <c r="BA546" i="3"/>
  <c r="AZ546" i="3" s="1"/>
  <c r="BA545" i="3"/>
  <c r="BA537" i="3"/>
  <c r="AZ537" i="3" s="1"/>
  <c r="BL536" i="3"/>
  <c r="BA536" i="3"/>
  <c r="BL534" i="3"/>
  <c r="AZ534" i="3" s="1"/>
  <c r="BA532" i="3"/>
  <c r="AZ532" i="3" s="1"/>
  <c r="BA529" i="3"/>
  <c r="AZ529" i="3" s="1"/>
  <c r="BL528" i="3"/>
  <c r="BA526" i="3"/>
  <c r="AZ526" i="3" s="1"/>
  <c r="BL525" i="3"/>
  <c r="AZ525" i="3" s="1"/>
  <c r="BA519" i="3"/>
  <c r="BA518" i="3"/>
  <c r="AZ518" i="3" s="1"/>
  <c r="BL517" i="3"/>
  <c r="BL516" i="3"/>
  <c r="AZ516" i="3" s="1"/>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19" i="33"/>
  <c r="AB15" i="21"/>
  <c r="AC15" i="21"/>
  <c r="AZ15" i="3"/>
  <c r="AZ515" i="3"/>
  <c r="AZ513" i="3"/>
  <c r="AZ579" i="3"/>
  <c r="AZ520" i="3"/>
  <c r="AZ574" i="3"/>
  <c r="AA25" i="33"/>
  <c r="U30" i="40"/>
  <c r="U28" i="21"/>
  <c r="W14" i="33"/>
  <c r="AB44" i="33"/>
  <c r="U41" i="39"/>
  <c r="W38" i="37"/>
  <c r="AC29" i="37"/>
  <c r="AB14" i="36"/>
  <c r="U13" i="36"/>
  <c r="AB19" i="40"/>
  <c r="AA47" i="34"/>
  <c r="G509" i="3"/>
  <c r="AZ357" i="3"/>
  <c r="AZ322" i="3"/>
  <c r="AZ313" i="3"/>
  <c r="AZ394" i="3"/>
  <c r="AB34" i="39"/>
  <c r="AA25" i="21"/>
  <c r="F12" i="39"/>
  <c r="AC36" i="34"/>
  <c r="H24" i="35"/>
  <c r="BL523" i="3"/>
  <c r="AZ523" i="3" s="1"/>
  <c r="BL535" i="3"/>
  <c r="AZ535" i="3" s="1"/>
  <c r="AZ561" i="3"/>
  <c r="BL569" i="3"/>
  <c r="AZ569" i="3" s="1"/>
  <c r="AZ557" i="3"/>
  <c r="AZ558" i="3"/>
  <c r="AZ502" i="3"/>
  <c r="AB30" i="21"/>
  <c r="H13" i="40"/>
  <c r="H45" i="34"/>
  <c r="J30" i="33"/>
  <c r="H11" i="36"/>
  <c r="U11" i="36" s="1"/>
  <c r="U45" i="33"/>
  <c r="AB45" i="33"/>
  <c r="S41" i="33"/>
  <c r="J12" i="34"/>
  <c r="H12" i="34"/>
  <c r="F12" i="34"/>
  <c r="S12" i="34" s="1"/>
  <c r="AA34" i="40"/>
  <c r="S34" i="40"/>
  <c r="AB38" i="40"/>
  <c r="U38" i="40"/>
  <c r="AA19" i="33"/>
  <c r="AZ391" i="3"/>
  <c r="AZ346" i="3"/>
  <c r="AZ329" i="3"/>
  <c r="AA17" i="33"/>
  <c r="S37" i="21"/>
  <c r="D6" i="52"/>
  <c r="AA23" i="37"/>
  <c r="S17" i="37"/>
  <c r="AB28" i="36"/>
  <c r="W27" i="40"/>
  <c r="W43" i="33"/>
  <c r="U28" i="34"/>
  <c r="S43" i="34"/>
  <c r="W41" i="34"/>
  <c r="U23" i="37"/>
  <c r="U32" i="37"/>
  <c r="AB31" i="37"/>
  <c r="AA25" i="36"/>
  <c r="U21" i="40"/>
  <c r="AZ14" i="3"/>
  <c r="AC13" i="34"/>
  <c r="AZ334" i="3"/>
  <c r="AZ303" i="3"/>
  <c r="AZ347" i="3"/>
  <c r="AZ324" i="3"/>
  <c r="AZ549" i="3"/>
  <c r="AA11" i="39"/>
  <c r="AA41" i="39"/>
  <c r="H5" i="3"/>
  <c r="W44" i="21"/>
  <c r="AC45" i="33"/>
  <c r="F24" i="35"/>
  <c r="BL519" i="3"/>
  <c r="AZ519" i="3" s="1"/>
  <c r="BL531" i="3"/>
  <c r="AZ531" i="3" s="1"/>
  <c r="BL577" i="3"/>
  <c r="AZ577" i="3" s="1"/>
  <c r="BL583" i="3"/>
  <c r="AZ583" i="3" s="1"/>
  <c r="S44" i="34"/>
  <c r="AB46" i="34"/>
  <c r="H29" i="34"/>
  <c r="F44" i="21"/>
  <c r="S28" i="34"/>
  <c r="U34" i="21"/>
  <c r="AA9" i="40"/>
  <c r="S38" i="34"/>
  <c r="AA38" i="34"/>
  <c r="AZ419" i="3"/>
  <c r="BL511" i="3"/>
  <c r="AZ511" i="3" s="1"/>
  <c r="BL539" i="3"/>
  <c r="AZ539" i="3" s="1"/>
  <c r="BL543" i="3"/>
  <c r="AZ543" i="3" s="1"/>
  <c r="BL553" i="3"/>
  <c r="AZ553" i="3" s="1"/>
  <c r="AZ564" i="3"/>
  <c r="W40" i="33"/>
  <c r="AA27" i="35"/>
  <c r="S27" i="35"/>
  <c r="H23" i="36"/>
  <c r="J23" i="36"/>
  <c r="J39" i="40"/>
  <c r="H39" i="40"/>
  <c r="G566" i="3"/>
  <c r="G558" i="3"/>
  <c r="AZ407" i="3"/>
  <c r="AZ400" i="3"/>
  <c r="AZ402" i="3"/>
  <c r="AZ406" i="3"/>
  <c r="AZ413" i="3"/>
  <c r="AZ432" i="3"/>
  <c r="AZ443" i="3"/>
  <c r="AZ487" i="3"/>
  <c r="AZ270" i="3"/>
  <c r="C64" i="71"/>
  <c r="D64" i="71" s="1"/>
  <c r="D63" i="71"/>
  <c r="Y26" i="71"/>
  <c r="Z26" i="71" s="1"/>
  <c r="Y25" i="71"/>
  <c r="Z25" i="71" s="1"/>
  <c r="B79" i="43"/>
  <c r="H23" i="35"/>
  <c r="G551" i="3"/>
  <c r="BL550" i="3"/>
  <c r="G542" i="3"/>
  <c r="BL15" i="3"/>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BA464" i="3"/>
  <c r="AZ464" i="3" s="1"/>
  <c r="BA467" i="3"/>
  <c r="BA468" i="3"/>
  <c r="AZ468" i="3" s="1"/>
  <c r="BA486" i="3"/>
  <c r="BL316" i="3"/>
  <c r="BL324" i="3"/>
  <c r="BL328" i="3"/>
  <c r="AZ328" i="3" s="1"/>
  <c r="BL340" i="3"/>
  <c r="AZ340" i="3" s="1"/>
  <c r="BL346" i="3"/>
  <c r="BA366" i="3"/>
  <c r="AZ366" i="3" s="1"/>
  <c r="BL385" i="3"/>
  <c r="BA392" i="3"/>
  <c r="AZ392" i="3" s="1"/>
  <c r="BA397" i="3"/>
  <c r="AZ397" i="3" s="1"/>
  <c r="BL397" i="3"/>
  <c r="AZ301" i="3"/>
  <c r="AZ25" i="3"/>
  <c r="G585" i="3"/>
  <c r="BL587" i="3"/>
  <c r="AZ587" i="3" s="1"/>
  <c r="BL586" i="3"/>
  <c r="AZ586" i="3" s="1"/>
  <c r="G574" i="3"/>
  <c r="BL16" i="3"/>
  <c r="AZ16" i="3" s="1"/>
  <c r="BA401" i="3"/>
  <c r="AZ401" i="3" s="1"/>
  <c r="BA403" i="3"/>
  <c r="AZ403" i="3" s="1"/>
  <c r="BA404" i="3"/>
  <c r="AZ404" i="3" s="1"/>
  <c r="BA405" i="3"/>
  <c r="BL410" i="3"/>
  <c r="G412" i="3"/>
  <c r="G418" i="3"/>
  <c r="BA422" i="3"/>
  <c r="AZ422" i="3" s="1"/>
  <c r="G429" i="3"/>
  <c r="BL431" i="3"/>
  <c r="G433" i="3"/>
  <c r="BL434" i="3"/>
  <c r="G436" i="3"/>
  <c r="BL438" i="3"/>
  <c r="BL439" i="3"/>
  <c r="AZ439" i="3" s="1"/>
  <c r="BA441" i="3"/>
  <c r="AZ441" i="3" s="1"/>
  <c r="BL445" i="3"/>
  <c r="BL446" i="3"/>
  <c r="BL449" i="3"/>
  <c r="AZ449" i="3" s="1"/>
  <c r="BL450" i="3"/>
  <c r="BL452" i="3"/>
  <c r="G454" i="3"/>
  <c r="BL456" i="3"/>
  <c r="AZ456" i="3" s="1"/>
  <c r="BA465" i="3"/>
  <c r="AZ465" i="3" s="1"/>
  <c r="BL469" i="3"/>
  <c r="AZ469" i="3" s="1"/>
  <c r="BA476" i="3"/>
  <c r="AZ476" i="3" s="1"/>
  <c r="BA477" i="3"/>
  <c r="AZ477" i="3" s="1"/>
  <c r="BA478" i="3"/>
  <c r="BL480" i="3"/>
  <c r="AZ480" i="3" s="1"/>
  <c r="BA483" i="3"/>
  <c r="BL483" i="3"/>
  <c r="AZ483" i="3" s="1"/>
  <c r="BA488" i="3"/>
  <c r="AZ488" i="3" s="1"/>
  <c r="BL489" i="3"/>
  <c r="AZ489" i="3" s="1"/>
  <c r="BL491" i="3"/>
  <c r="AZ491" i="3" s="1"/>
  <c r="BL492" i="3"/>
  <c r="BA315" i="3"/>
  <c r="AZ315" i="3" s="1"/>
  <c r="BA333" i="3"/>
  <c r="BA354" i="3"/>
  <c r="BL383" i="3"/>
  <c r="AZ383" i="3" s="1"/>
  <c r="BA208" i="3"/>
  <c r="AZ208" i="3" s="1"/>
  <c r="BA212" i="3"/>
  <c r="AZ212" i="3" s="1"/>
  <c r="BL213" i="3"/>
  <c r="BL216" i="3"/>
  <c r="BA168" i="3"/>
  <c r="AZ168" i="3" s="1"/>
  <c r="BL175" i="3"/>
  <c r="AZ175" i="3" s="1"/>
  <c r="BA201" i="3"/>
  <c r="AZ201" i="3" s="1"/>
  <c r="G398" i="3"/>
  <c r="BL400" i="3"/>
  <c r="BL408" i="3"/>
  <c r="AZ408" i="3" s="1"/>
  <c r="BL411" i="3"/>
  <c r="AZ411" i="3" s="1"/>
  <c r="BL413" i="3"/>
  <c r="G415" i="3"/>
  <c r="BL417" i="3"/>
  <c r="AZ417" i="3" s="1"/>
  <c r="BL418" i="3"/>
  <c r="BL420" i="3"/>
  <c r="G422" i="3"/>
  <c r="BL424" i="3"/>
  <c r="G426" i="3"/>
  <c r="BL428" i="3"/>
  <c r="AZ428" i="3" s="1"/>
  <c r="BL429" i="3"/>
  <c r="AZ429" i="3" s="1"/>
  <c r="BL432" i="3"/>
  <c r="BL435" i="3"/>
  <c r="BL436" i="3"/>
  <c r="BA439" i="3"/>
  <c r="BA440" i="3"/>
  <c r="AZ440" i="3" s="1"/>
  <c r="BA442" i="3"/>
  <c r="AZ442" i="3" s="1"/>
  <c r="BA445" i="3"/>
  <c r="BA447" i="3"/>
  <c r="AZ447" i="3" s="1"/>
  <c r="BA449" i="3"/>
  <c r="BL453" i="3"/>
  <c r="AZ453" i="3" s="1"/>
  <c r="BL454" i="3"/>
  <c r="BL459" i="3"/>
  <c r="AZ462" i="3"/>
  <c r="G466" i="3"/>
  <c r="BL466" i="3"/>
  <c r="AZ466" i="3" s="1"/>
  <c r="G468" i="3"/>
  <c r="BL470" i="3"/>
  <c r="G472" i="3"/>
  <c r="BA210" i="3"/>
  <c r="BL210" i="3"/>
  <c r="BL214" i="3"/>
  <c r="AZ214" i="3" s="1"/>
  <c r="BL269" i="3"/>
  <c r="BA293" i="3"/>
  <c r="AZ137" i="3"/>
  <c r="BL158" i="3"/>
  <c r="BL198" i="3"/>
  <c r="BL460" i="3"/>
  <c r="BL461" i="3"/>
  <c r="BL463" i="3"/>
  <c r="AZ463" i="3" s="1"/>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9" i="3"/>
  <c r="G140" i="3"/>
  <c r="BL141" i="3"/>
  <c r="BL143" i="3"/>
  <c r="AZ143" i="3" s="1"/>
  <c r="G146" i="3"/>
  <c r="G147" i="3"/>
  <c r="G154" i="3"/>
  <c r="G156" i="3"/>
  <c r="BL157" i="3"/>
  <c r="AZ157" i="3" s="1"/>
  <c r="BL159" i="3"/>
  <c r="AZ159" i="3" s="1"/>
  <c r="G160" i="3"/>
  <c r="BL177" i="3"/>
  <c r="AZ177" i="3" s="1"/>
  <c r="G179" i="3"/>
  <c r="BL183" i="3"/>
  <c r="AZ183" i="3" s="1"/>
  <c r="BA186" i="3"/>
  <c r="AZ186" i="3" s="1"/>
  <c r="BL191" i="3"/>
  <c r="AZ191" i="3" s="1"/>
  <c r="BA193" i="3"/>
  <c r="BA196" i="3"/>
  <c r="AZ196" i="3" s="1"/>
  <c r="G203" i="3"/>
  <c r="BA205" i="3"/>
  <c r="AZ205" i="3" s="1"/>
  <c r="BA18" i="3"/>
  <c r="G21" i="3"/>
  <c r="BL21" i="3"/>
  <c r="AZ21" i="3" s="1"/>
  <c r="G26" i="3"/>
  <c r="G42" i="3"/>
  <c r="BA47" i="3"/>
  <c r="AZ47" i="3" s="1"/>
  <c r="BA62" i="3"/>
  <c r="AZ62" i="3" s="1"/>
  <c r="BA67" i="3"/>
  <c r="AZ67" i="3" s="1"/>
  <c r="T32" i="71"/>
  <c r="D32" i="71"/>
  <c r="X33" i="71"/>
  <c r="X34" i="71"/>
  <c r="X26" i="71"/>
  <c r="X36" i="71"/>
  <c r="X35" i="71"/>
  <c r="AB37" i="71"/>
  <c r="AB35" i="71"/>
  <c r="F38" i="71"/>
  <c r="F39" i="71" s="1"/>
  <c r="F40" i="71" s="1"/>
  <c r="V40" i="71" s="1"/>
  <c r="AB32" i="71"/>
  <c r="AB27" i="71"/>
  <c r="C47" i="71"/>
  <c r="D47" i="71" s="1"/>
  <c r="D46" i="71"/>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BL302" i="3"/>
  <c r="AZ302" i="3" s="1"/>
  <c r="BA114" i="3"/>
  <c r="BL123" i="3"/>
  <c r="AZ123" i="3" s="1"/>
  <c r="BA128" i="3"/>
  <c r="AZ128" i="3" s="1"/>
  <c r="BL134" i="3"/>
  <c r="AZ134" i="3" s="1"/>
  <c r="BL137" i="3"/>
  <c r="BA146" i="3"/>
  <c r="AZ146" i="3" s="1"/>
  <c r="BA150" i="3"/>
  <c r="AZ150" i="3" s="1"/>
  <c r="BL167" i="3"/>
  <c r="AZ167" i="3" s="1"/>
  <c r="BL178" i="3"/>
  <c r="BA180" i="3"/>
  <c r="AZ180" i="3" s="1"/>
  <c r="BL182" i="3"/>
  <c r="AZ182" i="3" s="1"/>
  <c r="BA185" i="3"/>
  <c r="AZ185" i="3" s="1"/>
  <c r="G206" i="3"/>
  <c r="BL206" i="3"/>
  <c r="BA207" i="3"/>
  <c r="BL24" i="3"/>
  <c r="G29" i="3"/>
  <c r="BL29" i="3"/>
  <c r="AZ29" i="3" s="1"/>
  <c r="G41" i="3"/>
  <c r="BL44" i="3"/>
  <c r="AZ52" i="3"/>
  <c r="BA72" i="3"/>
  <c r="AZ72" i="3" s="1"/>
  <c r="BA78" i="3"/>
  <c r="C52" i="71"/>
  <c r="D51" i="71"/>
  <c r="G473" i="3"/>
  <c r="BL473" i="3"/>
  <c r="AZ473" i="3" s="1"/>
  <c r="BL474" i="3"/>
  <c r="G475" i="3"/>
  <c r="BA482" i="3"/>
  <c r="BA484" i="3"/>
  <c r="AZ484" i="3" s="1"/>
  <c r="G491" i="3"/>
  <c r="BA303" i="3"/>
  <c r="BA307" i="3"/>
  <c r="AZ307" i="3" s="1"/>
  <c r="G311" i="3"/>
  <c r="BL314" i="3"/>
  <c r="AZ314" i="3" s="1"/>
  <c r="G315" i="3"/>
  <c r="BA332" i="3"/>
  <c r="AZ332" i="3" s="1"/>
  <c r="BL332" i="3"/>
  <c r="G339" i="3"/>
  <c r="G364" i="3"/>
  <c r="BA367" i="3"/>
  <c r="AZ367" i="3" s="1"/>
  <c r="BA370" i="3"/>
  <c r="BA386" i="3"/>
  <c r="AZ386" i="3" s="1"/>
  <c r="G397" i="3"/>
  <c r="G210" i="3"/>
  <c r="BA216" i="3"/>
  <c r="BA218" i="3"/>
  <c r="AZ218" i="3" s="1"/>
  <c r="BL218" i="3"/>
  <c r="BL220" i="3"/>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G190" i="3"/>
  <c r="BL193" i="3"/>
  <c r="G194" i="3"/>
  <c r="BL194" i="3"/>
  <c r="AZ194" i="3" s="1"/>
  <c r="BA198" i="3"/>
  <c r="AZ198" i="3" s="1"/>
  <c r="G204" i="3"/>
  <c r="BL23" i="3"/>
  <c r="G32" i="3"/>
  <c r="BA55" i="3"/>
  <c r="AZ55" i="3" s="1"/>
  <c r="BA65" i="3"/>
  <c r="AZ65" i="3" s="1"/>
  <c r="F40" i="69"/>
  <c r="C40" i="69"/>
  <c r="U21" i="33"/>
  <c r="AB21" i="33"/>
  <c r="C55" i="71"/>
  <c r="D54" i="71"/>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BA42" i="3"/>
  <c r="G47" i="3"/>
  <c r="BL48" i="3"/>
  <c r="BL54" i="3"/>
  <c r="BL55" i="3"/>
  <c r="G58" i="3"/>
  <c r="BA59" i="3"/>
  <c r="BL61" i="3"/>
  <c r="G64" i="3"/>
  <c r="BA64" i="3"/>
  <c r="AZ64" i="3" s="1"/>
  <c r="G67" i="3"/>
  <c r="BL68" i="3"/>
  <c r="AZ68" i="3" s="1"/>
  <c r="BA69" i="3"/>
  <c r="AZ69" i="3" s="1"/>
  <c r="G72" i="3"/>
  <c r="BL73" i="3"/>
  <c r="BA74" i="3"/>
  <c r="AZ74" i="3" s="1"/>
  <c r="BA75" i="3"/>
  <c r="AZ75" i="3" s="1"/>
  <c r="G81" i="3"/>
  <c r="G85" i="3"/>
  <c r="BL85" i="3"/>
  <c r="BA86" i="3"/>
  <c r="AZ86" i="3" s="1"/>
  <c r="BA87" i="3"/>
  <c r="AZ87" i="3" s="1"/>
  <c r="BA89" i="3"/>
  <c r="BL92" i="3"/>
  <c r="BL96" i="3"/>
  <c r="BL97" i="3"/>
  <c r="AZ97" i="3" s="1"/>
  <c r="BL101" i="3"/>
  <c r="BL102" i="3"/>
  <c r="BA104" i="3"/>
  <c r="F3" i="35"/>
  <c r="AB25" i="71"/>
  <c r="AB28" i="71"/>
  <c r="AB26" i="71"/>
  <c r="Y30" i="71"/>
  <c r="Z30" i="71" s="1"/>
  <c r="C34" i="71"/>
  <c r="Y28" i="71"/>
  <c r="Z28" i="71" s="1"/>
  <c r="C23" i="71"/>
  <c r="B22" i="71"/>
  <c r="B21" i="71" s="1"/>
  <c r="B20" i="71" s="1"/>
  <c r="AA3" i="71"/>
  <c r="BA19" i="3"/>
  <c r="AZ19" i="3" s="1"/>
  <c r="G22" i="3"/>
  <c r="G24" i="3"/>
  <c r="G25" i="3"/>
  <c r="BA27" i="3"/>
  <c r="G30" i="3"/>
  <c r="BL30" i="3"/>
  <c r="AZ30" i="3" s="1"/>
  <c r="BL31" i="3"/>
  <c r="G35" i="3"/>
  <c r="G36" i="3"/>
  <c r="G40" i="3"/>
  <c r="BL40" i="3"/>
  <c r="BL41" i="3"/>
  <c r="G45" i="3"/>
  <c r="BL45" i="3"/>
  <c r="BA48" i="3"/>
  <c r="BA49" i="3"/>
  <c r="AZ49" i="3" s="1"/>
  <c r="BA51" i="3"/>
  <c r="G54" i="3"/>
  <c r="G55" i="3"/>
  <c r="BL56" i="3"/>
  <c r="BA58" i="3"/>
  <c r="BL59" i="3"/>
  <c r="BL60" i="3"/>
  <c r="BA61" i="3"/>
  <c r="AZ61" i="3" s="1"/>
  <c r="BA68" i="3"/>
  <c r="BA73" i="3"/>
  <c r="AZ73" i="3" s="1"/>
  <c r="BA80" i="3"/>
  <c r="BL84" i="3"/>
  <c r="BL88" i="3"/>
  <c r="AZ88" i="3" s="1"/>
  <c r="BL90" i="3"/>
  <c r="AZ90" i="3" s="1"/>
  <c r="AZ103" i="3"/>
  <c r="B13" i="1"/>
  <c r="E13" i="1" s="1"/>
  <c r="K13" i="1"/>
  <c r="M13" i="1" s="1"/>
  <c r="O13" i="1" s="1"/>
  <c r="P13" i="1" s="1"/>
  <c r="T44" i="71"/>
  <c r="P65" i="71"/>
  <c r="P66" i="71"/>
  <c r="F28" i="71"/>
  <c r="F27" i="71" s="1"/>
  <c r="F26" i="71" s="1"/>
  <c r="C40" i="71"/>
  <c r="E39" i="71"/>
  <c r="E40" i="71" s="1"/>
  <c r="U40" i="71" s="1"/>
  <c r="E59" i="71"/>
  <c r="E60" i="71" s="1"/>
  <c r="U60" i="71" s="1"/>
  <c r="T76" i="71"/>
  <c r="D76" i="71"/>
  <c r="C75" i="71"/>
  <c r="BA37" i="3"/>
  <c r="G39" i="3"/>
  <c r="BL39" i="3"/>
  <c r="AZ39" i="3" s="1"/>
  <c r="BA45" i="3"/>
  <c r="BA46" i="3"/>
  <c r="BL49" i="3"/>
  <c r="BL50" i="3"/>
  <c r="AZ50" i="3" s="1"/>
  <c r="BL51" i="3"/>
  <c r="G53" i="3"/>
  <c r="BL53" i="3"/>
  <c r="AZ53" i="3" s="1"/>
  <c r="BA56" i="3"/>
  <c r="AZ56" i="3" s="1"/>
  <c r="BA57" i="3"/>
  <c r="AZ57" i="3" s="1"/>
  <c r="BL58" i="3"/>
  <c r="BA60" i="3"/>
  <c r="BA63" i="3"/>
  <c r="AZ63" i="3" s="1"/>
  <c r="BA66" i="3"/>
  <c r="AZ66" i="3" s="1"/>
  <c r="BA71" i="3"/>
  <c r="AZ71" i="3" s="1"/>
  <c r="G76" i="3"/>
  <c r="BL77" i="3"/>
  <c r="AZ77" i="3" s="1"/>
  <c r="BA79" i="3"/>
  <c r="AZ79" i="3" s="1"/>
  <c r="G82" i="3"/>
  <c r="G83" i="3"/>
  <c r="BA84" i="3"/>
  <c r="AZ84" i="3" s="1"/>
  <c r="BA92" i="3"/>
  <c r="G101" i="3"/>
  <c r="BA101" i="3"/>
  <c r="AZ101" i="3" s="1"/>
  <c r="G106" i="3"/>
  <c r="BL106" i="3"/>
  <c r="BA108" i="3"/>
  <c r="AZ108" i="3" s="1"/>
  <c r="BL111" i="3"/>
  <c r="W21" i="21"/>
  <c r="AB21" i="37"/>
  <c r="U21" i="37"/>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I24" i="84" s="1"/>
  <c r="C24" i="84" s="1"/>
  <c r="F10" i="1"/>
  <c r="G10" i="1" s="1"/>
  <c r="F8" i="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52" i="3"/>
  <c r="AZ467"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385" i="3"/>
  <c r="AZ220" i="3"/>
  <c r="AZ255" i="3"/>
  <c r="AZ293" i="3"/>
  <c r="BA472" i="3"/>
  <c r="AZ472" i="3" s="1"/>
  <c r="G476" i="3"/>
  <c r="AZ478" i="3"/>
  <c r="BA479" i="3"/>
  <c r="AZ479" i="3" s="1"/>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G248" i="3"/>
  <c r="AZ258" i="3"/>
  <c r="AZ260" i="3"/>
  <c r="BL268" i="3"/>
  <c r="AZ268" i="3" s="1"/>
  <c r="G278" i="3"/>
  <c r="BA474" i="3"/>
  <c r="BA475" i="3"/>
  <c r="AZ475" i="3" s="1"/>
  <c r="BL481" i="3"/>
  <c r="AZ481" i="3" s="1"/>
  <c r="BL482" i="3"/>
  <c r="G483" i="3"/>
  <c r="BL485" i="3"/>
  <c r="AZ485" i="3" s="1"/>
  <c r="BL486" i="3"/>
  <c r="AZ486" i="3" s="1"/>
  <c r="G487" i="3"/>
  <c r="BA492" i="3"/>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6" i="3"/>
  <c r="AZ60" i="3"/>
  <c r="BA206" i="3"/>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G30" i="6"/>
  <c r="G31" i="6" s="1"/>
  <c r="L19" i="6"/>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F66" i="67"/>
  <c r="L59" i="15"/>
  <c r="N59" i="15"/>
  <c r="M59" i="15"/>
  <c r="F66" i="15"/>
  <c r="F64" i="15"/>
  <c r="D103" i="9"/>
  <c r="C27" i="67"/>
  <c r="C27" i="15"/>
  <c r="F65" i="15"/>
  <c r="G20" i="9"/>
  <c r="C103" i="9"/>
  <c r="B13" i="70"/>
  <c r="F68" i="67"/>
  <c r="F64" i="67"/>
  <c r="F68" i="15"/>
  <c r="C36" i="68"/>
  <c r="D9" i="69"/>
  <c r="C36" i="69"/>
  <c r="D9" i="68"/>
  <c r="L48" i="15"/>
  <c r="F6" i="67"/>
  <c r="M24" i="67"/>
  <c r="L47" i="67"/>
  <c r="M6" i="67"/>
  <c r="D3" i="73"/>
  <c r="D5" i="73"/>
  <c r="L48" i="67"/>
  <c r="M26" i="67"/>
  <c r="C16" i="15"/>
  <c r="F13" i="67"/>
  <c r="F9" i="67"/>
  <c r="F42" i="67"/>
  <c r="M29" i="67"/>
  <c r="J15" i="67"/>
  <c r="F7" i="67"/>
  <c r="D7" i="73"/>
  <c r="F37" i="67"/>
  <c r="C76" i="67"/>
  <c r="M23" i="67"/>
  <c r="M22" i="67"/>
  <c r="F43" i="67"/>
  <c r="F8" i="67"/>
  <c r="D4" i="73"/>
  <c r="C38" i="84" l="1"/>
  <c r="T13" i="84"/>
  <c r="V13" i="84" s="1"/>
  <c r="T6" i="84"/>
  <c r="V6" i="84" s="1"/>
  <c r="T2" i="84"/>
  <c r="V2" i="84" s="1"/>
  <c r="C37" i="84"/>
  <c r="T12" i="84"/>
  <c r="V12" i="84" s="1"/>
  <c r="T10" i="84"/>
  <c r="V10" i="84" s="1"/>
  <c r="T7" i="84"/>
  <c r="V7" i="84" s="1"/>
  <c r="T14" i="84"/>
  <c r="V14" i="84" s="1"/>
  <c r="T11" i="84"/>
  <c r="V11" i="84" s="1"/>
  <c r="T9" i="84"/>
  <c r="V9" i="84" s="1"/>
  <c r="T15" i="84"/>
  <c r="V15" i="84" s="1"/>
  <c r="T5" i="84"/>
  <c r="V5" i="84" s="1"/>
  <c r="C40" i="84"/>
  <c r="C39" i="84"/>
  <c r="T16" i="84"/>
  <c r="V16" i="84" s="1"/>
  <c r="T8" i="84"/>
  <c r="V8" i="84" s="1"/>
  <c r="T4" i="84"/>
  <c r="V4" i="84" s="1"/>
  <c r="T3" i="84"/>
  <c r="V3" i="84" s="1"/>
  <c r="C33" i="84"/>
  <c r="J53" i="15"/>
  <c r="L56" i="15" s="1"/>
  <c r="J57" i="15"/>
  <c r="J55" i="15" s="1"/>
  <c r="J58" i="15" s="1"/>
  <c r="Q50" i="15" s="1"/>
  <c r="L58" i="15"/>
  <c r="Q73" i="15" s="1"/>
  <c r="I54" i="15"/>
  <c r="G9" i="1"/>
  <c r="G8" i="1"/>
  <c r="I24" i="81"/>
  <c r="C24" i="81" s="1"/>
  <c r="C37" i="82"/>
  <c r="C40" i="82"/>
  <c r="C39" i="82"/>
  <c r="C38" i="82"/>
  <c r="T10" i="82"/>
  <c r="V10" i="82" s="1"/>
  <c r="T6" i="82"/>
  <c r="V6" i="82" s="1"/>
  <c r="T2" i="82"/>
  <c r="V2" i="82" s="1"/>
  <c r="T9" i="82"/>
  <c r="V9" i="82" s="1"/>
  <c r="T3" i="82"/>
  <c r="V3" i="82" s="1"/>
  <c r="T16" i="82"/>
  <c r="V16" i="82" s="1"/>
  <c r="T14" i="82"/>
  <c r="V14" i="82" s="1"/>
  <c r="C33" i="82"/>
  <c r="T15" i="82"/>
  <c r="V15" i="82" s="1"/>
  <c r="T12" i="82"/>
  <c r="V12" i="82" s="1"/>
  <c r="T8" i="82"/>
  <c r="V8" i="82" s="1"/>
  <c r="T13" i="82"/>
  <c r="V13" i="82" s="1"/>
  <c r="T11" i="82"/>
  <c r="V11" i="82" s="1"/>
  <c r="T4" i="82"/>
  <c r="V4" i="82" s="1"/>
  <c r="T5" i="82"/>
  <c r="V5" i="82" s="1"/>
  <c r="T7" i="82"/>
  <c r="V7" i="82" s="1"/>
  <c r="W25" i="33"/>
  <c r="H16" i="1"/>
  <c r="Q16" i="1"/>
  <c r="F27" i="69" s="1"/>
  <c r="C47" i="69" s="1"/>
  <c r="D45" i="69" s="1"/>
  <c r="K15" i="1"/>
  <c r="L20" i="6"/>
  <c r="L27" i="6" s="1"/>
  <c r="N370" i="46"/>
  <c r="E28" i="6"/>
  <c r="K14" i="1" s="1"/>
  <c r="K16" i="1" s="1"/>
  <c r="F26" i="43"/>
  <c r="F51" i="67"/>
  <c r="F71" i="67"/>
  <c r="Q71" i="67"/>
  <c r="F65" i="67"/>
  <c r="M7" i="67"/>
  <c r="J6" i="67" s="1"/>
  <c r="J18" i="67" s="1"/>
  <c r="F50" i="67"/>
  <c r="I54" i="67"/>
  <c r="J57" i="67"/>
  <c r="J55" i="67" s="1"/>
  <c r="J58" i="67" s="1"/>
  <c r="Q50" i="67" s="1"/>
  <c r="L56" i="67"/>
  <c r="J53" i="67"/>
  <c r="Q52" i="67" s="1"/>
  <c r="M59" i="67"/>
  <c r="L59" i="67"/>
  <c r="Q74" i="67" s="1"/>
  <c r="L58" i="67"/>
  <c r="Q60" i="67" s="1"/>
  <c r="N59" i="67"/>
  <c r="F31" i="67"/>
  <c r="C6" i="67"/>
  <c r="C32" i="67" s="1"/>
  <c r="G5" i="3"/>
  <c r="B3" i="3" s="1"/>
  <c r="E539" i="3" s="1"/>
  <c r="AZ41" i="3"/>
  <c r="T52" i="71"/>
  <c r="D52" i="71"/>
  <c r="AZ126" i="3"/>
  <c r="AZ263" i="3"/>
  <c r="AZ418" i="3"/>
  <c r="AC39" i="40"/>
  <c r="W39" i="40"/>
  <c r="AB29" i="34"/>
  <c r="U29" i="34"/>
  <c r="W12" i="34"/>
  <c r="AC12" i="34"/>
  <c r="AB24" i="35"/>
  <c r="U24" i="35"/>
  <c r="G26" i="43"/>
  <c r="AZ112" i="3"/>
  <c r="AZ482" i="3"/>
  <c r="E19" i="71"/>
  <c r="E18" i="71" s="1"/>
  <c r="E17" i="71" s="1"/>
  <c r="E16" i="71" s="1"/>
  <c r="N94" i="46"/>
  <c r="J26" i="43"/>
  <c r="P6" i="1"/>
  <c r="C13" i="12" s="1"/>
  <c r="AZ37" i="3"/>
  <c r="AZ279" i="3"/>
  <c r="AZ316" i="3"/>
  <c r="G16" i="1"/>
  <c r="F10" i="39" s="1"/>
  <c r="S10" i="39" s="1"/>
  <c r="D67" i="71"/>
  <c r="C66" i="71"/>
  <c r="O67" i="71"/>
  <c r="AZ45" i="3"/>
  <c r="D75" i="71"/>
  <c r="C74" i="71"/>
  <c r="D74" i="71" s="1"/>
  <c r="D34" i="71"/>
  <c r="C35" i="71"/>
  <c r="AZ59" i="3"/>
  <c r="AZ249" i="3"/>
  <c r="AZ216" i="3"/>
  <c r="AZ271" i="3"/>
  <c r="AZ238" i="3"/>
  <c r="AZ210" i="3"/>
  <c r="AZ405" i="3"/>
  <c r="AZ461" i="3"/>
  <c r="AZ454" i="3"/>
  <c r="AZ435" i="3"/>
  <c r="AC23" i="36"/>
  <c r="W23" i="36"/>
  <c r="W30" i="33"/>
  <c r="AC30" i="33"/>
  <c r="AZ550" i="3"/>
  <c r="AC12" i="33"/>
  <c r="W12" i="33"/>
  <c r="U45" i="34"/>
  <c r="AB45" i="34"/>
  <c r="S12" i="39"/>
  <c r="AA12" i="39"/>
  <c r="AB36" i="39"/>
  <c r="U36" i="39"/>
  <c r="AB9" i="34"/>
  <c r="U9" i="34"/>
  <c r="T40" i="71"/>
  <c r="D40" i="71"/>
  <c r="B19" i="71"/>
  <c r="B18" i="71" s="1"/>
  <c r="B17" i="71" s="1"/>
  <c r="B16" i="71" s="1"/>
  <c r="S20" i="71"/>
  <c r="U23" i="36"/>
  <c r="AB23" i="36"/>
  <c r="D17" i="53"/>
  <c r="B36" i="72" s="1"/>
  <c r="E26" i="43"/>
  <c r="AZ206" i="3"/>
  <c r="AZ44" i="3"/>
  <c r="AZ285" i="3"/>
  <c r="AZ396" i="3"/>
  <c r="AZ492" i="3"/>
  <c r="AZ474" i="3"/>
  <c r="AZ232" i="3"/>
  <c r="AZ333" i="3"/>
  <c r="AB12" i="33"/>
  <c r="C26" i="71"/>
  <c r="D26" i="71" s="1"/>
  <c r="D27" i="71"/>
  <c r="AZ58" i="3"/>
  <c r="AZ51" i="3"/>
  <c r="C22" i="71"/>
  <c r="D23" i="71"/>
  <c r="C56" i="71"/>
  <c r="D55" i="71"/>
  <c r="AZ251" i="3"/>
  <c r="AZ247" i="3"/>
  <c r="AZ121" i="3"/>
  <c r="AZ274" i="3"/>
  <c r="AZ223" i="3"/>
  <c r="AZ459" i="3"/>
  <c r="U23" i="35"/>
  <c r="AB23" i="35"/>
  <c r="U39" i="40"/>
  <c r="AB39" i="40"/>
  <c r="AA44" i="21"/>
  <c r="S44" i="21"/>
  <c r="AA24" i="35"/>
  <c r="S24" i="35"/>
  <c r="AB12" i="34"/>
  <c r="U12" i="34"/>
  <c r="U13" i="40"/>
  <c r="AB13" i="40"/>
  <c r="AZ536" i="3"/>
  <c r="S36" i="39"/>
  <c r="AA36" i="39"/>
  <c r="AC9" i="34"/>
  <c r="W9" i="34"/>
  <c r="AZ585" i="3"/>
  <c r="J7" i="37"/>
  <c r="K1" i="73"/>
  <c r="E95" i="3"/>
  <c r="E64" i="3"/>
  <c r="E233" i="3"/>
  <c r="E102" i="3"/>
  <c r="E408" i="3"/>
  <c r="E428" i="3"/>
  <c r="AH6" i="3"/>
  <c r="L6" i="3"/>
  <c r="E392" i="3"/>
  <c r="E365" i="3"/>
  <c r="E460" i="3"/>
  <c r="E24" i="3"/>
  <c r="E48" i="3"/>
  <c r="E297" i="3"/>
  <c r="E374" i="3"/>
  <c r="E187" i="3"/>
  <c r="E136" i="3"/>
  <c r="E474" i="3"/>
  <c r="E207" i="3"/>
  <c r="E547" i="3"/>
  <c r="E317" i="3"/>
  <c r="E523" i="3"/>
  <c r="E304" i="3"/>
  <c r="E303" i="3"/>
  <c r="E481" i="3"/>
  <c r="E203" i="3"/>
  <c r="E252" i="3"/>
  <c r="E166" i="3"/>
  <c r="E125" i="3"/>
  <c r="E239" i="3"/>
  <c r="E320" i="3"/>
  <c r="E415" i="3"/>
  <c r="E290" i="3"/>
  <c r="E85" i="3"/>
  <c r="E193" i="3"/>
  <c r="E562" i="3"/>
  <c r="E31" i="3"/>
  <c r="E107" i="3"/>
  <c r="E414" i="3"/>
  <c r="E186" i="3"/>
  <c r="E44" i="3"/>
  <c r="E343" i="3"/>
  <c r="E270" i="3"/>
  <c r="E538" i="3"/>
  <c r="E216" i="3"/>
  <c r="E183" i="3"/>
  <c r="E503" i="3"/>
  <c r="E91" i="3"/>
  <c r="E586" i="3"/>
  <c r="E124"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6" i="1"/>
  <c r="AE9" i="1"/>
  <c r="F27" i="68"/>
  <c r="AE7" i="1"/>
  <c r="AE8" i="1"/>
  <c r="AE12" i="1"/>
  <c r="AE10" i="1"/>
  <c r="F41" i="67"/>
  <c r="G1" i="73"/>
  <c r="C16" i="67"/>
  <c r="Q60" i="15" l="1"/>
  <c r="C34" i="84"/>
  <c r="E34" i="84" s="1"/>
  <c r="E33" i="84"/>
  <c r="G39" i="84"/>
  <c r="I39" i="84" s="1"/>
  <c r="E39" i="84"/>
  <c r="E40" i="84"/>
  <c r="G40" i="84"/>
  <c r="I40" i="84" s="1"/>
  <c r="E37" i="84"/>
  <c r="G37" i="84"/>
  <c r="I37" i="84" s="1"/>
  <c r="E38" i="84"/>
  <c r="G38" i="84"/>
  <c r="I38" i="84" s="1"/>
  <c r="F27" i="11"/>
  <c r="C29" i="11" s="1"/>
  <c r="D27" i="11" s="1"/>
  <c r="Q52" i="15"/>
  <c r="F1" i="15"/>
  <c r="G37" i="82"/>
  <c r="I37" i="82" s="1"/>
  <c r="E37" i="82"/>
  <c r="C34" i="82"/>
  <c r="E34" i="82" s="1"/>
  <c r="E33" i="82"/>
  <c r="G38" i="82"/>
  <c r="I38" i="82" s="1"/>
  <c r="E38" i="82"/>
  <c r="C40" i="81"/>
  <c r="C39" i="81"/>
  <c r="C38" i="81"/>
  <c r="C37" i="81"/>
  <c r="T7" i="81"/>
  <c r="V7" i="81" s="1"/>
  <c r="T3" i="81"/>
  <c r="V3" i="81" s="1"/>
  <c r="C33" i="81"/>
  <c r="T5" i="81"/>
  <c r="V5" i="81" s="1"/>
  <c r="T16" i="81"/>
  <c r="V16" i="81" s="1"/>
  <c r="T14" i="81"/>
  <c r="V14" i="81" s="1"/>
  <c r="T15" i="81"/>
  <c r="V15" i="81" s="1"/>
  <c r="T11" i="81"/>
  <c r="V11" i="81" s="1"/>
  <c r="T12" i="81"/>
  <c r="V12" i="81" s="1"/>
  <c r="T4" i="81"/>
  <c r="V4" i="81" s="1"/>
  <c r="T2" i="81"/>
  <c r="V2" i="81" s="1"/>
  <c r="T10" i="81"/>
  <c r="V10" i="81" s="1"/>
  <c r="T6" i="81"/>
  <c r="V6" i="81" s="1"/>
  <c r="T8" i="81"/>
  <c r="V8" i="81" s="1"/>
  <c r="T9" i="81"/>
  <c r="V9" i="81" s="1"/>
  <c r="T13" i="81"/>
  <c r="V13" i="81" s="1"/>
  <c r="E39" i="82"/>
  <c r="G39" i="82"/>
  <c r="I39" i="82" s="1"/>
  <c r="G40" i="82"/>
  <c r="I40" i="82" s="1"/>
  <c r="E40" i="82"/>
  <c r="M14" i="1"/>
  <c r="O14" i="1" s="1"/>
  <c r="O16" i="1" s="1"/>
  <c r="F45" i="69"/>
  <c r="C29" i="69"/>
  <c r="D27" i="69" s="1"/>
  <c r="F28" i="12"/>
  <c r="C29" i="12" s="1"/>
  <c r="D28" i="12" s="1"/>
  <c r="E400" i="3"/>
  <c r="E327" i="3"/>
  <c r="E227" i="3"/>
  <c r="E214" i="3"/>
  <c r="E454" i="3"/>
  <c r="E465" i="3"/>
  <c r="K6" i="3"/>
  <c r="AK6" i="3"/>
  <c r="E77" i="3"/>
  <c r="E301" i="3"/>
  <c r="E261" i="3"/>
  <c r="E555" i="3"/>
  <c r="E476" i="3"/>
  <c r="E111" i="3"/>
  <c r="E293" i="3"/>
  <c r="E151" i="3"/>
  <c r="E581" i="3"/>
  <c r="E434" i="3"/>
  <c r="E328" i="3"/>
  <c r="E168" i="3"/>
  <c r="AD6" i="3"/>
  <c r="E500" i="3"/>
  <c r="E340" i="3"/>
  <c r="E16" i="3"/>
  <c r="AL6" i="3"/>
  <c r="E442" i="3"/>
  <c r="D26" i="43"/>
  <c r="C25" i="43" s="1"/>
  <c r="C33" i="43" s="1"/>
  <c r="E399" i="3"/>
  <c r="E350" i="3"/>
  <c r="E180" i="3"/>
  <c r="E528" i="3"/>
  <c r="E231" i="3"/>
  <c r="E561" i="3"/>
  <c r="E143" i="3"/>
  <c r="E388" i="3"/>
  <c r="E530" i="3"/>
  <c r="E384" i="3"/>
  <c r="E162" i="3"/>
  <c r="AS6" i="3"/>
  <c r="E478" i="3"/>
  <c r="E271" i="3"/>
  <c r="E318" i="3"/>
  <c r="E72" i="3"/>
  <c r="E527" i="3"/>
  <c r="E45" i="3"/>
  <c r="E453" i="3"/>
  <c r="E578" i="3"/>
  <c r="E117" i="3"/>
  <c r="E114" i="3"/>
  <c r="V6" i="3"/>
  <c r="E229" i="3"/>
  <c r="N6" i="3"/>
  <c r="E30" i="3"/>
  <c r="E121" i="3"/>
  <c r="E558" i="3"/>
  <c r="E236" i="3"/>
  <c r="E73" i="3"/>
  <c r="E437" i="3"/>
  <c r="E238" i="3"/>
  <c r="E159" i="3"/>
  <c r="E237" i="3"/>
  <c r="S6" i="3"/>
  <c r="E426" i="3"/>
  <c r="E291" i="3"/>
  <c r="E367" i="3"/>
  <c r="E196" i="3"/>
  <c r="E54" i="3"/>
  <c r="E529" i="3"/>
  <c r="E461" i="3"/>
  <c r="E413" i="3"/>
  <c r="E179" i="3"/>
  <c r="E542" i="3"/>
  <c r="E436" i="3"/>
  <c r="E354" i="3"/>
  <c r="E416" i="3"/>
  <c r="E386" i="3"/>
  <c r="E566" i="3"/>
  <c r="E265" i="3"/>
  <c r="E289" i="3"/>
  <c r="E234" i="3"/>
  <c r="E276" i="3"/>
  <c r="E422" i="3"/>
  <c r="E158" i="3"/>
  <c r="E115" i="3"/>
  <c r="E405" i="3"/>
  <c r="E34" i="3"/>
  <c r="E198" i="3"/>
  <c r="E67" i="3"/>
  <c r="E409" i="3"/>
  <c r="E417" i="3"/>
  <c r="E575" i="3"/>
  <c r="E380" i="3"/>
  <c r="AR6" i="3"/>
  <c r="E337" i="3"/>
  <c r="E508" i="3"/>
  <c r="E175" i="3"/>
  <c r="E331" i="3"/>
  <c r="E27" i="3"/>
  <c r="E505" i="3"/>
  <c r="E515" i="3"/>
  <c r="E269" i="3"/>
  <c r="E351" i="3"/>
  <c r="E450" i="3"/>
  <c r="E458" i="3"/>
  <c r="E99" i="3"/>
  <c r="E583" i="3"/>
  <c r="E382" i="3"/>
  <c r="E550" i="3"/>
  <c r="E230" i="3"/>
  <c r="E551" i="3"/>
  <c r="E396" i="3"/>
  <c r="E553" i="3"/>
  <c r="E334" i="3"/>
  <c r="E88" i="3"/>
  <c r="E448" i="3"/>
  <c r="E580" i="3"/>
  <c r="E429" i="3"/>
  <c r="E177" i="3"/>
  <c r="E280" i="3"/>
  <c r="E302" i="3"/>
  <c r="E321" i="3"/>
  <c r="E285" i="3"/>
  <c r="E319" i="3"/>
  <c r="E92" i="3"/>
  <c r="E411" i="3"/>
  <c r="E14" i="3"/>
  <c r="E537" i="3"/>
  <c r="E224" i="3"/>
  <c r="E127" i="3"/>
  <c r="E87" i="3"/>
  <c r="E163" i="3"/>
  <c r="E584" i="3"/>
  <c r="E149" i="3"/>
  <c r="E446" i="3"/>
  <c r="E244" i="3"/>
  <c r="E58" i="3"/>
  <c r="E141" i="3"/>
  <c r="E62" i="3"/>
  <c r="E112" i="3"/>
  <c r="E38" i="3"/>
  <c r="E108" i="3"/>
  <c r="E543" i="3"/>
  <c r="E49" i="3"/>
  <c r="E420" i="3"/>
  <c r="E173" i="3"/>
  <c r="E235" i="3"/>
  <c r="E309" i="3"/>
  <c r="E310" i="3"/>
  <c r="E389" i="3"/>
  <c r="E554" i="3"/>
  <c r="E536" i="3"/>
  <c r="E3" i="6"/>
  <c r="E495" i="3"/>
  <c r="E134" i="3"/>
  <c r="E361" i="3"/>
  <c r="E185" i="3"/>
  <c r="E439" i="3"/>
  <c r="E533" i="3"/>
  <c r="E410" i="3"/>
  <c r="E305" i="3"/>
  <c r="E441" i="3"/>
  <c r="E210" i="3"/>
  <c r="E447" i="3"/>
  <c r="E477" i="3"/>
  <c r="E585" i="3"/>
  <c r="E549" i="3"/>
  <c r="E150" i="3"/>
  <c r="E571" i="3"/>
  <c r="E573" i="3"/>
  <c r="E314" i="3"/>
  <c r="E336" i="3"/>
  <c r="E245" i="3"/>
  <c r="E395" i="3"/>
  <c r="E294" i="3"/>
  <c r="E559" i="3"/>
  <c r="E516" i="3"/>
  <c r="E366" i="3"/>
  <c r="E316" i="3"/>
  <c r="E444" i="3"/>
  <c r="AG6" i="3"/>
  <c r="E394" i="3"/>
  <c r="AE6" i="3"/>
  <c r="E120" i="3"/>
  <c r="E353" i="3"/>
  <c r="E17" i="3"/>
  <c r="E338" i="3"/>
  <c r="E359" i="3"/>
  <c r="E53" i="3"/>
  <c r="E71" i="3"/>
  <c r="U6" i="3"/>
  <c r="E357" i="3"/>
  <c r="W6" i="3"/>
  <c r="E157" i="3"/>
  <c r="E307" i="3"/>
  <c r="E195" i="3"/>
  <c r="E462" i="3"/>
  <c r="E266" i="3"/>
  <c r="E323" i="3"/>
  <c r="E110" i="3"/>
  <c r="E222" i="3"/>
  <c r="E348" i="3"/>
  <c r="E165" i="3"/>
  <c r="E20" i="3"/>
  <c r="E36" i="3"/>
  <c r="E473" i="3"/>
  <c r="E401" i="3"/>
  <c r="E105" i="3"/>
  <c r="E220" i="3"/>
  <c r="E497" i="3"/>
  <c r="E22" i="3"/>
  <c r="E18" i="3"/>
  <c r="E63" i="3"/>
  <c r="E267" i="3"/>
  <c r="E241" i="3"/>
  <c r="E449" i="3"/>
  <c r="J5" i="67"/>
  <c r="J24" i="67" s="1"/>
  <c r="AA10" i="39"/>
  <c r="H10" i="39"/>
  <c r="U10" i="39" s="1"/>
  <c r="H10" i="40"/>
  <c r="AB10" i="40" s="1"/>
  <c r="J10" i="39"/>
  <c r="W10" i="39" s="1"/>
  <c r="F10" i="40"/>
  <c r="S10" i="40" s="1"/>
  <c r="J10" i="40"/>
  <c r="AC10" i="40" s="1"/>
  <c r="Q73" i="67"/>
  <c r="F1" i="67"/>
  <c r="M17" i="67"/>
  <c r="C49" i="67"/>
  <c r="Q61" i="67"/>
  <c r="F59" i="67"/>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D22" i="71"/>
  <c r="C21" i="71"/>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O65" i="71"/>
  <c r="D66" i="71"/>
  <c r="O6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C35" i="9"/>
  <c r="F41" i="15"/>
  <c r="M27" i="15"/>
  <c r="M27" i="67"/>
  <c r="C30" i="84" l="1"/>
  <c r="B2" i="84" s="1"/>
  <c r="B3" i="84" s="1"/>
  <c r="C31" i="84"/>
  <c r="L36" i="82"/>
  <c r="M36" i="82" s="1"/>
  <c r="L36" i="84"/>
  <c r="C30" i="82"/>
  <c r="B2" i="82" s="1"/>
  <c r="B3" i="82" s="1"/>
  <c r="G40" i="81"/>
  <c r="I40" i="81" s="1"/>
  <c r="E40" i="81"/>
  <c r="C31" i="82"/>
  <c r="G37" i="81"/>
  <c r="I37" i="81" s="1"/>
  <c r="E37" i="81"/>
  <c r="E39" i="81"/>
  <c r="G39" i="81"/>
  <c r="I39" i="81" s="1"/>
  <c r="AB10" i="39"/>
  <c r="C34" i="81"/>
  <c r="E34" i="81" s="1"/>
  <c r="E33" i="81"/>
  <c r="M44" i="80"/>
  <c r="N44" i="80" s="1"/>
  <c r="E38" i="81"/>
  <c r="G38" i="81"/>
  <c r="I38" i="81" s="1"/>
  <c r="V2" i="43"/>
  <c r="C34" i="43" s="1"/>
  <c r="E34" i="43" s="1"/>
  <c r="M43" i="80"/>
  <c r="N43" i="80" s="1"/>
  <c r="AC10" i="39"/>
  <c r="H6" i="3"/>
  <c r="AC6" i="3"/>
  <c r="L36" i="43"/>
  <c r="L37" i="43" s="1"/>
  <c r="P37" i="43" s="1"/>
  <c r="L36" i="81"/>
  <c r="W10" i="40"/>
  <c r="C48" i="67"/>
  <c r="C66" i="67" s="1"/>
  <c r="F22" i="11"/>
  <c r="C44" i="11" s="1"/>
  <c r="D41" i="11" s="1"/>
  <c r="F24" i="67"/>
  <c r="C24" i="67" s="1"/>
  <c r="F22" i="69"/>
  <c r="F41" i="69" s="1"/>
  <c r="F24" i="15"/>
  <c r="C24" i="15" s="1"/>
  <c r="F22" i="68"/>
  <c r="C26" i="68" s="1"/>
  <c r="D22" i="68" s="1"/>
  <c r="F25" i="12"/>
  <c r="C26" i="12" s="1"/>
  <c r="D25" i="12" s="1"/>
  <c r="I53" i="34"/>
  <c r="J53" i="34" s="1"/>
  <c r="I46" i="37"/>
  <c r="J46" i="37" s="1"/>
  <c r="T36" i="71"/>
  <c r="D36" i="71"/>
  <c r="D116" i="43"/>
  <c r="D21" i="71"/>
  <c r="C20" i="71"/>
  <c r="E49" i="34"/>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4" i="67"/>
  <c r="C17" i="15"/>
  <c r="C17" i="67"/>
  <c r="P36" i="82" l="1"/>
  <c r="N36" i="82"/>
  <c r="O36" i="82"/>
  <c r="L37" i="82"/>
  <c r="Q37" i="82" s="1"/>
  <c r="Q36" i="82"/>
  <c r="N36" i="84"/>
  <c r="L37" i="84"/>
  <c r="P36" i="84"/>
  <c r="Q36" i="84"/>
  <c r="O36" i="84"/>
  <c r="M36" i="84"/>
  <c r="C31" i="81"/>
  <c r="C30" i="81"/>
  <c r="B2" i="81" s="1"/>
  <c r="B3" i="81" s="1"/>
  <c r="D30" i="6"/>
  <c r="H24" i="6"/>
  <c r="E6" i="3"/>
  <c r="H22" i="6"/>
  <c r="O37" i="43"/>
  <c r="P36" i="43"/>
  <c r="M36" i="43"/>
  <c r="Q37" i="43"/>
  <c r="N36" i="43"/>
  <c r="M37" i="43"/>
  <c r="O36" i="43"/>
  <c r="N36" i="81"/>
  <c r="Q36" i="81"/>
  <c r="M36" i="81"/>
  <c r="L37" i="81"/>
  <c r="P36" i="81"/>
  <c r="O36" i="81"/>
  <c r="N37" i="43"/>
  <c r="Q36" i="43"/>
  <c r="C25" i="11"/>
  <c r="C26" i="69"/>
  <c r="D22" i="69" s="1"/>
  <c r="C60" i="67"/>
  <c r="H25" i="6"/>
  <c r="R25" i="6" s="1"/>
  <c r="R12" i="1" s="1"/>
  <c r="C44" i="69"/>
  <c r="D41" i="69" s="1"/>
  <c r="C24" i="11"/>
  <c r="C23" i="11"/>
  <c r="C22" i="11" s="1"/>
  <c r="C26" i="11"/>
  <c r="D22" i="11" s="1"/>
  <c r="C23" i="68"/>
  <c r="C44" i="68"/>
  <c r="D41" i="68" s="1"/>
  <c r="F41" i="68"/>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P37" i="82" l="1"/>
  <c r="O37" i="82"/>
  <c r="M37" i="82"/>
  <c r="N37" i="82"/>
  <c r="N37" i="84"/>
  <c r="P37" i="84"/>
  <c r="Q37" i="84"/>
  <c r="M37" i="84"/>
  <c r="O37" i="84"/>
  <c r="D31" i="6"/>
  <c r="N37" i="81"/>
  <c r="Q37" i="81"/>
  <c r="M37" i="81"/>
  <c r="P37" i="81"/>
  <c r="O37" i="81"/>
  <c r="C31" i="1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2" i="21" s="1"/>
  <c r="F52"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6" i="1"/>
  <c r="AO7" i="1"/>
  <c r="AO8"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E81" i="9" l="1"/>
  <c r="E80" i="9"/>
  <c r="C80" i="9"/>
  <c r="B51" i="72"/>
  <c r="F4" i="52"/>
  <c r="E97" i="9"/>
  <c r="E96" i="9"/>
  <c r="C96" i="9"/>
  <c r="D119" i="9"/>
  <c r="D5" i="52"/>
  <c r="B49" i="72"/>
  <c r="D9" i="52"/>
  <c r="D123" i="9"/>
  <c r="B21" i="72"/>
  <c r="D7" i="53"/>
  <c r="B32" i="72"/>
  <c r="D14" i="53"/>
  <c r="C85" i="9"/>
  <c r="C95" i="9"/>
  <c r="C97" i="9"/>
  <c r="D58" i="9"/>
  <c r="D56" i="9"/>
  <c r="M54" i="9"/>
  <c r="B52" i="72"/>
  <c r="G4" i="52"/>
  <c r="N60" i="9"/>
  <c r="N59" i="9"/>
  <c r="N61" i="9"/>
  <c r="C86" i="9"/>
  <c r="C93" i="9"/>
  <c r="B20" i="72"/>
  <c r="D122" i="9"/>
  <c r="D8" i="52"/>
  <c r="H5" i="52"/>
  <c r="H119" i="9"/>
  <c r="D13" i="53"/>
  <c r="B30" i="72"/>
  <c r="C6" i="74"/>
  <c r="C68" i="9"/>
  <c r="D54" i="9"/>
  <c r="G118" i="9"/>
  <c r="F118" i="9"/>
  <c r="F119" i="9"/>
  <c r="F5" i="52"/>
  <c r="B53" i="72"/>
  <c r="D53" i="9"/>
  <c r="D52" i="9"/>
  <c r="B47" i="72"/>
  <c r="D118" i="9"/>
  <c r="D4" i="52"/>
  <c r="M48" i="9"/>
  <c r="C105" i="9"/>
  <c r="I4" i="52"/>
  <c r="C104" i="9"/>
  <c r="H4" i="52"/>
  <c r="E118" i="9"/>
  <c r="E4" i="52"/>
  <c r="B48" i="72"/>
  <c r="H102" i="9"/>
  <c r="C5" i="74"/>
  <c r="C72" i="9"/>
  <c r="C79" i="9"/>
  <c r="C81" i="9"/>
  <c r="D5" i="53"/>
  <c r="D6" i="53"/>
  <c r="B22" i="72"/>
  <c r="P57" i="9"/>
  <c r="D55" i="9"/>
  <c r="M53" i="9"/>
  <c r="N57" i="9"/>
  <c r="N58" i="9"/>
  <c r="C64" i="9"/>
  <c r="C63" i="9"/>
  <c r="C67" i="9"/>
  <c r="D59" i="9"/>
  <c r="M55" i="9"/>
  <c r="D45" i="9"/>
  <c r="C78" i="9"/>
  <c r="C73"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D85C1848-18C1-4157-965A-06F93BFEC27F}">
      <text>
        <r>
          <rPr>
            <b/>
            <sz val="9"/>
            <color indexed="81"/>
            <rFont val="宋体"/>
            <family val="3"/>
            <charset val="134"/>
          </rPr>
          <t>对应区片地价表</t>
        </r>
        <r>
          <rPr>
            <sz val="9"/>
            <color indexed="81"/>
            <rFont val="宋体"/>
            <family val="3"/>
            <charset val="134"/>
          </rPr>
          <t xml:space="preserve">
</t>
        </r>
      </text>
    </comment>
    <comment ref="Y9" authorId="1" shapeId="0" xr:uid="{16FC479E-3607-494E-88F5-296F12FAAE22}">
      <text>
        <r>
          <rPr>
            <sz val="11"/>
            <color indexed="81"/>
            <rFont val="宋体"/>
            <family val="3"/>
            <charset val="134"/>
          </rPr>
          <t xml:space="preserve">录入层数，将对应的结果录入至左侧相应层的楼层修正系数单元格中
</t>
        </r>
      </text>
    </comment>
    <comment ref="C16" authorId="1" shapeId="0" xr:uid="{27CEB890-F3B7-4B61-B28D-E697CD93C9BC}">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4414EE71-5D72-443E-9469-07E70F8DD6EE}">
      <text>
        <r>
          <rPr>
            <sz val="12"/>
            <color indexed="81"/>
            <rFont val="宋体"/>
            <family val="3"/>
            <charset val="134"/>
          </rPr>
          <t>1.05~1.1</t>
        </r>
        <r>
          <rPr>
            <sz val="9"/>
            <color indexed="81"/>
            <rFont val="宋体"/>
            <family val="3"/>
            <charset val="134"/>
          </rPr>
          <t xml:space="preserve">
</t>
        </r>
      </text>
    </comment>
    <comment ref="E16" authorId="1" shapeId="0" xr:uid="{509CBC22-CD15-4BAC-8A39-73ACAEAB5A7A}">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F77B9BA1-AFFF-4D71-9988-1B61E3AE5A58}">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E0A6CB2C-9104-4470-AE59-D0B9BCD0AB37}">
      <text>
        <r>
          <rPr>
            <b/>
            <sz val="14"/>
            <color indexed="81"/>
            <rFont val="宋体"/>
            <family val="3"/>
            <charset val="134"/>
          </rPr>
          <t>工业选“中心城区”</t>
        </r>
        <r>
          <rPr>
            <sz val="9"/>
            <color indexed="81"/>
            <rFont val="宋体"/>
            <family val="3"/>
            <charset val="134"/>
          </rPr>
          <t xml:space="preserve">
</t>
        </r>
      </text>
    </comment>
    <comment ref="B35" authorId="4" shapeId="0" xr:uid="{62F37151-4811-42E3-9ADA-2E2EA97EE50D}">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795D2FF-A715-4377-90EC-1D4C10A807D5}">
      <text>
        <r>
          <rPr>
            <sz val="9"/>
            <color indexed="81"/>
            <rFont val="宋体"/>
            <family val="3"/>
            <charset val="134"/>
          </rPr>
          <t xml:space="preserve">需在此处填写剩余土地年限
</t>
        </r>
      </text>
    </comment>
    <comment ref="C111" authorId="0" shapeId="0" xr:uid="{6E96F8E8-C1A9-47B6-8DB7-7F9F7EB52BE1}">
      <text>
        <r>
          <rPr>
            <b/>
            <sz val="9"/>
            <color indexed="81"/>
            <rFont val="宋体"/>
            <family val="3"/>
            <charset val="134"/>
          </rPr>
          <t xml:space="preserve">所在楼层
</t>
        </r>
        <r>
          <rPr>
            <sz val="9"/>
            <color indexed="81"/>
            <rFont val="宋体"/>
            <family val="3"/>
            <charset val="134"/>
          </rPr>
          <t xml:space="preserve">
</t>
        </r>
      </text>
    </comment>
    <comment ref="D111" authorId="0" shapeId="0" xr:uid="{0DC33486-54B0-40E6-81AB-66E8DD950E9E}">
      <text>
        <r>
          <rPr>
            <b/>
            <sz val="9"/>
            <color indexed="81"/>
            <rFont val="宋体"/>
            <family val="3"/>
            <charset val="134"/>
          </rPr>
          <t xml:space="preserve">所在楼层
</t>
        </r>
        <r>
          <rPr>
            <sz val="9"/>
            <color indexed="81"/>
            <rFont val="宋体"/>
            <family val="3"/>
            <charset val="134"/>
          </rPr>
          <t xml:space="preserve">
</t>
        </r>
      </text>
    </comment>
    <comment ref="E111" authorId="0" shapeId="0" xr:uid="{D29D45C4-F119-4CE9-9475-8D122B351665}">
      <text>
        <r>
          <rPr>
            <b/>
            <sz val="9"/>
            <color indexed="81"/>
            <rFont val="宋体"/>
            <family val="3"/>
            <charset val="134"/>
          </rPr>
          <t xml:space="preserve">所在楼层
</t>
        </r>
        <r>
          <rPr>
            <sz val="9"/>
            <color indexed="81"/>
            <rFont val="宋体"/>
            <family val="3"/>
            <charset val="134"/>
          </rPr>
          <t xml:space="preserve">
</t>
        </r>
      </text>
    </comment>
    <comment ref="F111" authorId="0" shapeId="0" xr:uid="{B078CDBB-613C-4A5C-B84C-A407C356908E}">
      <text>
        <r>
          <rPr>
            <b/>
            <sz val="9"/>
            <color indexed="81"/>
            <rFont val="宋体"/>
            <family val="3"/>
            <charset val="134"/>
          </rPr>
          <t xml:space="preserve">所在楼层
</t>
        </r>
        <r>
          <rPr>
            <sz val="9"/>
            <color indexed="81"/>
            <rFont val="宋体"/>
            <family val="3"/>
            <charset val="134"/>
          </rPr>
          <t xml:space="preserve">
</t>
        </r>
      </text>
    </comment>
    <comment ref="G111" authorId="0" shapeId="0" xr:uid="{385250EF-4922-4FAC-9AE0-B95187C38AAD}">
      <text>
        <r>
          <rPr>
            <b/>
            <sz val="9"/>
            <color indexed="81"/>
            <rFont val="宋体"/>
            <family val="3"/>
            <charset val="134"/>
          </rPr>
          <t xml:space="preserve">所在楼层
</t>
        </r>
        <r>
          <rPr>
            <sz val="9"/>
            <color indexed="81"/>
            <rFont val="宋体"/>
            <family val="3"/>
            <charset val="134"/>
          </rPr>
          <t xml:space="preserve">
</t>
        </r>
      </text>
    </comment>
    <comment ref="H111" authorId="0" shapeId="0" xr:uid="{57AADBD8-09D8-414E-AE80-82F9133254AD}">
      <text>
        <r>
          <rPr>
            <b/>
            <sz val="9"/>
            <color indexed="81"/>
            <rFont val="宋体"/>
            <family val="3"/>
            <charset val="134"/>
          </rPr>
          <t xml:space="preserve">所在楼层
</t>
        </r>
        <r>
          <rPr>
            <sz val="9"/>
            <color indexed="81"/>
            <rFont val="宋体"/>
            <family val="3"/>
            <charset val="134"/>
          </rPr>
          <t xml:space="preserve">
</t>
        </r>
      </text>
    </comment>
    <comment ref="I111" authorId="0" shapeId="0" xr:uid="{12ADDDC0-5C2F-43E7-BEC6-F4AD0C1698FE}">
      <text>
        <r>
          <rPr>
            <b/>
            <sz val="9"/>
            <color indexed="81"/>
            <rFont val="宋体"/>
            <family val="3"/>
            <charset val="134"/>
          </rPr>
          <t xml:space="preserve">所在楼层
</t>
        </r>
        <r>
          <rPr>
            <sz val="9"/>
            <color indexed="81"/>
            <rFont val="宋体"/>
            <family val="3"/>
            <charset val="134"/>
          </rPr>
          <t xml:space="preserve">
</t>
        </r>
      </text>
    </comment>
    <comment ref="J111" authorId="0" shapeId="0" xr:uid="{72497031-231D-4FEB-A081-01137D4B3C14}">
      <text>
        <r>
          <rPr>
            <b/>
            <sz val="9"/>
            <color indexed="81"/>
            <rFont val="宋体"/>
            <family val="3"/>
            <charset val="134"/>
          </rPr>
          <t xml:space="preserve">所在楼层
</t>
        </r>
        <r>
          <rPr>
            <sz val="9"/>
            <color indexed="81"/>
            <rFont val="宋体"/>
            <family val="3"/>
            <charset val="134"/>
          </rPr>
          <t xml:space="preserve">
</t>
        </r>
      </text>
    </comment>
    <comment ref="K111" authorId="0" shapeId="0" xr:uid="{113BB7FB-25C9-4AE8-99CE-E534DE565915}">
      <text>
        <r>
          <rPr>
            <b/>
            <sz val="9"/>
            <color indexed="81"/>
            <rFont val="宋体"/>
            <family val="3"/>
            <charset val="134"/>
          </rPr>
          <t xml:space="preserve">所在楼层
</t>
        </r>
        <r>
          <rPr>
            <sz val="9"/>
            <color indexed="81"/>
            <rFont val="宋体"/>
            <family val="3"/>
            <charset val="134"/>
          </rPr>
          <t xml:space="preserve">
</t>
        </r>
      </text>
    </comment>
    <comment ref="L111" authorId="0" shapeId="0" xr:uid="{79703EAB-ACAA-427F-8BAB-176E063BB676}">
      <text>
        <r>
          <rPr>
            <b/>
            <sz val="9"/>
            <color indexed="81"/>
            <rFont val="宋体"/>
            <family val="3"/>
            <charset val="134"/>
          </rPr>
          <t xml:space="preserve">所在楼层
</t>
        </r>
        <r>
          <rPr>
            <sz val="9"/>
            <color indexed="81"/>
            <rFont val="宋体"/>
            <family val="3"/>
            <charset val="134"/>
          </rPr>
          <t xml:space="preserve">
</t>
        </r>
      </text>
    </comment>
    <comment ref="M111" authorId="0" shapeId="0" xr:uid="{B18EA4E2-977C-47B7-9A45-10D3B508B3F1}">
      <text>
        <r>
          <rPr>
            <b/>
            <sz val="9"/>
            <color indexed="81"/>
            <rFont val="宋体"/>
            <family val="3"/>
            <charset val="134"/>
          </rPr>
          <t xml:space="preserve">所在楼层
</t>
        </r>
        <r>
          <rPr>
            <sz val="9"/>
            <color indexed="81"/>
            <rFont val="宋体"/>
            <family val="3"/>
            <charset val="134"/>
          </rPr>
          <t xml:space="preserve">
</t>
        </r>
      </text>
    </comment>
    <comment ref="N111" authorId="0" shapeId="0" xr:uid="{5DB928CA-D9A7-4601-9FFA-4779D2E266D3}">
      <text>
        <r>
          <rPr>
            <b/>
            <sz val="9"/>
            <color indexed="81"/>
            <rFont val="宋体"/>
            <family val="3"/>
            <charset val="134"/>
          </rPr>
          <t xml:space="preserve">所在楼层
</t>
        </r>
        <r>
          <rPr>
            <sz val="9"/>
            <color indexed="81"/>
            <rFont val="宋体"/>
            <family val="3"/>
            <charset val="134"/>
          </rPr>
          <t xml:space="preserve">
</t>
        </r>
      </text>
    </comment>
    <comment ref="D116" authorId="0" shapeId="0" xr:uid="{16B1A9F4-DE30-4A06-A3AB-A43A2E331EC8}">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3F8B4A53-E628-4178-AF5C-62CFEF466E4A}">
      <text>
        <r>
          <rPr>
            <b/>
            <sz val="9"/>
            <color indexed="81"/>
            <rFont val="宋体"/>
            <family val="3"/>
            <charset val="134"/>
          </rPr>
          <t>对应区片地价表</t>
        </r>
        <r>
          <rPr>
            <sz val="9"/>
            <color indexed="81"/>
            <rFont val="宋体"/>
            <family val="3"/>
            <charset val="134"/>
          </rPr>
          <t xml:space="preserve">
</t>
        </r>
      </text>
    </comment>
    <comment ref="Y9" authorId="1" shapeId="0" xr:uid="{0D8078B3-EC5A-462C-BF17-A016CCDB59BD}">
      <text>
        <r>
          <rPr>
            <sz val="11"/>
            <color indexed="81"/>
            <rFont val="宋体"/>
            <family val="3"/>
            <charset val="134"/>
          </rPr>
          <t xml:space="preserve">录入层数，将对应的结果录入至左侧相应层的楼层修正系数单元格中
</t>
        </r>
      </text>
    </comment>
    <comment ref="C16" authorId="1" shapeId="0" xr:uid="{99A6A1D4-67AB-4E75-B0DE-537B7C7BDEF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46C99D6D-BE1D-43A5-B037-78E2AA75A246}">
      <text>
        <r>
          <rPr>
            <sz val="12"/>
            <color indexed="81"/>
            <rFont val="宋体"/>
            <family val="3"/>
            <charset val="134"/>
          </rPr>
          <t>1.05~1.1</t>
        </r>
        <r>
          <rPr>
            <sz val="9"/>
            <color indexed="81"/>
            <rFont val="宋体"/>
            <family val="3"/>
            <charset val="134"/>
          </rPr>
          <t xml:space="preserve">
</t>
        </r>
      </text>
    </comment>
    <comment ref="E16" authorId="1" shapeId="0" xr:uid="{A2418EE0-11EA-40D2-93D5-06E93756FE1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FBF8BE9F-8A7D-4E8A-A029-E0F5AA45D96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5BACACA6-5614-4338-8573-EEFA635EA69B}">
      <text>
        <r>
          <rPr>
            <b/>
            <sz val="14"/>
            <color indexed="81"/>
            <rFont val="宋体"/>
            <family val="3"/>
            <charset val="134"/>
          </rPr>
          <t>工业选“中心城区”</t>
        </r>
        <r>
          <rPr>
            <sz val="9"/>
            <color indexed="81"/>
            <rFont val="宋体"/>
            <family val="3"/>
            <charset val="134"/>
          </rPr>
          <t xml:space="preserve">
</t>
        </r>
      </text>
    </comment>
    <comment ref="B35" authorId="4" shapeId="0" xr:uid="{A718C26E-DF51-426D-B2E0-A32FF5F9D7EA}">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9D65CA6C-F1CA-433D-9FBB-F277C0530364}">
      <text>
        <r>
          <rPr>
            <sz val="9"/>
            <color indexed="81"/>
            <rFont val="宋体"/>
            <family val="3"/>
            <charset val="134"/>
          </rPr>
          <t xml:space="preserve">需在此处填写剩余土地年限
</t>
        </r>
      </text>
    </comment>
    <comment ref="C111" authorId="0" shapeId="0" xr:uid="{A0F8EC51-4FCC-45F2-9DF1-5E457FB7CE2B}">
      <text>
        <r>
          <rPr>
            <b/>
            <sz val="9"/>
            <color indexed="81"/>
            <rFont val="宋体"/>
            <family val="3"/>
            <charset val="134"/>
          </rPr>
          <t xml:space="preserve">所在楼层
</t>
        </r>
        <r>
          <rPr>
            <sz val="9"/>
            <color indexed="81"/>
            <rFont val="宋体"/>
            <family val="3"/>
            <charset val="134"/>
          </rPr>
          <t xml:space="preserve">
</t>
        </r>
      </text>
    </comment>
    <comment ref="D111" authorId="0" shapeId="0" xr:uid="{C574CDD4-78B0-4AAD-9828-36D6EB6F134B}">
      <text>
        <r>
          <rPr>
            <b/>
            <sz val="9"/>
            <color indexed="81"/>
            <rFont val="宋体"/>
            <family val="3"/>
            <charset val="134"/>
          </rPr>
          <t xml:space="preserve">所在楼层
</t>
        </r>
        <r>
          <rPr>
            <sz val="9"/>
            <color indexed="81"/>
            <rFont val="宋体"/>
            <family val="3"/>
            <charset val="134"/>
          </rPr>
          <t xml:space="preserve">
</t>
        </r>
      </text>
    </comment>
    <comment ref="E111" authorId="0" shapeId="0" xr:uid="{4864E46C-050A-4039-9C02-401E9C85A804}">
      <text>
        <r>
          <rPr>
            <b/>
            <sz val="9"/>
            <color indexed="81"/>
            <rFont val="宋体"/>
            <family val="3"/>
            <charset val="134"/>
          </rPr>
          <t xml:space="preserve">所在楼层
</t>
        </r>
        <r>
          <rPr>
            <sz val="9"/>
            <color indexed="81"/>
            <rFont val="宋体"/>
            <family val="3"/>
            <charset val="134"/>
          </rPr>
          <t xml:space="preserve">
</t>
        </r>
      </text>
    </comment>
    <comment ref="F111" authorId="0" shapeId="0" xr:uid="{20F799D2-ADFE-464B-B154-AA7317BA6E4F}">
      <text>
        <r>
          <rPr>
            <b/>
            <sz val="9"/>
            <color indexed="81"/>
            <rFont val="宋体"/>
            <family val="3"/>
            <charset val="134"/>
          </rPr>
          <t xml:space="preserve">所在楼层
</t>
        </r>
        <r>
          <rPr>
            <sz val="9"/>
            <color indexed="81"/>
            <rFont val="宋体"/>
            <family val="3"/>
            <charset val="134"/>
          </rPr>
          <t xml:space="preserve">
</t>
        </r>
      </text>
    </comment>
    <comment ref="G111" authorId="0" shapeId="0" xr:uid="{02C7B794-07F4-4B38-BB80-B3877850E46B}">
      <text>
        <r>
          <rPr>
            <b/>
            <sz val="9"/>
            <color indexed="81"/>
            <rFont val="宋体"/>
            <family val="3"/>
            <charset val="134"/>
          </rPr>
          <t xml:space="preserve">所在楼层
</t>
        </r>
        <r>
          <rPr>
            <sz val="9"/>
            <color indexed="81"/>
            <rFont val="宋体"/>
            <family val="3"/>
            <charset val="134"/>
          </rPr>
          <t xml:space="preserve">
</t>
        </r>
      </text>
    </comment>
    <comment ref="H111" authorId="0" shapeId="0" xr:uid="{04ECC3A5-F74A-4544-8978-EE89D061A83C}">
      <text>
        <r>
          <rPr>
            <b/>
            <sz val="9"/>
            <color indexed="81"/>
            <rFont val="宋体"/>
            <family val="3"/>
            <charset val="134"/>
          </rPr>
          <t xml:space="preserve">所在楼层
</t>
        </r>
        <r>
          <rPr>
            <sz val="9"/>
            <color indexed="81"/>
            <rFont val="宋体"/>
            <family val="3"/>
            <charset val="134"/>
          </rPr>
          <t xml:space="preserve">
</t>
        </r>
      </text>
    </comment>
    <comment ref="I111" authorId="0" shapeId="0" xr:uid="{866A0F8C-4360-4B9C-9177-0773EEF9A550}">
      <text>
        <r>
          <rPr>
            <b/>
            <sz val="9"/>
            <color indexed="81"/>
            <rFont val="宋体"/>
            <family val="3"/>
            <charset val="134"/>
          </rPr>
          <t xml:space="preserve">所在楼层
</t>
        </r>
        <r>
          <rPr>
            <sz val="9"/>
            <color indexed="81"/>
            <rFont val="宋体"/>
            <family val="3"/>
            <charset val="134"/>
          </rPr>
          <t xml:space="preserve">
</t>
        </r>
      </text>
    </comment>
    <comment ref="J111" authorId="0" shapeId="0" xr:uid="{A91F5EA0-79AB-446B-8263-AA997B210C5E}">
      <text>
        <r>
          <rPr>
            <b/>
            <sz val="9"/>
            <color indexed="81"/>
            <rFont val="宋体"/>
            <family val="3"/>
            <charset val="134"/>
          </rPr>
          <t xml:space="preserve">所在楼层
</t>
        </r>
        <r>
          <rPr>
            <sz val="9"/>
            <color indexed="81"/>
            <rFont val="宋体"/>
            <family val="3"/>
            <charset val="134"/>
          </rPr>
          <t xml:space="preserve">
</t>
        </r>
      </text>
    </comment>
    <comment ref="K111" authorId="0" shapeId="0" xr:uid="{6A5B8BEE-3419-43A7-8F16-9477103D5C5D}">
      <text>
        <r>
          <rPr>
            <b/>
            <sz val="9"/>
            <color indexed="81"/>
            <rFont val="宋体"/>
            <family val="3"/>
            <charset val="134"/>
          </rPr>
          <t xml:space="preserve">所在楼层
</t>
        </r>
        <r>
          <rPr>
            <sz val="9"/>
            <color indexed="81"/>
            <rFont val="宋体"/>
            <family val="3"/>
            <charset val="134"/>
          </rPr>
          <t xml:space="preserve">
</t>
        </r>
      </text>
    </comment>
    <comment ref="L111" authorId="0" shapeId="0" xr:uid="{EDE37D53-E655-410A-BC08-0ED19EACDF81}">
      <text>
        <r>
          <rPr>
            <b/>
            <sz val="9"/>
            <color indexed="81"/>
            <rFont val="宋体"/>
            <family val="3"/>
            <charset val="134"/>
          </rPr>
          <t xml:space="preserve">所在楼层
</t>
        </r>
        <r>
          <rPr>
            <sz val="9"/>
            <color indexed="81"/>
            <rFont val="宋体"/>
            <family val="3"/>
            <charset val="134"/>
          </rPr>
          <t xml:space="preserve">
</t>
        </r>
      </text>
    </comment>
    <comment ref="M111" authorId="0" shapeId="0" xr:uid="{95700AB1-2711-43ED-9447-50590006B305}">
      <text>
        <r>
          <rPr>
            <b/>
            <sz val="9"/>
            <color indexed="81"/>
            <rFont val="宋体"/>
            <family val="3"/>
            <charset val="134"/>
          </rPr>
          <t xml:space="preserve">所在楼层
</t>
        </r>
        <r>
          <rPr>
            <sz val="9"/>
            <color indexed="81"/>
            <rFont val="宋体"/>
            <family val="3"/>
            <charset val="134"/>
          </rPr>
          <t xml:space="preserve">
</t>
        </r>
      </text>
    </comment>
    <comment ref="N111" authorId="0" shapeId="0" xr:uid="{588E15B6-0997-4993-AAC0-76130EBCCBFA}">
      <text>
        <r>
          <rPr>
            <b/>
            <sz val="9"/>
            <color indexed="81"/>
            <rFont val="宋体"/>
            <family val="3"/>
            <charset val="134"/>
          </rPr>
          <t xml:space="preserve">所在楼层
</t>
        </r>
        <r>
          <rPr>
            <sz val="9"/>
            <color indexed="81"/>
            <rFont val="宋体"/>
            <family val="3"/>
            <charset val="134"/>
          </rPr>
          <t xml:space="preserve">
</t>
        </r>
      </text>
    </comment>
    <comment ref="D116" authorId="0" shapeId="0" xr:uid="{54022716-F730-4E08-9642-60F0BFF9EE3A}">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E40A562D-315A-4741-A976-C941FD7C788C}">
      <text>
        <r>
          <rPr>
            <b/>
            <sz val="9"/>
            <color indexed="81"/>
            <rFont val="宋体"/>
            <family val="3"/>
            <charset val="134"/>
          </rPr>
          <t>对应区片地价表</t>
        </r>
        <r>
          <rPr>
            <sz val="9"/>
            <color indexed="81"/>
            <rFont val="宋体"/>
            <family val="3"/>
            <charset val="134"/>
          </rPr>
          <t xml:space="preserve">
</t>
        </r>
      </text>
    </comment>
    <comment ref="Y9" authorId="1" shapeId="0" xr:uid="{DA3D153A-7253-4993-ABA3-1AB500253446}">
      <text>
        <r>
          <rPr>
            <sz val="11"/>
            <color indexed="81"/>
            <rFont val="宋体"/>
            <family val="3"/>
            <charset val="134"/>
          </rPr>
          <t xml:space="preserve">录入层数，将对应的结果录入至左侧相应层的楼层修正系数单元格中
</t>
        </r>
      </text>
    </comment>
    <comment ref="C16" authorId="1" shapeId="0" xr:uid="{7CDFCA42-233A-44BB-B7B0-8F5118E15714}">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5C354D6C-3575-435A-B88F-3E68A8157AFE}">
      <text>
        <r>
          <rPr>
            <sz val="12"/>
            <color indexed="81"/>
            <rFont val="宋体"/>
            <family val="3"/>
            <charset val="134"/>
          </rPr>
          <t>1.05~1.1</t>
        </r>
        <r>
          <rPr>
            <sz val="9"/>
            <color indexed="81"/>
            <rFont val="宋体"/>
            <family val="3"/>
            <charset val="134"/>
          </rPr>
          <t xml:space="preserve">
</t>
        </r>
      </text>
    </comment>
    <comment ref="E16" authorId="1" shapeId="0" xr:uid="{CEB1509B-D818-4749-AA39-566D9B128E7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73A0DAB0-3481-45A4-9631-217BE71D1C5F}">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FB7A1AB1-126F-40EF-903D-D19D9974A521}">
      <text>
        <r>
          <rPr>
            <b/>
            <sz val="14"/>
            <color indexed="81"/>
            <rFont val="宋体"/>
            <family val="3"/>
            <charset val="134"/>
          </rPr>
          <t>工业选“中心城区”</t>
        </r>
        <r>
          <rPr>
            <sz val="9"/>
            <color indexed="81"/>
            <rFont val="宋体"/>
            <family val="3"/>
            <charset val="134"/>
          </rPr>
          <t xml:space="preserve">
</t>
        </r>
      </text>
    </comment>
    <comment ref="B35" authorId="4" shapeId="0" xr:uid="{718BE2C1-C125-4C15-83C3-27B5848A6F91}">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DEF4AA79-EC08-42A6-AED7-E5EF83D3DC2B}">
      <text>
        <r>
          <rPr>
            <sz val="9"/>
            <color indexed="81"/>
            <rFont val="宋体"/>
            <family val="3"/>
            <charset val="134"/>
          </rPr>
          <t xml:space="preserve">需在此处填写剩余土地年限
</t>
        </r>
      </text>
    </comment>
    <comment ref="C111" authorId="0" shapeId="0" xr:uid="{5D4DC1EE-DB5C-4BE7-B069-357C5D6F2820}">
      <text>
        <r>
          <rPr>
            <b/>
            <sz val="9"/>
            <color indexed="81"/>
            <rFont val="宋体"/>
            <family val="3"/>
            <charset val="134"/>
          </rPr>
          <t xml:space="preserve">所在楼层
</t>
        </r>
        <r>
          <rPr>
            <sz val="9"/>
            <color indexed="81"/>
            <rFont val="宋体"/>
            <family val="3"/>
            <charset val="134"/>
          </rPr>
          <t xml:space="preserve">
</t>
        </r>
      </text>
    </comment>
    <comment ref="D111" authorId="0" shapeId="0" xr:uid="{722711C4-51C5-405F-BD5D-A39B57730A1C}">
      <text>
        <r>
          <rPr>
            <b/>
            <sz val="9"/>
            <color indexed="81"/>
            <rFont val="宋体"/>
            <family val="3"/>
            <charset val="134"/>
          </rPr>
          <t xml:space="preserve">所在楼层
</t>
        </r>
        <r>
          <rPr>
            <sz val="9"/>
            <color indexed="81"/>
            <rFont val="宋体"/>
            <family val="3"/>
            <charset val="134"/>
          </rPr>
          <t xml:space="preserve">
</t>
        </r>
      </text>
    </comment>
    <comment ref="E111" authorId="0" shapeId="0" xr:uid="{8008C31C-539C-41D9-8ABE-5F6538C6FFA5}">
      <text>
        <r>
          <rPr>
            <b/>
            <sz val="9"/>
            <color indexed="81"/>
            <rFont val="宋体"/>
            <family val="3"/>
            <charset val="134"/>
          </rPr>
          <t xml:space="preserve">所在楼层
</t>
        </r>
        <r>
          <rPr>
            <sz val="9"/>
            <color indexed="81"/>
            <rFont val="宋体"/>
            <family val="3"/>
            <charset val="134"/>
          </rPr>
          <t xml:space="preserve">
</t>
        </r>
      </text>
    </comment>
    <comment ref="F111" authorId="0" shapeId="0" xr:uid="{1D69D7AC-F5D4-465E-BFB6-55AB7D9B9EB5}">
      <text>
        <r>
          <rPr>
            <b/>
            <sz val="9"/>
            <color indexed="81"/>
            <rFont val="宋体"/>
            <family val="3"/>
            <charset val="134"/>
          </rPr>
          <t xml:space="preserve">所在楼层
</t>
        </r>
        <r>
          <rPr>
            <sz val="9"/>
            <color indexed="81"/>
            <rFont val="宋体"/>
            <family val="3"/>
            <charset val="134"/>
          </rPr>
          <t xml:space="preserve">
</t>
        </r>
      </text>
    </comment>
    <comment ref="G111" authorId="0" shapeId="0" xr:uid="{57085707-C49D-46B1-AD4A-86D0511F16B1}">
      <text>
        <r>
          <rPr>
            <b/>
            <sz val="9"/>
            <color indexed="81"/>
            <rFont val="宋体"/>
            <family val="3"/>
            <charset val="134"/>
          </rPr>
          <t xml:space="preserve">所在楼层
</t>
        </r>
        <r>
          <rPr>
            <sz val="9"/>
            <color indexed="81"/>
            <rFont val="宋体"/>
            <family val="3"/>
            <charset val="134"/>
          </rPr>
          <t xml:space="preserve">
</t>
        </r>
      </text>
    </comment>
    <comment ref="H111" authorId="0" shapeId="0" xr:uid="{BD324C75-6187-4643-B1F5-0FDB35C47091}">
      <text>
        <r>
          <rPr>
            <b/>
            <sz val="9"/>
            <color indexed="81"/>
            <rFont val="宋体"/>
            <family val="3"/>
            <charset val="134"/>
          </rPr>
          <t xml:space="preserve">所在楼层
</t>
        </r>
        <r>
          <rPr>
            <sz val="9"/>
            <color indexed="81"/>
            <rFont val="宋体"/>
            <family val="3"/>
            <charset val="134"/>
          </rPr>
          <t xml:space="preserve">
</t>
        </r>
      </text>
    </comment>
    <comment ref="I111" authorId="0" shapeId="0" xr:uid="{F7E51910-0C07-4C1F-96B3-E33070506B53}">
      <text>
        <r>
          <rPr>
            <b/>
            <sz val="9"/>
            <color indexed="81"/>
            <rFont val="宋体"/>
            <family val="3"/>
            <charset val="134"/>
          </rPr>
          <t xml:space="preserve">所在楼层
</t>
        </r>
        <r>
          <rPr>
            <sz val="9"/>
            <color indexed="81"/>
            <rFont val="宋体"/>
            <family val="3"/>
            <charset val="134"/>
          </rPr>
          <t xml:space="preserve">
</t>
        </r>
      </text>
    </comment>
    <comment ref="J111" authorId="0" shapeId="0" xr:uid="{8EF33C39-E2F6-409F-BFBD-63A603D2BE07}">
      <text>
        <r>
          <rPr>
            <b/>
            <sz val="9"/>
            <color indexed="81"/>
            <rFont val="宋体"/>
            <family val="3"/>
            <charset val="134"/>
          </rPr>
          <t xml:space="preserve">所在楼层
</t>
        </r>
        <r>
          <rPr>
            <sz val="9"/>
            <color indexed="81"/>
            <rFont val="宋体"/>
            <family val="3"/>
            <charset val="134"/>
          </rPr>
          <t xml:space="preserve">
</t>
        </r>
      </text>
    </comment>
    <comment ref="K111" authorId="0" shapeId="0" xr:uid="{4BEEB25E-01E1-4C63-B724-5DE2B633CB14}">
      <text>
        <r>
          <rPr>
            <b/>
            <sz val="9"/>
            <color indexed="81"/>
            <rFont val="宋体"/>
            <family val="3"/>
            <charset val="134"/>
          </rPr>
          <t xml:space="preserve">所在楼层
</t>
        </r>
        <r>
          <rPr>
            <sz val="9"/>
            <color indexed="81"/>
            <rFont val="宋体"/>
            <family val="3"/>
            <charset val="134"/>
          </rPr>
          <t xml:space="preserve">
</t>
        </r>
      </text>
    </comment>
    <comment ref="L111" authorId="0" shapeId="0" xr:uid="{91E7F810-22FD-4613-9382-16B91F98F45A}">
      <text>
        <r>
          <rPr>
            <b/>
            <sz val="9"/>
            <color indexed="81"/>
            <rFont val="宋体"/>
            <family val="3"/>
            <charset val="134"/>
          </rPr>
          <t xml:space="preserve">所在楼层
</t>
        </r>
        <r>
          <rPr>
            <sz val="9"/>
            <color indexed="81"/>
            <rFont val="宋体"/>
            <family val="3"/>
            <charset val="134"/>
          </rPr>
          <t xml:space="preserve">
</t>
        </r>
      </text>
    </comment>
    <comment ref="M111" authorId="0" shapeId="0" xr:uid="{6F624007-1EEA-456E-A85A-35DB459ABD78}">
      <text>
        <r>
          <rPr>
            <b/>
            <sz val="9"/>
            <color indexed="81"/>
            <rFont val="宋体"/>
            <family val="3"/>
            <charset val="134"/>
          </rPr>
          <t xml:space="preserve">所在楼层
</t>
        </r>
        <r>
          <rPr>
            <sz val="9"/>
            <color indexed="81"/>
            <rFont val="宋体"/>
            <family val="3"/>
            <charset val="134"/>
          </rPr>
          <t xml:space="preserve">
</t>
        </r>
      </text>
    </comment>
    <comment ref="N111" authorId="0" shapeId="0" xr:uid="{C49B6C19-19D3-41A8-86A8-CB7098D8F81B}">
      <text>
        <r>
          <rPr>
            <b/>
            <sz val="9"/>
            <color indexed="81"/>
            <rFont val="宋体"/>
            <family val="3"/>
            <charset val="134"/>
          </rPr>
          <t xml:space="preserve">所在楼层
</t>
        </r>
        <r>
          <rPr>
            <sz val="9"/>
            <color indexed="81"/>
            <rFont val="宋体"/>
            <family val="3"/>
            <charset val="134"/>
          </rPr>
          <t xml:space="preserve">
</t>
        </r>
      </text>
    </comment>
    <comment ref="D116" authorId="0" shapeId="0" xr:uid="{231A3ABB-D803-4649-9A7E-CA2B3A369D4D}">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<sst xmlns="http://schemas.openxmlformats.org/spreadsheetml/2006/main" count="8956" uniqueCount="3463">
  <si>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</si>
  <si>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</si>
  <si>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</si>
  <si>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</si>
  <si>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</si>
  <si>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</si>
  <si>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</si>
  <si>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</si>
  <si>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</si>
  <si>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</si>
  <si>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</si>
  <si>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</si>
  <si>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</si>
  <si>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</si>
  <si>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</si>
  <si>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</si>
  <si>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</si>
  <si>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</si>
  <si>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</si>
  <si>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</si>
  <si>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</si>
  <si>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</si>
  <si>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</si>
  <si>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</si>
  <si>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</si>
  <si>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</si>
  <si>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</si>
  <si>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</si>
  <si>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</si>
  <si>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</si>
  <si>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</si>
  <si>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</si>
  <si>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</si>
  <si>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</si>
  <si>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</si>
  <si>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</si>
  <si>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</si>
  <si>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</si>
  <si>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</si>
  <si>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</si>
  <si>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</si>
  <si>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</si>
  <si>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</si>
  <si>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</si>
  <si>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</si>
  <si>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</si>
  <si>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</si>
  <si>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</si>
  <si>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</si>
  <si>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</si>
  <si>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</si>
  <si>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</si>
  <si>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</si>
  <si>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</si>
  <si>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</si>
  <si>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</si>
  <si>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</si>
  <si>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</si>
  <si>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</si>
  <si>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</si>
  <si>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</si>
  <si>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</si>
  <si>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</si>
  <si>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</si>
  <si>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</si>
  <si>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</si>
  <si>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</si>
  <si>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</si>
  <si>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</si>
  <si>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</si>
  <si>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</si>
  <si>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</si>
  <si>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</si>
  <si>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</si>
  <si>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</si>
  <si>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</si>
  <si>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</si>
  <si>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</si>
  <si>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</si>
  <si>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</si>
  <si>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</si>
  <si>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</si>
  <si>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</si>
  <si>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</si>
  <si>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</si>
  <si>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</si>
  <si>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</si>
  <si>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</si>
  <si>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</si>
  <si>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</si>
  <si>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</si>
  <si>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</si>
  <si>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</si>
  <si>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</si>
  <si>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</si>
  <si>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</si>
  <si>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</si>
  <si>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</si>
  <si>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</si>
  <si>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</si>
  <si>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</si>
  <si>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</si>
  <si>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</si>
  <si>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</si>
  <si>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</si>
  <si>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</si>
  <si>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</si>
  <si>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</si>
  <si>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</si>
  <si>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</si>
  <si>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</si>
  <si>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</si>
  <si>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</si>
  <si>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</si>
  <si>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</si>
  <si>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</si>
  <si>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</si>
  <si>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</si>
  <si>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</si>
  <si>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</si>
  <si>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</si>
  <si>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</si>
  <si>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</si>
  <si>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</si>
  <si>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</si>
  <si>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</si>
  <si>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</si>
  <si>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</si>
  <si>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</si>
  <si>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</si>
  <si>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</si>
  <si>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</si>
  <si>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</si>
  <si>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</si>
  <si>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</si>
  <si>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</si>
  <si>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</si>
  <si>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</si>
  <si>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</si>
  <si>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</si>
  <si>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</si>
  <si>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</si>
  <si>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</si>
  <si>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</si>
  <si>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</si>
  <si>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</si>
  <si>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</si>
  <si>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</si>
  <si>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</si>
  <si>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</si>
  <si>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</si>
  <si>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</si>
  <si>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</si>
  <si>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</si>
  <si>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</si>
  <si>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</si>
  <si>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</si>
  <si>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</si>
  <si>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</si>
  <si>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</si>
  <si>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</si>
  <si>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</si>
  <si>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</si>
  <si>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</si>
  <si>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</si>
  <si>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</si>
  <si>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</si>
  <si>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</si>
  <si>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</si>
  <si>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</si>
  <si>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</si>
  <si>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</si>
  <si>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</si>
  <si>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</si>
  <si>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</si>
  <si>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</si>
  <si>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</si>
  <si>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</si>
  <si>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</si>
  <si>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</si>
  <si>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</si>
  <si>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</si>
  <si>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</si>
  <si>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</si>
  <si>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</si>
  <si>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</si>
  <si>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</si>
  <si>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</si>
  <si>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</si>
  <si>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</si>
  <si>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</si>
  <si>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</si>
  <si>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</si>
  <si>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</si>
  <si>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</si>
  <si>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</si>
  <si>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</si>
  <si>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</si>
  <si>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</si>
  <si>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</si>
  <si>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</si>
  <si>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</si>
  <si>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</si>
  <si>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</si>
  <si>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</si>
  <si>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</si>
  <si>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</si>
  <si>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</si>
  <si>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</si>
  <si>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</si>
  <si>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</si>
  <si>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</si>
  <si>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</si>
  <si>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</si>
  <si>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</si>
  <si>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</si>
  <si>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</si>
  <si>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</si>
  <si>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</si>
  <si>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</si>
  <si>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</si>
  <si>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</si>
  <si>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</si>
  <si>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</si>
  <si>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</si>
  <si>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</si>
  <si>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</si>
  <si>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</si>
  <si>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</si>
  <si>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</si>
  <si>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</si>
  <si>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</si>
  <si>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</si>
  <si>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</si>
  <si>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</si>
  <si>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</si>
  <si>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</si>
  <si>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</si>
  <si>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</si>
  <si>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</si>
  <si>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</si>
  <si>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</si>
  <si>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</si>
  <si>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</si>
  <si>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</si>
  <si>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</si>
  <si>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</si>
  <si>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</si>
  <si>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</si>
  <si>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</si>
  <si>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</si>
  <si>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</si>
  <si>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</si>
  <si>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</si>
  <si>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</si>
  <si>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</si>
  <si>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</si>
  <si>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</si>
  <si>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</si>
  <si>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</si>
  <si>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</si>
  <si>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</si>
  <si>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</si>
  <si>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</si>
  <si>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</si>
  <si>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</si>
  <si>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</si>
  <si>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</si>
  <si>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</si>
  <si>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</si>
  <si>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</si>
  <si>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</si>
  <si>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</si>
  <si>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</si>
  <si>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</si>
  <si>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</si>
  <si>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</si>
  <si>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</si>
  <si>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</si>
  <si>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</si>
  <si>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</si>
  <si>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</si>
  <si>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</si>
  <si>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</si>
  <si>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</si>
  <si>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</si>
  <si>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</si>
  <si>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</si>
  <si>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</si>
  <si>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</si>
  <si>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</si>
  <si>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</si>
  <si>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</si>
  <si>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</si>
  <si>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</si>
  <si>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</si>
  <si>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</si>
  <si>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</si>
  <si>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</si>
  <si>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</si>
  <si>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</si>
  <si>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</si>
  <si>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</si>
  <si>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</si>
  <si>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</si>
  <si>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</si>
  <si>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</si>
  <si>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</si>
  <si>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</si>
  <si>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</si>
  <si>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</si>
  <si>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</si>
  <si>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</si>
  <si>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</si>
  <si>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</si>
  <si>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</si>
  <si>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</si>
  <si>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</si>
  <si>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</si>
  <si>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</si>
  <si>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</si>
  <si>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</si>
  <si>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</si>
  <si>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</si>
  <si>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</si>
  <si>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</si>
  <si>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</si>
  <si>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</si>
  <si>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</si>
  <si>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</si>
  <si>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</si>
  <si>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</si>
  <si>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</si>
  <si>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</si>
  <si>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</si>
  <si>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</si>
  <si>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</si>
  <si>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</si>
  <si>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</si>
  <si>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</si>
  <si>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</si>
  <si>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</si>
  <si>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</si>
  <si>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</si>
  <si>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</si>
  <si>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</si>
  <si>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</si>
  <si>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</si>
  <si>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</si>
  <si>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</si>
  <si>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</si>
  <si>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</si>
  <si>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</si>
  <si>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</si>
  <si>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</si>
  <si>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</si>
  <si>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</si>
  <si>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</si>
  <si>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</si>
  <si>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</si>
  <si>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</si>
  <si>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</si>
  <si>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</si>
  <si>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</si>
  <si>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</si>
  <si>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</si>
  <si>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</si>
  <si>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</si>
  <si>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</si>
  <si>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</si>
  <si>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</si>
  <si>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</si>
  <si>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</si>
  <si>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</si>
  <si>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</si>
  <si>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</si>
  <si>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</si>
  <si>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</si>
  <si>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</si>
  <si>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</si>
  <si>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</si>
  <si>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</si>
  <si>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</si>
  <si>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</si>
  <si>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</si>
  <si>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</si>
  <si>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</si>
  <si>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</si>
  <si>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</si>
  <si>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</si>
  <si>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</si>
  <si>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</si>
  <si>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</si>
  <si>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</si>
  <si>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</si>
  <si>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</si>
  <si>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</si>
  <si>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</si>
  <si>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</si>
  <si>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</si>
  <si>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</si>
  <si>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</si>
  <si>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</si>
  <si>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</si>
  <si>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</si>
  <si>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</si>
  <si>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</si>
  <si>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</si>
  <si>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</si>
  <si>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</si>
  <si>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</si>
  <si>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</si>
  <si>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</si>
  <si>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</si>
  <si>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</si>
  <si>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</si>
  <si>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</si>
  <si>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</si>
  <si>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</si>
  <si>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</si>
  <si>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</si>
  <si>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</si>
  <si>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</si>
  <si>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</si>
  <si>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</si>
  <si>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</si>
  <si>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</si>
  <si>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</si>
  <si>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</si>
  <si>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</si>
  <si>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</si>
  <si>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</si>
  <si>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</si>
  <si>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</si>
  <si>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</si>
  <si>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</si>
  <si>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</si>
  <si>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</si>
  <si>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</si>
  <si>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</si>
  <si>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</si>
  <si>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</si>
  <si>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</si>
  <si>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</si>
  <si>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</si>
  <si>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</si>
  <si>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</si>
  <si>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</si>
  <si>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</si>
  <si>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</si>
  <si>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</si>
  <si>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</si>
  <si>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</si>
  <si>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</si>
  <si>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</si>
  <si>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</si>
  <si>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</si>
  <si>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</si>
  <si>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</si>
  <si>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</si>
  <si>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</si>
  <si>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</si>
  <si>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</si>
  <si>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</si>
  <si>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</si>
  <si>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</si>
  <si>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</si>
  <si>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</si>
  <si>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</si>
  <si>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</si>
  <si>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</si>
  <si>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</si>
  <si>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</si>
  <si>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</si>
  <si>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</si>
  <si>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</si>
  <si>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</si>
  <si>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</si>
  <si>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</si>
  <si>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</si>
  <si>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</si>
  <si>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</si>
  <si>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</si>
  <si>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</si>
  <si>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</si>
  <si>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</si>
  <si>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</si>
  <si>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</si>
  <si>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</si>
  <si>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</si>
  <si>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</si>
  <si>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</si>
  <si>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</si>
  <si>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</si>
  <si>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</si>
  <si>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</si>
  <si>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</si>
  <si>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</si>
  <si>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</si>
  <si>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</si>
  <si>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</si>
  <si>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</si>
  <si>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</si>
  <si>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</si>
  <si>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</si>
  <si>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</si>
  <si>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</si>
  <si>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</si>
  <si>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</si>
  <si>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</si>
  <si>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</si>
  <si>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</si>
  <si>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</si>
  <si>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</si>
  <si>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</si>
  <si>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</si>
  <si>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</si>
  <si>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</si>
  <si>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</si>
  <si>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</si>
  <si>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</si>
  <si>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</si>
  <si>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</si>
  <si>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</si>
  <si>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</si>
  <si>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</si>
  <si>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</si>
  <si>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</si>
  <si>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</si>
  <si>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</si>
  <si>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</si>
  <si>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</si>
  <si>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</si>
  <si>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</si>
  <si>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</si>
  <si>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</si>
  <si>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</si>
  <si>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</si>
  <si>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</si>
  <si>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</si>
  <si>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</si>
  <si>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</si>
  <si>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</si>
  <si>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</si>
  <si>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</si>
  <si>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</si>
  <si>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</si>
  <si>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</si>
  <si>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</si>
  <si>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</si>
  <si>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</si>
  <si>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</si>
  <si>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</si>
  <si>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</si>
  <si>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</si>
  <si>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</si>
  <si>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</si>
  <si>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</si>
  <si>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</si>
  <si>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</si>
  <si>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</si>
  <si>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</si>
  <si>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</si>
  <si>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</si>
  <si>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</si>
  <si>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</si>
  <si>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</si>
  <si>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</si>
  <si>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</si>
  <si>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</si>
  <si>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</si>
  <si>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</si>
  <si>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</si>
  <si>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</si>
  <si>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</si>
  <si>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</si>
  <si>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</si>
  <si>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</si>
  <si>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</si>
  <si>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</si>
  <si>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</si>
  <si>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</si>
  <si>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</si>
  <si>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</si>
  <si>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</si>
  <si>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</si>
  <si>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</si>
  <si>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</si>
  <si>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</si>
  <si>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</si>
  <si>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</si>
  <si>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</si>
  <si>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</si>
  <si>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</si>
  <si>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</si>
  <si>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</si>
  <si>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</si>
  <si>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</si>
  <si>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</si>
  <si>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</si>
  <si>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</si>
  <si>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</si>
  <si>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</si>
  <si>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</si>
  <si>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</si>
  <si>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</si>
  <si>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</si>
  <si>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</si>
  <si>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</si>
  <si>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</si>
  <si>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</si>
  <si>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</si>
  <si>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</si>
  <si>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</si>
  <si>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</si>
  <si>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</si>
  <si>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</si>
  <si>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</si>
  <si>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</si>
  <si>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</si>
  <si>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</si>
  <si>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</si>
  <si>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</si>
  <si>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</si>
  <si>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</si>
  <si>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</si>
  <si>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</si>
  <si>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</si>
  <si>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</si>
  <si>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</si>
  <si>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</si>
  <si>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</si>
  <si>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</si>
  <si>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</si>
  <si>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</si>
  <si>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</si>
  <si>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</si>
  <si>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</si>
  <si>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</si>
  <si>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</si>
  <si>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</si>
  <si>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</si>
  <si>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</si>
  <si>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</si>
  <si>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</si>
  <si>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</si>
  <si>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</si>
  <si>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</si>
  <si>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</si>
  <si>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</si>
  <si>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</si>
  <si>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</si>
  <si>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</si>
  <si>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</si>
  <si>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</si>
  <si>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</si>
  <si>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</si>
  <si>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</si>
  <si>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</si>
  <si>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</si>
  <si>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</si>
  <si>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</si>
  <si>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</si>
  <si>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</si>
  <si>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</si>
  <si>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</si>
  <si>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</si>
  <si>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</si>
  <si>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</si>
  <si>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</si>
  <si>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</si>
  <si>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</si>
  <si>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</si>
  <si>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</si>
  <si>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</si>
  <si>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</si>
  <si>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</si>
  <si>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</si>
  <si>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</si>
  <si>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</si>
  <si>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</si>
  <si>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</si>
  <si>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</si>
  <si>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</si>
  <si>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</si>
  <si>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</si>
  <si>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</si>
  <si>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</si>
  <si>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</si>
  <si>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</si>
  <si>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</si>
  <si>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</si>
  <si>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</si>
  <si>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</si>
  <si>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</si>
  <si>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</si>
  <si>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</si>
  <si>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</si>
  <si>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</si>
  <si>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</si>
  <si>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</si>
  <si>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</si>
  <si>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</si>
  <si>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</si>
  <si>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</si>
  <si>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</si>
  <si>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</si>
  <si>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</si>
  <si>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</si>
  <si>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</si>
  <si>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</si>
  <si>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</si>
  <si>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</si>
  <si>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</si>
  <si>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</si>
  <si>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</si>
  <si>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</si>
  <si>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</si>
  <si>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</si>
  <si>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</si>
  <si>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</si>
  <si>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</si>
  <si>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</si>
  <si>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</si>
  <si>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</si>
  <si>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</si>
  <si>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</si>
  <si>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</si>
  <si>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</si>
  <si>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</si>
  <si>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</si>
  <si>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</si>
  <si>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</si>
  <si>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</si>
  <si>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</si>
  <si>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</si>
  <si>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</si>
  <si>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</si>
  <si>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</si>
  <si>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</si>
  <si>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</si>
  <si>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</si>
  <si>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</si>
  <si>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</si>
  <si>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</si>
  <si>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</si>
  <si>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</si>
  <si>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</si>
  <si>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</si>
  <si>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</si>
  <si>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</si>
  <si>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</si>
  <si>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</si>
  <si>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</si>
  <si>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</si>
  <si>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</si>
  <si>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</si>
  <si>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</si>
  <si>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</si>
  <si>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</si>
  <si>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</si>
  <si>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</si>
  <si>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</si>
  <si>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</si>
  <si>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</si>
  <si>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</si>
  <si>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</si>
  <si>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</si>
  <si>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</si>
  <si>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</si>
  <si>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</si>
  <si>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</si>
  <si>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</si>
  <si>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</si>
  <si>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</si>
  <si>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</si>
  <si>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</si>
  <si>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</si>
  <si>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</si>
  <si>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</si>
  <si>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</si>
  <si>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</si>
  <si>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</si>
  <si>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</si>
  <si>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</si>
  <si>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</si>
  <si>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</si>
  <si>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</si>
  <si>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</si>
  <si>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</si>
  <si>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</si>
  <si>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</si>
  <si>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</si>
  <si>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</si>
  <si>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</si>
  <si>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</si>
  <si>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</si>
  <si>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</si>
  <si>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</si>
  <si>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</si>
  <si>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</si>
  <si>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</si>
  <si>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</si>
  <si>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</si>
  <si>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</si>
  <si>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</si>
  <si>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</si>
  <si>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</si>
  <si>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</si>
  <si>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</si>
  <si>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</si>
  <si>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</si>
  <si>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</si>
  <si>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</si>
  <si>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</si>
  <si>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</si>
  <si>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</si>
  <si>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</si>
  <si>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</si>
  <si>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</si>
  <si>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</si>
  <si>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</si>
  <si>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</si>
  <si>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</si>
  <si>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</si>
  <si>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</si>
  <si>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</si>
  <si>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</si>
  <si>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</si>
  <si>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</si>
  <si>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</si>
  <si>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</si>
  <si>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</si>
  <si>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</si>
  <si>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</si>
  <si>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</si>
  <si>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</si>
  <si>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</si>
  <si>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</si>
  <si>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</si>
  <si>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</si>
  <si>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</si>
  <si>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</si>
  <si>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</si>
  <si>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</si>
  <si>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</si>
  <si>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</si>
  <si>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</si>
  <si>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</si>
  <si>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</si>
  <si>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</si>
  <si>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</si>
  <si>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</si>
  <si>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</si>
  <si>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</si>
  <si>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</si>
  <si>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</si>
  <si>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</si>
  <si>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</si>
  <si>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</si>
  <si>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</si>
  <si>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</si>
  <si>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</si>
  <si>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</si>
  <si>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</si>
  <si>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</si>
  <si>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</si>
  <si>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</si>
  <si>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</si>
  <si>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</si>
  <si>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</si>
  <si>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</si>
  <si>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</si>
  <si>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</si>
  <si>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</si>
  <si>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</si>
  <si>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</si>
  <si>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</si>
  <si>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</si>
  <si>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</si>
  <si>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</si>
  <si>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</si>
  <si>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</si>
  <si>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</si>
  <si>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</si>
  <si>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</si>
  <si>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</si>
  <si>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</si>
  <si>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</si>
  <si>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</si>
  <si>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</si>
  <si>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</si>
  <si>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</si>
  <si>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</si>
  <si>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</si>
  <si>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</si>
  <si>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</si>
  <si>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</si>
  <si>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</si>
  <si>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</si>
  <si>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</si>
  <si>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</si>
  <si>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</si>
  <si>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</si>
  <si>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</si>
  <si>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</si>
  <si>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</si>
  <si>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</si>
  <si>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</si>
  <si>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</si>
  <si>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</si>
  <si>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</si>
  <si>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</si>
  <si>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</si>
  <si>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</si>
  <si>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</si>
  <si>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</si>
  <si>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</si>
  <si>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</si>
  <si>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</si>
  <si>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</si>
  <si>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</si>
  <si>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</si>
  <si>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</si>
  <si>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</si>
  <si>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</si>
  <si>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</si>
  <si>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</si>
  <si>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</si>
  <si>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</si>
  <si>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</si>
  <si>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</si>
  <si>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</si>
  <si>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</si>
  <si>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</si>
  <si>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</si>
  <si>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</si>
  <si>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</si>
  <si>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</si>
  <si>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</si>
  <si>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</si>
  <si>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</si>
  <si>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</si>
  <si>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</si>
  <si>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</si>
  <si>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</si>
  <si>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</si>
  <si>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</si>
  <si>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</si>
  <si>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</si>
  <si>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</si>
  <si>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</si>
  <si>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</si>
  <si>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</si>
  <si>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</si>
  <si>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</si>
  <si>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</si>
  <si>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</si>
  <si>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</si>
  <si>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</si>
  <si>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</si>
  <si>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</si>
  <si>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</si>
  <si>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</si>
  <si>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</si>
  <si>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</si>
  <si>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</si>
  <si>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</si>
  <si>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</si>
  <si>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</si>
  <si>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</si>
  <si>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</si>
  <si>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</si>
  <si>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</si>
  <si>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</si>
  <si>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</si>
  <si>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</si>
  <si>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</si>
  <si>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</si>
  <si>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</si>
  <si>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</si>
  <si>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</si>
  <si>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</si>
  <si>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</si>
  <si>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</si>
  <si>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</si>
  <si>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</si>
  <si>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</si>
  <si>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</si>
  <si>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</si>
  <si>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</si>
  <si>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</si>
  <si>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</si>
  <si>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</si>
  <si>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</si>
  <si>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</si>
  <si>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</si>
  <si>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</si>
  <si>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</si>
  <si>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</si>
  <si>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</si>
  <si>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</si>
  <si>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</si>
  <si>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</si>
  <si>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</si>
  <si>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</si>
  <si>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</si>
  <si>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</si>
  <si>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</si>
  <si>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</si>
  <si>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</si>
  <si>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</si>
  <si>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</si>
  <si>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</si>
  <si>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</si>
  <si>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</si>
  <si>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</si>
  <si>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</si>
  <si>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</si>
  <si>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</si>
  <si>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</si>
  <si>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</si>
  <si>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</si>
  <si>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</si>
  <si>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</si>
  <si>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</si>
  <si>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</si>
  <si>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</si>
  <si>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</si>
  <si>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</si>
  <si>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</si>
  <si>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</si>
  <si>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</si>
  <si>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</si>
  <si>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</si>
  <si>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</si>
  <si>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</si>
  <si>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</si>
  <si>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</si>
  <si>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</si>
  <si>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</si>
  <si>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</si>
  <si>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</si>
  <si>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</si>
  <si>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</si>
  <si>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</si>
  <si>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</si>
  <si>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</si>
  <si>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</si>
  <si>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</si>
  <si>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</si>
  <si>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</si>
  <si>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</si>
  <si>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</si>
  <si>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</si>
  <si>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</si>
  <si>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</si>
  <si>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</si>
  <si>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</si>
  <si>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</si>
  <si>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</si>
  <si>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</si>
  <si>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</si>
  <si>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</si>
  <si>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</si>
  <si>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</si>
  <si>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</si>
  <si>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</si>
  <si>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</si>
  <si>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</si>
  <si>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</si>
  <si>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</si>
  <si>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</si>
  <si>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</si>
  <si>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</si>
  <si>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</si>
  <si>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</si>
  <si>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</si>
  <si>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</si>
  <si>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</si>
  <si>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</si>
  <si>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</si>
  <si>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</si>
  <si>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</si>
  <si>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</si>
  <si>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</si>
  <si>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</si>
  <si>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</si>
  <si>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</si>
  <si>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</si>
  <si>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</si>
  <si>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</si>
  <si>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</si>
  <si>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</si>
  <si>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</si>
  <si>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</si>
  <si>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</si>
  <si>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</si>
  <si>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</si>
  <si>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</si>
  <si>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</si>
  <si>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</si>
  <si>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</si>
  <si>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</si>
  <si>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</si>
  <si>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</si>
  <si>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</si>
  <si>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</si>
  <si>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</si>
  <si>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</si>
  <si>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</si>
  <si>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</si>
  <si>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</si>
  <si>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</si>
  <si>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</si>
  <si>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</si>
  <si>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</si>
  <si>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</si>
  <si>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</si>
  <si>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</si>
  <si>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</si>
  <si>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</si>
  <si>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</si>
  <si>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</si>
  <si>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</si>
  <si>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</si>
  <si>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</si>
  <si>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</si>
  <si>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</si>
  <si>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</si>
  <si>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</si>
  <si>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</si>
  <si>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</si>
  <si>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</si>
  <si>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</si>
  <si>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</si>
  <si>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</si>
  <si>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</si>
  <si>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</si>
  <si>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</si>
  <si>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</si>
  <si>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</si>
  <si>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</si>
  <si>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</si>
  <si>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</si>
  <si>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</si>
  <si>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</si>
  <si>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</si>
  <si>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</si>
  <si>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</si>
  <si>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</si>
  <si>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</si>
  <si>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</si>
  <si>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</si>
  <si>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</si>
  <si>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</si>
  <si>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</si>
  <si>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</si>
  <si>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</si>
  <si>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</si>
  <si>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</si>
  <si>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</si>
  <si>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</si>
  <si>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</si>
  <si>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</si>
  <si>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</si>
  <si>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</si>
  <si>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</si>
  <si>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</si>
  <si>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</si>
  <si>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</si>
  <si>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</si>
  <si>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</si>
  <si>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</si>
  <si>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</si>
  <si>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</si>
  <si>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</si>
  <si>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</si>
  <si>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</si>
  <si>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</si>
  <si>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</si>
  <si>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</si>
  <si>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</si>
  <si>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</si>
  <si>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</si>
  <si>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</si>
  <si>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</si>
  <si>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</si>
  <si>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</si>
  <si>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</si>
  <si>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</si>
  <si>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</si>
  <si>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</si>
  <si>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</si>
  <si>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</si>
  <si>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</si>
  <si>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</si>
  <si>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</si>
  <si>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</si>
  <si>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</si>
  <si>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</si>
  <si>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</si>
  <si>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</si>
  <si>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</si>
  <si>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</si>
  <si>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</si>
  <si>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</si>
  <si>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</si>
  <si>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</si>
  <si>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</si>
  <si>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</si>
  <si>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</si>
  <si>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</si>
  <si>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</si>
  <si>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</si>
  <si>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</si>
  <si>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</si>
  <si>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</si>
  <si>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</si>
  <si>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</si>
  <si>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</si>
  <si>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</si>
  <si>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</si>
  <si>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</si>
  <si>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</si>
  <si>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</si>
  <si>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</si>
  <si>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</si>
  <si>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</si>
  <si>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</si>
  <si>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</si>
  <si>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</si>
  <si>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</si>
  <si>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</si>
  <si>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</si>
  <si>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</si>
  <si>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</si>
  <si>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</si>
  <si>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</si>
  <si>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</si>
  <si>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</si>
  <si>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</si>
  <si>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</si>
  <si>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</si>
  <si>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</si>
  <si>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</si>
  <si>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</si>
  <si>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</si>
  <si>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</si>
  <si>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</si>
  <si>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</si>
  <si>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</si>
  <si>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</si>
  <si>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</si>
  <si>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</si>
  <si>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</si>
  <si>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</si>
  <si>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</si>
  <si>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</si>
  <si>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</si>
  <si>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</si>
  <si>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</si>
  <si>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</si>
  <si>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</si>
  <si>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</si>
  <si>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</si>
  <si>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</si>
  <si>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</si>
  <si>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</si>
  <si>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</si>
  <si>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</si>
  <si>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</si>
  <si>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</si>
  <si>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</si>
  <si>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</si>
  <si>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</si>
  <si>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</si>
  <si>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</si>
  <si>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</si>
  <si>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</si>
  <si>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</si>
  <si>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</si>
  <si>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</si>
  <si>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</si>
  <si>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</si>
  <si>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</si>
  <si>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</si>
  <si>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</si>
  <si>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</si>
  <si>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</si>
  <si>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</si>
  <si>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</si>
  <si>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</si>
  <si>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</si>
  <si>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</si>
  <si>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</si>
  <si>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</si>
  <si>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</si>
  <si>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</si>
  <si>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</si>
  <si>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</si>
  <si>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</si>
  <si>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</si>
  <si>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</si>
  <si>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</si>
  <si>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</si>
  <si>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</si>
  <si>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</si>
  <si>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</si>
  <si>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</si>
  <si>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</si>
  <si>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</si>
  <si>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</si>
  <si>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</si>
  <si>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</si>
  <si>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</si>
  <si>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</si>
  <si>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</si>
  <si>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</si>
  <si>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</si>
  <si>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</si>
  <si>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</si>
  <si>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</si>
  <si>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</si>
  <si>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</si>
  <si>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</si>
  <si>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</si>
  <si>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</si>
  <si>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</si>
  <si>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</si>
  <si>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</si>
  <si>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</si>
  <si>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</si>
  <si>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</si>
  <si>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</si>
  <si>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</si>
  <si>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</si>
  <si>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</si>
  <si>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</si>
  <si>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</si>
  <si>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</si>
  <si>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</si>
  <si>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</si>
  <si>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</si>
  <si>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</si>
  <si>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</si>
  <si>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</si>
  <si>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</si>
  <si>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</si>
  <si>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</si>
  <si>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</si>
  <si>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</si>
  <si>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</si>
  <si>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</si>
  <si>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</si>
  <si>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</si>
  <si>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</si>
  <si>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</si>
  <si>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</si>
  <si>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</si>
  <si>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</si>
  <si>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</si>
  <si>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</si>
  <si>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</si>
  <si>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</si>
  <si>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</si>
  <si>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</si>
  <si>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</si>
  <si>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</si>
  <si>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</si>
  <si>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</si>
  <si>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</si>
  <si>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</si>
  <si>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</si>
  <si>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</si>
  <si>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</si>
  <si>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</si>
  <si>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</si>
  <si>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</si>
  <si>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</si>
  <si>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</si>
  <si>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</si>
  <si>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</si>
  <si>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</si>
  <si>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</si>
  <si>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</si>
  <si>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</si>
  <si>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</si>
  <si>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</si>
  <si>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</si>
  <si>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</si>
  <si>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</si>
  <si>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</si>
  <si>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</si>
  <si>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</si>
  <si>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</si>
  <si>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</si>
  <si>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</si>
  <si>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</si>
  <si>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</si>
  <si>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</si>
  <si>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</si>
  <si>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</si>
  <si>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</si>
  <si>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</si>
  <si>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</si>
  <si>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</si>
  <si>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</si>
  <si>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</si>
  <si>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</si>
  <si>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</si>
  <si>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</si>
  <si>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</si>
  <si>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</si>
  <si>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</si>
  <si>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</si>
  <si>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</si>
  <si>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</si>
  <si>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</si>
  <si>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</si>
  <si>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</si>
  <si>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</si>
  <si>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</si>
  <si>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</si>
  <si>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</si>
  <si>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</si>
  <si>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</si>
  <si>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</si>
  <si>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</si>
  <si>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</si>
  <si>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</si>
  <si>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</si>
  <si>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</si>
  <si>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</si>
  <si>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</si>
  <si>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</si>
  <si>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</si>
  <si>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</si>
  <si>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</si>
  <si>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</si>
  <si>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</si>
  <si>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</si>
  <si>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</si>
  <si>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</si>
  <si>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</si>
  <si>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</si>
  <si>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</si>
  <si>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</si>
  <si>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</si>
  <si>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</si>
  <si>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</si>
  <si>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</si>
  <si>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</si>
  <si>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</si>
  <si>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</si>
  <si>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</si>
  <si>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</si>
  <si>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</si>
  <si>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</si>
  <si>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</si>
  <si>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</si>
  <si>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</si>
  <si>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</si>
  <si>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</si>
  <si>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</si>
  <si>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</si>
  <si>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</si>
  <si>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</si>
  <si>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</si>
  <si>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</si>
  <si>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</si>
  <si>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</si>
  <si>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</si>
  <si>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</si>
  <si>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</si>
  <si>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</si>
  <si>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</si>
  <si>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</si>
  <si>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</si>
  <si>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</si>
  <si>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</si>
  <si>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</si>
  <si>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</si>
  <si>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</si>
  <si>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</si>
  <si>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</si>
  <si>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</si>
  <si>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</si>
  <si>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</si>
  <si>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</si>
  <si>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</si>
  <si>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</si>
  <si>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</si>
  <si>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</si>
  <si>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</si>
  <si>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</si>
  <si>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</si>
  <si>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</si>
  <si>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</si>
  <si>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</si>
  <si>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</si>
  <si>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</si>
  <si>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</si>
  <si>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</si>
  <si>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</si>
  <si>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</si>
  <si>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</si>
  <si>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</si>
  <si>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</si>
  <si>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</si>
  <si>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</si>
  <si>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</si>
  <si>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</si>
  <si>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</si>
  <si>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</si>
  <si>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</si>
  <si>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</si>
  <si>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</si>
  <si>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</si>
  <si>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</si>
  <si>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</si>
  <si>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</si>
  <si>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</si>
  <si>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</si>
  <si>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</si>
  <si>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</si>
  <si>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</si>
  <si>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</si>
  <si>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</si>
  <si>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</si>
  <si>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</si>
  <si>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</si>
  <si>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</si>
  <si>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</si>
  <si>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</si>
  <si>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</si>
  <si>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</si>
  <si>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</si>
  <si>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</si>
  <si>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</si>
  <si>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</si>
  <si>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</si>
  <si>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</si>
  <si>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</si>
  <si>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</si>
  <si>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</si>
  <si>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</si>
  <si>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</si>
  <si>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</si>
  <si>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</si>
  <si>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</si>
  <si>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</si>
  <si>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</si>
  <si>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</si>
  <si>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</si>
  <si>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</si>
  <si>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</si>
  <si>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</si>
  <si>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</si>
  <si>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</si>
  <si>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</si>
  <si>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</si>
  <si>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</si>
  <si>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</si>
  <si>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</si>
  <si>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</si>
  <si>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</si>
  <si>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</si>
  <si>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</si>
  <si>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</si>
  <si>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</si>
  <si>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</si>
  <si>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</si>
  <si>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</si>
  <si>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</si>
  <si>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</si>
  <si>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</si>
  <si>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</si>
  <si>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</si>
  <si>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</si>
  <si>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</si>
  <si>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</si>
  <si>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</si>
  <si>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</si>
  <si>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</si>
  <si>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</si>
  <si>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</si>
  <si>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</si>
  <si>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</si>
  <si>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</si>
  <si>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</si>
  <si>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</si>
  <si>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</si>
  <si>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</si>
  <si>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</si>
  <si>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</si>
  <si>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</si>
  <si>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</si>
  <si>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</si>
  <si>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</si>
  <si>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</si>
  <si>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</si>
  <si>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</si>
  <si>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</si>
  <si>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</si>
  <si>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</si>
  <si>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</si>
  <si>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</si>
  <si>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</si>
  <si>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</si>
  <si>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</si>
  <si>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</si>
  <si>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</si>
  <si>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</si>
  <si>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</si>
  <si>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</si>
  <si>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</si>
  <si>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</si>
  <si>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</si>
  <si>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</si>
  <si>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</si>
  <si>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</si>
  <si>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</si>
  <si>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</si>
  <si>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</si>
  <si>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</si>
  <si>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</si>
  <si>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</si>
  <si>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</si>
  <si>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</si>
  <si>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</si>
  <si>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</si>
  <si>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</si>
  <si>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</si>
  <si>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</si>
  <si>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</si>
  <si>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</si>
  <si>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</si>
  <si>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</si>
  <si>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</si>
  <si>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</si>
  <si>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</si>
  <si>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</si>
  <si>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</si>
  <si>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</si>
  <si>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</si>
  <si>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</si>
  <si>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</si>
  <si>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</si>
  <si>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</si>
  <si>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</si>
  <si>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</si>
  <si>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</si>
  <si>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</si>
  <si>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</si>
  <si>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</si>
  <si>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</si>
  <si>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</si>
  <si>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</si>
  <si>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</si>
  <si>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</si>
  <si>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</si>
  <si>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</si>
  <si>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</si>
  <si>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</si>
  <si>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</si>
  <si>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</si>
  <si>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</si>
  <si>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</si>
  <si>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</si>
  <si>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</si>
  <si>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</si>
  <si>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</si>
  <si>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</si>
  <si>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</si>
  <si>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</si>
  <si>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</si>
  <si>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</si>
  <si>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</si>
  <si>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</si>
  <si>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</si>
  <si>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</si>
  <si>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</si>
  <si>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</si>
  <si>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</si>
  <si>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</si>
  <si>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</si>
  <si>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</si>
  <si>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</si>
  <si>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</si>
  <si>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</si>
  <si>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</si>
  <si>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</si>
  <si>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</si>
  <si>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</si>
  <si>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</si>
  <si>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</si>
  <si>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</si>
  <si>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</si>
  <si>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</si>
  <si>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</si>
  <si>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</si>
  <si>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</si>
  <si>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</si>
  <si>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</si>
  <si>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</si>
  <si>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</si>
  <si>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</si>
  <si>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</si>
  <si>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</si>
  <si>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</si>
  <si>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</si>
  <si>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</si>
  <si>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</si>
  <si>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</si>
  <si>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</si>
  <si>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</si>
  <si>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</si>
  <si>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</si>
  <si>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</si>
  <si>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</si>
  <si>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</si>
  <si>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</si>
  <si>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</si>
  <si>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</si>
  <si>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</si>
  <si>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</si>
  <si>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</si>
  <si>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</si>
  <si>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</si>
  <si>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</si>
  <si>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</si>
  <si>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</si>
  <si>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</si>
  <si>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</si>
  <si>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</si>
  <si>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</si>
  <si>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</si>
  <si>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</si>
  <si>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</si>
  <si>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</si>
  <si>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</si>
  <si>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</si>
  <si>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</si>
  <si>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</si>
  <si>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</si>
  <si>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</si>
  <si>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</si>
  <si>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</si>
  <si>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</si>
  <si>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</si>
  <si>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</si>
  <si>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</si>
  <si>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</si>
  <si>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</si>
  <si>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</si>
  <si>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</si>
  <si>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</si>
  <si>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</si>
  <si>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</si>
  <si>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</si>
  <si>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</si>
  <si>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</si>
  <si>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</si>
  <si>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</si>
  <si>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</si>
  <si>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</si>
  <si>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</si>
  <si>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</si>
  <si>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</si>
  <si>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</si>
  <si>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</si>
  <si>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</si>
  <si>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</si>
  <si>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</si>
  <si>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</si>
  <si>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</si>
  <si>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</si>
  <si>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</si>
  <si>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</si>
  <si>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</si>
  <si>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</si>
  <si>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</si>
  <si>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</si>
  <si>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</si>
  <si>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</si>
  <si>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</si>
  <si>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</si>
  <si>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</si>
  <si>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</si>
  <si>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</si>
  <si>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</si>
  <si>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</si>
  <si>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</si>
  <si>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</si>
  <si>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</si>
  <si>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</si>
  <si>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</si>
  <si>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</si>
  <si>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</si>
  <si>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</si>
  <si>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</si>
  <si>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</si>
  <si>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</si>
  <si>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</si>
  <si>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</si>
  <si>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</si>
  <si>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</si>
  <si>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</si>
  <si>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</si>
  <si>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</si>
  <si>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</si>
  <si>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</si>
  <si>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</si>
  <si>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</si>
  <si>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</si>
  <si>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</si>
  <si>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</si>
  <si>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</si>
  <si>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</si>
  <si>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</si>
  <si>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</si>
  <si>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</si>
  <si>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</si>
  <si>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</si>
  <si>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</si>
  <si>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</si>
  <si>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</si>
  <si>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</si>
  <si>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</si>
  <si>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</si>
  <si>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</si>
  <si>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</si>
  <si>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</si>
  <si>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</si>
  <si>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</si>
  <si>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</si>
  <si>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</si>
  <si>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</si>
  <si>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</si>
  <si>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</si>
  <si>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</si>
  <si>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</si>
  <si>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</si>
  <si>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</si>
  <si>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</si>
  <si>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</si>
  <si>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</si>
  <si>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</si>
  <si>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</si>
  <si>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</si>
  <si>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</si>
  <si>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</si>
  <si>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</si>
  <si>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</si>
  <si>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</si>
  <si>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</si>
  <si>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</si>
  <si>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</si>
  <si>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</si>
  <si>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</si>
  <si>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</si>
  <si>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</si>
  <si>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</si>
  <si>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</si>
  <si>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</si>
  <si>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</si>
  <si>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</si>
  <si>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</si>
  <si>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</si>
  <si>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</si>
  <si>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</si>
  <si>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</si>
  <si>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</si>
  <si>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</si>
  <si>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</si>
  <si>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</si>
  <si>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</si>
  <si>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</si>
  <si>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</si>
  <si>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</si>
  <si>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</si>
  <si>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</si>
  <si>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</si>
  <si>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</si>
  <si>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</si>
  <si>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</si>
  <si>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</si>
  <si>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</si>
  <si>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</si>
  <si>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</si>
  <si>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</si>
  <si>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</si>
  <si>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</si>
  <si>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</si>
  <si>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</si>
  <si>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</si>
  <si>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</si>
  <si>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</si>
  <si>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</si>
  <si>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</si>
  <si>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</si>
  <si>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</si>
  <si>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</si>
  <si>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</si>
  <si>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</si>
  <si>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</si>
  <si>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</si>
  <si>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</si>
  <si>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</si>
  <si>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</si>
  <si>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</si>
  <si>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</si>
  <si>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</si>
  <si>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</si>
  <si>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</si>
  <si>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</si>
  <si>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</si>
  <si>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</si>
  <si>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</si>
  <si>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</si>
  <si>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</si>
  <si>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</si>
  <si>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</si>
  <si>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</si>
  <si>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</si>
  <si>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</si>
  <si>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</si>
  <si>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</si>
  <si>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</si>
  <si>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</si>
  <si>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</si>
  <si>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</si>
  <si>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</si>
  <si>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</si>
  <si>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</si>
  <si>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</si>
  <si>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</si>
  <si>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</si>
  <si>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</si>
  <si>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</si>
  <si>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</si>
  <si>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</si>
  <si>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</si>
  <si>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</si>
  <si>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</si>
  <si>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</si>
  <si>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</si>
  <si>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</si>
  <si>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</si>
  <si>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</si>
  <si>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</si>
  <si>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</si>
  <si>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</si>
  <si>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</si>
  <si>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</si>
  <si>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</si>
  <si>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</si>
  <si>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</si>
  <si>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</si>
  <si>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</si>
  <si>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</si>
  <si>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</si>
  <si>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</si>
  <si>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</si>
  <si>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</si>
  <si>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</si>
  <si>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</si>
  <si>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</si>
  <si>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</si>
  <si>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</si>
  <si>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</si>
  <si>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</si>
  <si>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</si>
  <si>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</si>
  <si>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</si>
  <si>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</si>
  <si>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</si>
  <si>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</si>
  <si>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</si>
  <si>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</si>
  <si>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</si>
  <si>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</si>
  <si>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</si>
  <si>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</si>
  <si>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</si>
  <si>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</si>
  <si>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</si>
  <si>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</si>
  <si>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</si>
  <si>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</si>
  <si>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</si>
  <si>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</si>
  <si>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</si>
  <si>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</si>
  <si>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</si>
  <si>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</si>
  <si>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</si>
  <si>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</si>
  <si>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</si>
  <si>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</si>
  <si>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</si>
  <si>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</si>
  <si>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</si>
  <si>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</si>
  <si>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</si>
  <si>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</si>
  <si>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</si>
  <si>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</si>
  <si>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</si>
  <si>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</si>
  <si>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</si>
  <si>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</si>
  <si>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</si>
  <si>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</si>
  <si>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</si>
  <si>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</si>
  <si>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</si>
  <si>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</si>
  <si>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</si>
  <si>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</si>
  <si>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</si>
  <si>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</si>
  <si>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</si>
  <si>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</si>
  <si>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</si>
  <si>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</si>
  <si>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</si>
  <si>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</si>
  <si>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</si>
  <si>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</si>
  <si>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</si>
  <si>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</si>
  <si>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</si>
  <si>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</si>
  <si>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</si>
  <si>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</si>
  <si>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</si>
  <si>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</si>
  <si>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</si>
  <si>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</si>
  <si>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</si>
  <si>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</si>
  <si>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</si>
  <si>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</si>
  <si>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</si>
  <si>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</si>
  <si>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</si>
  <si>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</si>
  <si>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</si>
  <si>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</si>
  <si>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</si>
  <si>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</si>
  <si>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</si>
  <si>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</si>
  <si>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</si>
  <si>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</si>
  <si>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</si>
  <si>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</si>
  <si>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</si>
  <si>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</si>
  <si>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</si>
  <si>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</si>
  <si>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</si>
  <si>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</si>
  <si>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</si>
  <si>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</si>
  <si>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</si>
  <si>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</si>
  <si>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</si>
  <si>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</si>
  <si>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</si>
  <si>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</si>
  <si>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</si>
  <si>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</si>
  <si>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</si>
  <si>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</si>
  <si>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</si>
  <si>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</si>
  <si>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</si>
  <si>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</si>
  <si>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</si>
  <si>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</si>
  <si>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</si>
  <si>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</si>
  <si>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</si>
  <si>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</si>
  <si>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</si>
  <si>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</si>
  <si>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</si>
  <si>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</si>
  <si>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</si>
  <si>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</si>
  <si>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</si>
  <si>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</si>
  <si>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</si>
  <si>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</si>
  <si>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</si>
  <si>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</si>
  <si>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</si>
  <si>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</si>
  <si>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</si>
  <si>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</si>
  <si>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</si>
  <si>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</si>
  <si>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</si>
  <si>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</si>
  <si>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</si>
  <si>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</si>
  <si>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</si>
  <si>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</si>
  <si>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</si>
  <si>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</si>
  <si>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</si>
  <si>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</si>
  <si>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</si>
  <si>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</si>
  <si>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</si>
  <si>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</si>
  <si>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</si>
  <si>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</si>
  <si>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</si>
  <si>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</si>
  <si>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</si>
  <si>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</si>
  <si>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</si>
  <si>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</si>
  <si>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</si>
  <si>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</si>
  <si>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</si>
  <si>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</si>
  <si>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</si>
  <si>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</si>
  <si>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</si>
  <si>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</si>
  <si>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</si>
  <si>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</si>
  <si>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</si>
  <si>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</si>
  <si>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</si>
  <si>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</si>
  <si>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</si>
  <si>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</si>
  <si>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</si>
  <si>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</si>
  <si>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</si>
  <si>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</si>
  <si>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</si>
  <si>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</si>
  <si>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</si>
  <si>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</si>
  <si>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</si>
  <si>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</si>
  <si>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</si>
  <si>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</si>
  <si>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</si>
  <si>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</si>
  <si>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</si>
  <si>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</si>
  <si>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</si>
  <si>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</si>
  <si>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</si>
  <si>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</si>
  <si>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</si>
  <si>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</si>
  <si>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</si>
  <si>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</si>
  <si>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</si>
  <si>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</si>
  <si>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</si>
  <si>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</si>
  <si>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</si>
  <si>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</si>
  <si>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</si>
  <si>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</si>
  <si>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</si>
  <si>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</si>
  <si>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</si>
  <si>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</si>
  <si>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</si>
  <si>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</si>
  <si>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</si>
  <si>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</si>
  <si>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</si>
  <si>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</si>
  <si>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</si>
  <si>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</si>
  <si>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</si>
  <si>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</si>
  <si>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</si>
  <si>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</si>
  <si>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</si>
  <si>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</si>
  <si>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</si>
  <si>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</si>
  <si>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</si>
  <si>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</si>
  <si>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</si>
  <si>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</si>
  <si>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</si>
  <si>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</si>
  <si>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</si>
  <si>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</si>
  <si>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</si>
  <si>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</si>
  <si>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</si>
  <si>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</si>
  <si>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</si>
  <si>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</si>
  <si>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</si>
  <si>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</si>
  <si>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</si>
  <si>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</si>
  <si>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</si>
  <si>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</si>
  <si>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</si>
  <si>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</si>
  <si>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</si>
  <si>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</si>
  <si>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</si>
  <si>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</si>
  <si>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</si>
  <si>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</si>
  <si>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</si>
  <si>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</si>
  <si>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</si>
  <si>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</si>
  <si>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</si>
  <si>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</si>
  <si>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</si>
  <si>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</si>
  <si>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</si>
  <si>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</si>
  <si>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</si>
  <si>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</si>
  <si>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</si>
  <si>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</si>
  <si>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</si>
  <si>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</si>
  <si>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</si>
  <si>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</si>
  <si>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</si>
  <si>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</si>
  <si>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</si>
  <si>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</si>
  <si>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</si>
  <si>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</si>
  <si>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</si>
  <si>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</si>
  <si>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</si>
  <si>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</si>
  <si>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</si>
  <si>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</si>
  <si>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</si>
  <si>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</si>
  <si>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</si>
  <si>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</si>
  <si>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</si>
  <si>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</si>
  <si>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</si>
  <si>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</si>
  <si>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</si>
  <si>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</si>
  <si>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</si>
  <si>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</si>
  <si>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</si>
  <si>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</si>
  <si>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</si>
  <si>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</si>
  <si>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</si>
  <si>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</si>
  <si>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</si>
  <si>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</si>
  <si>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</si>
  <si>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</si>
  <si>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</si>
  <si>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</si>
  <si>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</si>
  <si>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</si>
  <si>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</si>
  <si>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</si>
  <si>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</si>
  <si>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</si>
  <si>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</si>
  <si>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</si>
  <si>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</si>
  <si>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</si>
  <si>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</si>
  <si>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</si>
  <si>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</si>
  <si>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</si>
  <si>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</si>
  <si>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</si>
  <si>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</si>
  <si>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</si>
  <si>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</si>
  <si>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</si>
  <si>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</si>
  <si>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</si>
  <si>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</si>
  <si>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</si>
  <si>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</si>
  <si>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</si>
  <si>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</si>
  <si>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</si>
  <si>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</si>
  <si>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</si>
  <si>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</si>
  <si>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</si>
  <si>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</si>
  <si>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</si>
  <si>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</si>
  <si>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</si>
  <si>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</si>
  <si>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</si>
  <si>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</si>
  <si>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</si>
  <si>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</si>
  <si>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</si>
  <si>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</si>
  <si>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</si>
  <si>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</si>
  <si>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</si>
  <si>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</si>
  <si>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</si>
  <si>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</si>
  <si>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</si>
  <si>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</si>
  <si>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</si>
  <si>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</si>
  <si>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</si>
  <si>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</si>
  <si>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</si>
  <si>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</si>
  <si>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</si>
  <si>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</si>
  <si>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</si>
  <si>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</si>
  <si>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</si>
  <si>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</si>
  <si>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</si>
  <si>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</si>
  <si>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</si>
  <si>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</si>
  <si>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</si>
  <si>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</si>
  <si>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</si>
  <si>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</si>
  <si>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</si>
  <si>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</si>
  <si>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</si>
  <si>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</si>
  <si>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</si>
  <si>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</si>
  <si>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</si>
  <si>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</si>
  <si>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</si>
  <si>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</si>
  <si>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</si>
  <si>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</si>
  <si>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</si>
  <si>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</si>
  <si>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</si>
  <si>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</si>
  <si>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</si>
  <si>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</si>
  <si>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</si>
  <si>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</si>
  <si>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</si>
  <si>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</si>
  <si>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</si>
  <si>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</si>
  <si>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</si>
  <si>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</si>
  <si>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</si>
  <si>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</si>
  <si>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</si>
  <si>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</si>
  <si>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</si>
  <si>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</si>
  <si>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</si>
  <si>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</si>
  <si>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</si>
  <si>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</si>
  <si>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</si>
  <si>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</si>
  <si>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</si>
  <si>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</si>
  <si>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</si>
  <si>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</si>
  <si>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</si>
  <si>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</si>
  <si>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</si>
  <si>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</si>
  <si>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</si>
  <si>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</si>
  <si>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</si>
  <si>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</si>
  <si>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</si>
  <si>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</si>
  <si>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</si>
  <si>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</si>
  <si>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</si>
  <si>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</si>
  <si>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</si>
  <si>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</si>
  <si>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</si>
  <si>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</si>
  <si>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</si>
  <si>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</si>
  <si>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</si>
  <si>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</si>
  <si>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</si>
  <si>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</si>
  <si>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</si>
  <si>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</si>
  <si>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</si>
  <si>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</si>
  <si>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</si>
  <si>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</si>
  <si>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</si>
  <si>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</si>
  <si>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</si>
  <si>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</si>
  <si>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</si>
  <si>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</si>
  <si>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</si>
  <si>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</si>
  <si>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</si>
  <si>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</si>
  <si>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</si>
  <si>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</si>
  <si>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</si>
  <si>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</si>
  <si>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</si>
  <si>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</si>
  <si>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</si>
  <si>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</si>
  <si>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</si>
  <si>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</si>
  <si>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</si>
  <si>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</si>
  <si>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</si>
  <si>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</si>
  <si>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</si>
  <si>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</si>
  <si>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</si>
  <si>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</si>
  <si>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</si>
  <si>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</si>
  <si>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</si>
  <si>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</si>
  <si>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</si>
  <si>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</si>
  <si>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</si>
  <si>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</si>
  <si>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</si>
  <si>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</si>
  <si>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</si>
  <si>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</si>
  <si>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</si>
  <si>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</si>
  <si>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</si>
  <si>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</si>
  <si>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</si>
  <si>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</si>
  <si>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</si>
  <si>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</si>
  <si>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</si>
  <si>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</si>
  <si>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</si>
  <si>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</si>
  <si>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</si>
  <si>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</si>
  <si>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</si>
  <si>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</si>
  <si>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</si>
  <si>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</si>
  <si>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</si>
  <si>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</si>
  <si>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</si>
  <si>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</si>
  <si>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</si>
  <si>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</si>
  <si>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</si>
  <si>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</si>
  <si>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</si>
  <si>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</si>
  <si>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</si>
  <si>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</si>
  <si>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</si>
  <si>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</si>
  <si>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</si>
  <si>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</si>
  <si>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</si>
  <si>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</si>
  <si>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</si>
  <si>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</si>
  <si>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</si>
  <si>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</si>
  <si>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</si>
  <si>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</si>
  <si>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</si>
  <si>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</si>
  <si>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</si>
  <si>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</si>
  <si>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</si>
  <si>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</si>
  <si>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</si>
  <si>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</si>
  <si>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</si>
  <si>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</si>
  <si>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</si>
  <si>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</si>
  <si>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</si>
  <si>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</si>
  <si>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</si>
  <si>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</si>
  <si>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</si>
  <si>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</si>
  <si>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</si>
  <si>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</si>
  <si>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</si>
  <si>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</si>
  <si>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</si>
  <si>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</si>
  <si>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</si>
  <si>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</si>
  <si>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</si>
  <si>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</si>
  <si>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</si>
  <si>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</si>
  <si>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</si>
  <si>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</si>
  <si>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</si>
  <si>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</si>
  <si>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</si>
  <si>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</si>
  <si>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</si>
  <si>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</si>
  <si>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</si>
  <si>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</si>
  <si>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</si>
  <si>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</si>
  <si>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</si>
  <si>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</si>
  <si>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</si>
  <si>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</si>
  <si>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</si>
  <si>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</si>
  <si>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</si>
  <si>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</si>
  <si>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</si>
  <si>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</si>
  <si>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</si>
  <si>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</si>
  <si>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</si>
  <si>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</si>
  <si>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</si>
  <si>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</si>
  <si>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</si>
  <si>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</si>
  <si>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</si>
  <si>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</si>
  <si>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</si>
  <si>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</si>
  <si>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</si>
  <si>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</si>
  <si>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</si>
  <si>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</si>
  <si>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</si>
  <si>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</si>
  <si>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</si>
  <si>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</si>
  <si>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</si>
  <si>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</si>
  <si>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</si>
  <si>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</si>
  <si>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</si>
  <si>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</si>
  <si>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</si>
  <si>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</si>
  <si>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</si>
  <si>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</si>
  <si>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</si>
  <si>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</si>
  <si>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</si>
  <si>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</si>
  <si>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</si>
  <si>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</si>
  <si>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</si>
  <si>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</si>
  <si>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</si>
  <si>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</si>
  <si>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</si>
  <si>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</si>
  <si>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</si>
  <si>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</si>
  <si>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</si>
  <si>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</si>
  <si>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</si>
  <si>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</si>
  <si>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</si>
  <si>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</si>
  <si>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</si>
  <si>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</si>
  <si>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</si>
  <si>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</si>
  <si>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</si>
  <si>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</si>
  <si>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</si>
  <si>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</si>
  <si>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</si>
  <si>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</si>
  <si>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</si>
  <si>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</si>
  <si>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</si>
  <si>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</si>
  <si>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</si>
  <si>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</si>
  <si>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</si>
  <si>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</si>
  <si>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</si>
  <si>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</si>
  <si>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</si>
  <si>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</si>
  <si>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</si>
  <si>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</si>
  <si>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</si>
  <si>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</si>
  <si>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</si>
  <si>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</si>
  <si>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</si>
  <si>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</si>
  <si>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</si>
  <si>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</si>
  <si>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</si>
  <si>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</si>
  <si>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</si>
  <si>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</si>
  <si>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</si>
  <si>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</si>
  <si>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</si>
  <si>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</si>
  <si>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</si>
  <si>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</si>
  <si>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</si>
  <si>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</si>
  <si>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</si>
  <si>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</si>
  <si>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</si>
  <si>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</si>
  <si>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</si>
  <si>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</si>
  <si>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</si>
  <si>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</si>
  <si>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</si>
  <si>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</si>
  <si>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</si>
  <si>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</si>
  <si>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</si>
  <si>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</si>
  <si>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</si>
  <si>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</si>
  <si>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</si>
  <si>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</si>
  <si>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</si>
  <si>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</si>
  <si>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</si>
  <si>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</si>
  <si>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</si>
  <si>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</si>
  <si>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</si>
  <si>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</si>
  <si>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</si>
  <si>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</si>
  <si>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</si>
  <si>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</si>
  <si>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</si>
  <si>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</si>
  <si>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</si>
  <si>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</si>
  <si>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</si>
  <si>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</si>
  <si>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</si>
  <si>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</si>
  <si>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</si>
  <si>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</si>
  <si>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</si>
  <si>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</si>
  <si>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</si>
  <si>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</si>
  <si>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</si>
  <si>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</si>
  <si>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</si>
  <si>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</si>
  <si>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</si>
  <si>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</si>
  <si>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</si>
  <si>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</si>
  <si>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</si>
  <si>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</si>
  <si>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</si>
  <si>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</si>
  <si>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</si>
  <si>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</si>
  <si>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</si>
  <si>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</si>
  <si>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</si>
  <si>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</si>
  <si>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</si>
  <si>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</si>
  <si>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</si>
  <si>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</si>
  <si>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</si>
  <si>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</si>
  <si>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</si>
  <si>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</si>
  <si>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</si>
  <si>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</si>
  <si>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</si>
  <si>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</si>
  <si>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</si>
  <si>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</si>
  <si>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</si>
  <si>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</si>
  <si>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</si>
  <si>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</si>
  <si>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</si>
  <si>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</si>
  <si>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</si>
  <si>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</si>
  <si>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</si>
  <si>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</si>
  <si>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</si>
  <si>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</si>
  <si>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</si>
  <si>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</si>
  <si>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</si>
  <si>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</si>
  <si>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</si>
  <si>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</si>
  <si>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</si>
  <si>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</si>
  <si>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</si>
  <si>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</si>
  <si>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</si>
  <si>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</si>
  <si>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</si>
  <si>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</si>
  <si>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</si>
  <si>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</si>
  <si>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</si>
  <si>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</si>
  <si>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</si>
  <si>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</si>
  <si>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</si>
  <si>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</si>
  <si>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</si>
  <si>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</si>
  <si>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</si>
  <si>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</si>
  <si>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</si>
  <si>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</si>
  <si>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</si>
  <si>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</si>
  <si>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</si>
  <si>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</si>
  <si>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</si>
  <si>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</si>
  <si>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</si>
  <si>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</si>
  <si>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</si>
  <si>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</si>
  <si>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</si>
  <si>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</si>
  <si>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</si>
  <si>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</si>
  <si>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</si>
  <si>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</si>
  <si>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</si>
  <si>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</si>
  <si>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</si>
  <si>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</si>
  <si>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</si>
  <si>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</si>
  <si>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</si>
  <si>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</si>
  <si>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</si>
  <si>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</si>
  <si>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</si>
  <si>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</si>
  <si>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</si>
  <si>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</si>
  <si>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</si>
  <si>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</si>
  <si>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</si>
  <si>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</si>
  <si>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</si>
  <si>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</si>
  <si>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</si>
  <si>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</si>
  <si>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</si>
  <si>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</si>
  <si>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</si>
  <si>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</si>
  <si>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</si>
  <si>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</si>
  <si>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</si>
  <si>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</si>
  <si>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</si>
  <si>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</si>
  <si>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</si>
  <si>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</si>
  <si>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</si>
  <si>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</si>
  <si>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</si>
  <si>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</si>
  <si>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</si>
  <si>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</si>
  <si>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</si>
  <si>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</si>
  <si>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</si>
  <si>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</si>
  <si>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</si>
  <si>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</si>
  <si>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</si>
  <si>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</si>
  <si>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</si>
  <si>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</si>
  <si>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</si>
  <si>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</si>
  <si>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</si>
  <si>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</si>
  <si>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</si>
  <si>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</si>
  <si>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</si>
  <si>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</si>
  <si>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</si>
  <si>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</si>
  <si>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</si>
  <si>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</si>
  <si>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</si>
  <si>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</si>
  <si>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</si>
  <si>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</si>
  <si>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</si>
  <si>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</si>
  <si>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</si>
  <si>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</si>
  <si>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</si>
  <si>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</si>
  <si>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</si>
  <si>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</si>
  <si>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</si>
  <si>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</si>
  <si>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</si>
  <si>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</si>
  <si>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</si>
  <si>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</si>
  <si>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</si>
  <si>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</si>
  <si>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</si>
  <si>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</si>
  <si>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</si>
  <si>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</si>
  <si>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</si>
  <si>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</si>
  <si>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</si>
  <si>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</si>
  <si>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</si>
  <si>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</si>
  <si>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</si>
  <si>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</si>
  <si>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</si>
  <si>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</si>
  <si>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</si>
  <si>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</si>
  <si>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</si>
  <si>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</si>
  <si>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</si>
  <si>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</si>
  <si>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</si>
  <si>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</si>
  <si>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</si>
  <si>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</si>
  <si>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</si>
  <si>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</si>
  <si>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</si>
  <si>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</si>
  <si>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</si>
  <si>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</si>
  <si>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</si>
  <si>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</si>
  <si>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</si>
  <si>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</si>
  <si>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</si>
  <si>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</si>
  <si>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</si>
  <si>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</si>
  <si>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</si>
  <si>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</si>
  <si>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</si>
  <si>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</si>
  <si>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</si>
  <si>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</si>
  <si>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</si>
  <si>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</si>
  <si>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</si>
  <si>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</si>
  <si>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</si>
  <si>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</si>
  <si>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</si>
  <si>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</si>
  <si>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</si>
  <si>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</si>
  <si>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</si>
  <si>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</si>
  <si>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</si>
  <si>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</si>
  <si>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</si>
  <si>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</si>
  <si>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</si>
  <si>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</si>
  <si>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</si>
  <si>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</si>
  <si>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</si>
  <si>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</si>
  <si>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</si>
  <si>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</si>
  <si>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</si>
  <si>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</si>
  <si>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</si>
  <si>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</si>
  <si>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</si>
  <si>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</si>
  <si>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</si>
  <si>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</si>
  <si>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</si>
  <si>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</si>
  <si>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</si>
  <si>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</si>
  <si>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</si>
  <si>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</si>
  <si>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</si>
  <si>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</si>
  <si>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</si>
  <si>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</si>
  <si>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</si>
  <si>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</si>
  <si>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</si>
  <si>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</si>
  <si>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</si>
  <si>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</si>
  <si>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</si>
  <si>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</si>
  <si>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</si>
  <si>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</si>
  <si>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</si>
  <si>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</si>
  <si>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</si>
  <si>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</si>
  <si>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</si>
  <si>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</si>
  <si>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</si>
  <si>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</si>
  <si>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</si>
  <si>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</si>
  <si>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</si>
  <si>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</si>
  <si>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</si>
  <si>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</si>
  <si>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</si>
  <si>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</si>
  <si>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</si>
  <si>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</si>
  <si>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</si>
  <si>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</si>
  <si>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</si>
  <si>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</si>
  <si>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</si>
  <si>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</si>
  <si>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</si>
  <si>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</si>
  <si>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</si>
  <si>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</si>
  <si>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</si>
  <si>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</si>
  <si>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</si>
  <si>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</si>
  <si>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</si>
  <si>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</si>
  <si>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</si>
  <si>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</si>
  <si>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</si>
  <si>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</si>
  <si>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</si>
  <si>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</si>
  <si>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</si>
  <si>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</si>
  <si>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</si>
  <si>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</si>
  <si>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</si>
  <si>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</si>
  <si>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</si>
  <si>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</si>
  <si>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</si>
  <si>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</si>
  <si>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</si>
  <si>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</si>
  <si>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</si>
  <si>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</si>
  <si>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</si>
  <si>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</si>
  <si>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</si>
  <si>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</si>
  <si>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</si>
  <si>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</si>
  <si>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</si>
  <si>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</si>
  <si>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</si>
  <si>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</si>
  <si>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</si>
  <si>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</si>
  <si>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</si>
  <si>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</si>
  <si>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</si>
  <si>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</si>
  <si>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</si>
  <si>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</si>
  <si>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</si>
  <si>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</si>
  <si>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</si>
  <si>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</si>
  <si>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</si>
  <si>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</si>
  <si>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</si>
  <si>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</si>
  <si>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</si>
  <si>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</si>
  <si>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</si>
  <si>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</si>
  <si>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</si>
  <si>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</si>
  <si>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</si>
  <si>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</si>
  <si>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</si>
  <si>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</si>
  <si>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</si>
  <si>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</si>
  <si>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</si>
  <si>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</si>
  <si>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</si>
  <si>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</si>
  <si>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</si>
  <si>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</si>
  <si>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</si>
  <si>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</si>
  <si>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</si>
  <si>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</si>
  <si>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</si>
  <si>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</si>
  <si>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</si>
  <si>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</si>
  <si>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</si>
  <si>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</si>
  <si>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</si>
  <si>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</si>
  <si>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</si>
  <si>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</si>
  <si>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</si>
  <si>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</si>
  <si>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</si>
  <si>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</si>
  <si>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</si>
  <si>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</si>
  <si>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</si>
  <si>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</si>
  <si>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</si>
  <si>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</si>
  <si>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</si>
  <si>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</si>
  <si>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</si>
  <si>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</si>
  <si>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</si>
  <si>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</si>
  <si>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</si>
  <si>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</si>
  <si>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</si>
  <si>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</si>
  <si>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</si>
  <si>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</si>
  <si>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</si>
  <si>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</si>
  <si>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</si>
  <si>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</si>
  <si>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</si>
  <si>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</si>
  <si>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</si>
  <si>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</si>
  <si>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</si>
  <si>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</si>
  <si>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</si>
  <si>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</si>
  <si>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</si>
  <si>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</si>
  <si>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</si>
  <si>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</si>
  <si>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</si>
  <si>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</si>
  <si>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</si>
  <si>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</si>
  <si>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</si>
  <si>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</si>
  <si>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</si>
  <si>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</si>
  <si>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</si>
  <si>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</si>
  <si>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</si>
  <si>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</si>
  <si>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</si>
  <si>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</si>
  <si>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</si>
  <si>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</si>
  <si>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</si>
  <si>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</si>
  <si>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</si>
  <si>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</si>
  <si>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</si>
  <si>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</si>
  <si>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</si>
  <si>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</si>
  <si>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</si>
  <si>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</si>
  <si>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</si>
  <si>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</si>
  <si>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</si>
  <si>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</si>
  <si>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</si>
  <si>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</si>
  <si>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</si>
  <si>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</si>
  <si>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</si>
  <si>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</si>
  <si>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</si>
  <si>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</si>
  <si>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</si>
  <si>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</si>
  <si>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</si>
  <si>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</si>
  <si>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</si>
  <si>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</si>
  <si>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</si>
  <si>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</si>
  <si>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</si>
  <si>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</si>
  <si>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</si>
  <si>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</si>
  <si>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</si>
  <si>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</si>
  <si>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</si>
  <si>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</si>
  <si>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</si>
  <si>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</si>
  <si>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</si>
  <si>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</si>
  <si>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</si>
  <si>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</si>
  <si>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</si>
  <si>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</si>
  <si>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</si>
  <si>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</si>
  <si>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</si>
  <si>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</si>
  <si>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</si>
  <si>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</si>
  <si>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</si>
  <si>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</si>
  <si>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</si>
  <si>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</si>
  <si>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</si>
  <si>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</si>
  <si>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</si>
  <si>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</si>
  <si>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</si>
  <si>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</si>
  <si>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</si>
  <si>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</si>
  <si>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</si>
  <si>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</si>
  <si>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</si>
  <si>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</si>
  <si>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</si>
  <si>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</si>
  <si>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</si>
  <si>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</si>
  <si>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</si>
  <si>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</si>
  <si>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</si>
  <si>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</si>
  <si>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</si>
  <si>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</si>
  <si>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</si>
  <si>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</si>
  <si>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</si>
  <si>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</si>
  <si>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</si>
  <si>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</si>
  <si>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</si>
  <si>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</si>
  <si>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</si>
  <si>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</si>
  <si>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</si>
  <si>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</si>
  <si>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</si>
  <si>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</si>
  <si>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</si>
  <si>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</si>
  <si>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</si>
  <si>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</si>
  <si>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</si>
  <si>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</si>
  <si>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</si>
  <si>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</si>
  <si>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</si>
  <si>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</si>
  <si>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</si>
  <si>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</si>
  <si>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</si>
  <si>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</si>
  <si>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</si>
  <si>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</si>
  <si>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</si>
  <si>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</si>
  <si>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</si>
  <si>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</si>
  <si>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</si>
  <si>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</si>
  <si>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</si>
  <si>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</si>
  <si>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</si>
  <si>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</si>
  <si>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</si>
  <si>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</si>
  <si>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</si>
  <si>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</si>
  <si>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</si>
  <si>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</si>
  <si>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</si>
  <si>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</si>
  <si>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</si>
  <si>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</si>
  <si>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</si>
  <si>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</si>
  <si>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</si>
  <si>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</si>
  <si>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</si>
  <si>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</si>
  <si>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</si>
  <si>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</si>
  <si>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</si>
  <si>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</si>
  <si>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</si>
  <si>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</si>
  <si>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</si>
  <si>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</si>
  <si>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</si>
  <si>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</si>
  <si>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</si>
  <si>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</si>
  <si>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</si>
  <si>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</si>
  <si>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</si>
  <si>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</si>
  <si>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</si>
  <si>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</si>
  <si>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</si>
  <si>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</si>
  <si>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</si>
  <si>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</si>
  <si>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</si>
  <si>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</si>
  <si>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</si>
  <si>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</si>
  <si>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</si>
  <si>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</si>
  <si>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</si>
  <si>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</si>
  <si>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</si>
  <si>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</si>
  <si>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</si>
  <si>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</si>
  <si>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</si>
  <si>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</si>
  <si>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</si>
  <si>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</si>
  <si>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</si>
  <si>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</si>
  <si>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</si>
  <si>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</si>
  <si>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</si>
  <si>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</si>
  <si>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</si>
  <si>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</si>
  <si>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</si>
  <si>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</si>
  <si>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</si>
  <si>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</si>
  <si>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</si>
  <si>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</si>
  <si>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</si>
  <si>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</si>
  <si>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</si>
  <si>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</si>
  <si>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</si>
  <si>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</si>
  <si>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</si>
  <si>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</si>
  <si>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</si>
  <si>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</si>
  <si>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</si>
  <si>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</si>
  <si>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</si>
  <si>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</si>
  <si>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</si>
  <si>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</si>
  <si>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</si>
  <si>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</si>
  <si>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</si>
  <si>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</si>
  <si>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</si>
  <si>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</si>
  <si>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</si>
  <si>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</si>
  <si>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</si>
  <si>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</si>
  <si>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</si>
  <si>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</si>
  <si>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</si>
  <si>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</si>
  <si>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</si>
  <si>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</si>
  <si>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</si>
  <si>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</si>
  <si>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</si>
  <si>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</si>
  <si>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</si>
  <si>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</si>
  <si>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</si>
  <si>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</si>
  <si>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</si>
  <si>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</si>
  <si>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</si>
  <si>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</si>
  <si>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</si>
  <si>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</si>
  <si>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</si>
  <si>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</si>
  <si>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</si>
  <si>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</si>
  <si>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</si>
  <si>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</si>
  <si>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</si>
  <si>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</si>
  <si>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</si>
  <si>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</si>
  <si>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</si>
  <si>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</si>
  <si>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</si>
  <si>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</si>
  <si>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</si>
  <si>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</si>
  <si>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</si>
  <si>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</si>
  <si>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</si>
  <si>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</si>
  <si>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</si>
  <si>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</si>
  <si>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</si>
  <si>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</si>
  <si>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</si>
  <si>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</si>
  <si>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</si>
  <si>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</si>
  <si>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</si>
  <si>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</si>
  <si>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</si>
  <si>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</si>
  <si>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</si>
  <si>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</si>
  <si>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</si>
  <si>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</si>
  <si>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</si>
  <si>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</si>
  <si>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</si>
  <si>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</si>
  <si>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</si>
  <si>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</si>
  <si>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</si>
  <si>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</si>
  <si>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</si>
  <si>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</si>
  <si>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</si>
  <si>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</si>
  <si>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</si>
  <si>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北京市</t>
  </si>
  <si>
    <t>划拨</t>
  </si>
  <si>
    <t>商业</t>
    <phoneticPr fontId="7" type="noConversion"/>
  </si>
  <si>
    <t>住宅</t>
  </si>
  <si>
    <t>住宅</t>
    <phoneticPr fontId="7" type="noConversion"/>
  </si>
  <si>
    <t>办公</t>
    <phoneticPr fontId="7" type="noConversion"/>
  </si>
  <si>
    <t>城镇住宅用地</t>
    <phoneticPr fontId="134" type="noConversion"/>
  </si>
  <si>
    <t>与级别开发程度一致</t>
  </si>
  <si>
    <t>无</t>
  </si>
  <si>
    <t>500米范围内</t>
  </si>
  <si>
    <t>自定义容积率</t>
  </si>
  <si>
    <t>较好</t>
  </si>
  <si>
    <t>好</t>
  </si>
  <si>
    <t>楼层修正</t>
  </si>
  <si>
    <t>不临65条商业街</t>
  </si>
  <si>
    <t>商务金融用地</t>
  </si>
  <si>
    <t>是</t>
  </si>
  <si>
    <t>地上</t>
  </si>
  <si>
    <t>底商</t>
  </si>
  <si>
    <t>办公楼</t>
  </si>
  <si>
    <t>商业</t>
    <phoneticPr fontId="134" type="noConversion"/>
  </si>
  <si>
    <t>熟地价</t>
    <phoneticPr fontId="134" type="noConversion"/>
  </si>
  <si>
    <t>政府土地出让收益</t>
    <phoneticPr fontId="134" type="noConversion"/>
  </si>
  <si>
    <t>地下仓储</t>
    <phoneticPr fontId="134" type="noConversion"/>
  </si>
  <si>
    <t>保租房</t>
    <phoneticPr fontId="134" type="noConversion"/>
  </si>
  <si>
    <t>车位</t>
    <phoneticPr fontId="134" type="noConversion"/>
  </si>
  <si>
    <t>租金水平</t>
    <phoneticPr fontId="134" type="noConversion"/>
  </si>
  <si>
    <t>政馨园三区</t>
    <phoneticPr fontId="134" type="noConversion"/>
  </si>
  <si>
    <t>金茂府二期</t>
    <phoneticPr fontId="134" type="noConversion"/>
  </si>
  <si>
    <t>北京金茂府</t>
    <phoneticPr fontId="134" type="noConversion"/>
  </si>
  <si>
    <t>顶秀金颐家园</t>
    <phoneticPr fontId="134" type="noConversion"/>
  </si>
  <si>
    <t>顶秀金瑞家园</t>
    <phoneticPr fontId="134" type="noConversion"/>
  </si>
  <si>
    <t>顶秀欣园东苑</t>
    <phoneticPr fontId="134" type="noConversion"/>
  </si>
  <si>
    <t>鑫兆雅园</t>
    <phoneticPr fontId="134" type="noConversion"/>
  </si>
  <si>
    <t>鑫兆雅园南区</t>
    <phoneticPr fontId="134" type="noConversion"/>
  </si>
  <si>
    <t>鑫兆雅园北区</t>
    <phoneticPr fontId="134" type="noConversion"/>
  </si>
  <si>
    <t>租金</t>
  </si>
  <si>
    <t>较大</t>
  </si>
  <si>
    <t>较大</t>
    <phoneticPr fontId="30" type="noConversion"/>
  </si>
  <si>
    <t>一般</t>
  </si>
  <si>
    <t>一般</t>
    <phoneticPr fontId="30" type="noConversion"/>
  </si>
  <si>
    <t>主干道</t>
  </si>
  <si>
    <t>主干道</t>
    <phoneticPr fontId="30" type="noConversion"/>
  </si>
  <si>
    <t>次干道</t>
  </si>
  <si>
    <t>次干道</t>
    <phoneticPr fontId="30" type="noConversion"/>
  </si>
  <si>
    <t>顶秀欣园</t>
    <phoneticPr fontId="134" type="noConversion"/>
  </si>
  <si>
    <t>西马金润家园</t>
    <phoneticPr fontId="134" type="noConversion"/>
  </si>
  <si>
    <t>星河苑</t>
    <phoneticPr fontId="134" type="noConversion"/>
  </si>
  <si>
    <t>正常</t>
  </si>
  <si>
    <t>挂牌</t>
  </si>
  <si>
    <t>挂牌</t>
    <phoneticPr fontId="30" type="noConversion"/>
  </si>
  <si>
    <r>
      <t>360元</t>
    </r>
    <r>
      <rPr>
        <sz val="11"/>
        <color theme="1"/>
        <rFont val="宋体"/>
        <family val="3"/>
        <charset val="134"/>
        <scheme val="minor"/>
      </rPr>
      <t>/个·月</t>
    </r>
    <phoneticPr fontId="134" type="noConversion"/>
  </si>
  <si>
    <r>
      <t>12元</t>
    </r>
    <r>
      <rPr>
        <sz val="11"/>
        <color theme="1"/>
        <rFont val="宋体"/>
        <family val="3"/>
        <charset val="134"/>
        <scheme val="minor"/>
      </rPr>
      <t>/</t>
    </r>
    <r>
      <rPr>
        <sz val="11"/>
        <color theme="1"/>
        <rFont val="宋体"/>
        <charset val="134"/>
        <scheme val="minor"/>
      </rPr>
      <t>平方米·天</t>
    </r>
    <phoneticPr fontId="134" type="noConversion"/>
  </si>
  <si>
    <r>
      <t>85元</t>
    </r>
    <r>
      <rPr>
        <sz val="11"/>
        <color theme="1"/>
        <rFont val="宋体"/>
        <family val="3"/>
        <charset val="134"/>
        <scheme val="minor"/>
      </rPr>
      <t>/</t>
    </r>
    <r>
      <rPr>
        <sz val="11"/>
        <color theme="1"/>
        <rFont val="宋体"/>
        <charset val="134"/>
        <scheme val="minor"/>
      </rPr>
      <t>平方米·</t>
    </r>
    <r>
      <rPr>
        <sz val="11"/>
        <color theme="1"/>
        <rFont val="宋体"/>
        <family val="3"/>
        <charset val="134"/>
        <scheme val="minor"/>
      </rPr>
      <t>月</t>
    </r>
    <phoneticPr fontId="134" type="noConversion"/>
  </si>
  <si>
    <t>元/平方米</t>
    <phoneticPr fontId="134" type="noConversion"/>
  </si>
  <si>
    <t>场站</t>
    <phoneticPr fontId="7" type="noConversion"/>
  </si>
  <si>
    <t>办公（交通服务）</t>
    <phoneticPr fontId="134" type="noConversion"/>
  </si>
  <si>
    <r>
      <t>2</t>
    </r>
    <r>
      <rPr>
        <sz val="11"/>
        <color theme="1"/>
        <rFont val="宋体"/>
        <family val="3"/>
        <charset val="134"/>
        <scheme val="minor"/>
      </rPr>
      <t>025.2.14</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</si>
</sst>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5" borderId="0" xfId="0" applyFont="1" applyFill="1">
      <alignment vertical="center"/>
    </xf>
    <xf numFmtId="0" fontId="0" fillId="5" borderId="0" xfId="0" applyFill="1">
      <alignment vertical="center"/>
    </xf>
    <xf numFmtId="0" fontId="95" fillId="22" borderId="0" xfId="0" applyFont="1" applyFill="1">
      <alignment vertical="center"/>
    </xf>
    <xf numFmtId="0" fontId="0" fillId="22" borderId="0" xfId="0" applyFill="1">
      <alignmen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456371</xdr:colOff>
      <xdr:row>27</xdr:row>
      <xdr:rowOff>170850</xdr:rowOff>
    </xdr:to>
    <xdr:pic>
      <xdr:nvPicPr>
        <xdr:cNvPr id="2" name="图片 1">
          <a:extLst>
            <a:ext uri="{FF2B5EF4-FFF2-40B4-BE49-F238E27FC236}">
              <a16:creationId xmlns:a16="http://schemas.microsoft.com/office/drawing/2014/main" id="{7948F862-FBD6-844B-DEEF-140CDEF6310C}"/>
            </a:ext>
          </a:extLst>
        </xdr:cNvPr>
        <xdr:cNvPicPr>
          <a:picLocks noChangeAspect="1"/>
        </xdr:cNvPicPr>
      </xdr:nvPicPr>
      <xdr:blipFill>
        <a:blip xmlns:r="http://schemas.openxmlformats.org/officeDocument/2006/relationships" r:embed="rId1"/>
        <a:stretch>
          <a:fillRect/>
        </a:stretch>
      </xdr:blipFill>
      <xdr:spPr>
        <a:xfrm>
          <a:off x="0" y="0"/>
          <a:ext cx="6628571" cy="4800000"/>
        </a:xfrm>
        <a:prstGeom prst="rect">
          <a:avLst/>
        </a:prstGeom>
      </xdr:spPr>
    </xdr:pic>
    <xdr:clientData/>
  </xdr:twoCellAnchor>
  <xdr:twoCellAnchor editAs="oneCell">
    <xdr:from>
      <xdr:col>9</xdr:col>
      <xdr:colOff>590550</xdr:colOff>
      <xdr:row>0</xdr:row>
      <xdr:rowOff>0</xdr:rowOff>
    </xdr:from>
    <xdr:to>
      <xdr:col>19</xdr:col>
      <xdr:colOff>218271</xdr:colOff>
      <xdr:row>28</xdr:row>
      <xdr:rowOff>94638</xdr:rowOff>
    </xdr:to>
    <xdr:pic>
      <xdr:nvPicPr>
        <xdr:cNvPr id="3" name="图片 2">
          <a:extLst>
            <a:ext uri="{FF2B5EF4-FFF2-40B4-BE49-F238E27FC236}">
              <a16:creationId xmlns:a16="http://schemas.microsoft.com/office/drawing/2014/main" id="{6BEE5919-FBA1-A1BB-889A-D19AD93DCA06}"/>
            </a:ext>
          </a:extLst>
        </xdr:cNvPr>
        <xdr:cNvPicPr>
          <a:picLocks noChangeAspect="1"/>
        </xdr:cNvPicPr>
      </xdr:nvPicPr>
      <xdr:blipFill>
        <a:blip xmlns:r="http://schemas.openxmlformats.org/officeDocument/2006/relationships" r:embed="rId2"/>
        <a:stretch>
          <a:fillRect/>
        </a:stretch>
      </xdr:blipFill>
      <xdr:spPr>
        <a:xfrm>
          <a:off x="6762750" y="0"/>
          <a:ext cx="6428571" cy="4895238"/>
        </a:xfrm>
        <a:prstGeom prst="rect">
          <a:avLst/>
        </a:prstGeom>
      </xdr:spPr>
    </xdr:pic>
    <xdr:clientData/>
  </xdr:twoCellAnchor>
  <xdr:twoCellAnchor editAs="oneCell">
    <xdr:from>
      <xdr:col>17</xdr:col>
      <xdr:colOff>571500</xdr:colOff>
      <xdr:row>0</xdr:row>
      <xdr:rowOff>0</xdr:rowOff>
    </xdr:from>
    <xdr:to>
      <xdr:col>26</xdr:col>
      <xdr:colOff>323109</xdr:colOff>
      <xdr:row>26</xdr:row>
      <xdr:rowOff>75633</xdr:rowOff>
    </xdr:to>
    <xdr:pic>
      <xdr:nvPicPr>
        <xdr:cNvPr id="4" name="图片 3">
          <a:extLst>
            <a:ext uri="{FF2B5EF4-FFF2-40B4-BE49-F238E27FC236}">
              <a16:creationId xmlns:a16="http://schemas.microsoft.com/office/drawing/2014/main" id="{F63FE82E-DE6D-C4C7-FE3D-73275185AB59}"/>
            </a:ext>
          </a:extLst>
        </xdr:cNvPr>
        <xdr:cNvPicPr>
          <a:picLocks noChangeAspect="1"/>
        </xdr:cNvPicPr>
      </xdr:nvPicPr>
      <xdr:blipFill>
        <a:blip xmlns:r="http://schemas.openxmlformats.org/officeDocument/2006/relationships" r:embed="rId3"/>
        <a:stretch>
          <a:fillRect/>
        </a:stretch>
      </xdr:blipFill>
      <xdr:spPr>
        <a:xfrm>
          <a:off x="12858750" y="0"/>
          <a:ext cx="5923809" cy="4533333"/>
        </a:xfrm>
        <a:prstGeom prst="rect">
          <a:avLst/>
        </a:prstGeom>
      </xdr:spPr>
    </xdr:pic>
    <xdr:clientData/>
  </xdr:twoCellAnchor>
  <xdr:twoCellAnchor editAs="oneCell">
    <xdr:from>
      <xdr:col>25</xdr:col>
      <xdr:colOff>133350</xdr:colOff>
      <xdr:row>0</xdr:row>
      <xdr:rowOff>0</xdr:rowOff>
    </xdr:from>
    <xdr:to>
      <xdr:col>39</xdr:col>
      <xdr:colOff>75007</xdr:colOff>
      <xdr:row>31</xdr:row>
      <xdr:rowOff>123145</xdr:rowOff>
    </xdr:to>
    <xdr:pic>
      <xdr:nvPicPr>
        <xdr:cNvPr id="5" name="图片 4">
          <a:extLst>
            <a:ext uri="{FF2B5EF4-FFF2-40B4-BE49-F238E27FC236}">
              <a16:creationId xmlns:a16="http://schemas.microsoft.com/office/drawing/2014/main" id="{50322B65-3DC7-E245-71E3-A430B87CD361}"/>
            </a:ext>
          </a:extLst>
        </xdr:cNvPr>
        <xdr:cNvPicPr>
          <a:picLocks noChangeAspect="1"/>
        </xdr:cNvPicPr>
      </xdr:nvPicPr>
      <xdr:blipFill>
        <a:blip xmlns:r="http://schemas.openxmlformats.org/officeDocument/2006/relationships" r:embed="rId4"/>
        <a:stretch>
          <a:fillRect/>
        </a:stretch>
      </xdr:blipFill>
      <xdr:spPr>
        <a:xfrm>
          <a:off x="17907000" y="0"/>
          <a:ext cx="9542857" cy="5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142875</xdr:rowOff>
    </xdr:from>
    <xdr:to>
      <xdr:col>12</xdr:col>
      <xdr:colOff>476250</xdr:colOff>
      <xdr:row>50</xdr:row>
      <xdr:rowOff>41031</xdr:rowOff>
    </xdr:to>
    <xdr:pic>
      <xdr:nvPicPr>
        <xdr:cNvPr id="2" name="图片 1">
          <a:extLst>
            <a:ext uri="{FF2B5EF4-FFF2-40B4-BE49-F238E27FC236}">
              <a16:creationId xmlns:a16="http://schemas.microsoft.com/office/drawing/2014/main" id="{A1EEABCA-13D0-4543-5C88-BD8306BDABB1}"/>
            </a:ext>
          </a:extLst>
        </xdr:cNvPr>
        <xdr:cNvPicPr>
          <a:picLocks noChangeAspect="1"/>
        </xdr:cNvPicPr>
      </xdr:nvPicPr>
      <xdr:blipFill>
        <a:blip xmlns:r="http://schemas.openxmlformats.org/officeDocument/2006/relationships" r:embed="rId1"/>
        <a:stretch>
          <a:fillRect/>
        </a:stretch>
      </xdr:blipFill>
      <xdr:spPr>
        <a:xfrm>
          <a:off x="9525" y="142875"/>
          <a:ext cx="8696325" cy="8470656"/>
        </a:xfrm>
        <a:prstGeom prst="rect">
          <a:avLst/>
        </a:prstGeom>
      </xdr:spPr>
    </xdr:pic>
    <xdr:clientData/>
  </xdr:twoCellAnchor>
  <xdr:twoCellAnchor editAs="oneCell">
    <xdr:from>
      <xdr:col>25</xdr:col>
      <xdr:colOff>542925</xdr:colOff>
      <xdr:row>1</xdr:row>
      <xdr:rowOff>0</xdr:rowOff>
    </xdr:from>
    <xdr:to>
      <xdr:col>39</xdr:col>
      <xdr:colOff>293856</xdr:colOff>
      <xdr:row>28</xdr:row>
      <xdr:rowOff>109681</xdr:rowOff>
    </xdr:to>
    <xdr:pic>
      <xdr:nvPicPr>
        <xdr:cNvPr id="3" name="图片 2">
          <a:extLst>
            <a:ext uri="{FF2B5EF4-FFF2-40B4-BE49-F238E27FC236}">
              <a16:creationId xmlns:a16="http://schemas.microsoft.com/office/drawing/2014/main" id="{088B0CE8-9EA4-0D0A-476E-D287980C869A}"/>
            </a:ext>
          </a:extLst>
        </xdr:cNvPr>
        <xdr:cNvPicPr>
          <a:picLocks noChangeAspect="1"/>
        </xdr:cNvPicPr>
      </xdr:nvPicPr>
      <xdr:blipFill>
        <a:blip xmlns:r="http://schemas.openxmlformats.org/officeDocument/2006/relationships" r:embed="rId2"/>
        <a:stretch>
          <a:fillRect/>
        </a:stretch>
      </xdr:blipFill>
      <xdr:spPr>
        <a:xfrm>
          <a:off x="18145125" y="171450"/>
          <a:ext cx="9352131" cy="4738831"/>
        </a:xfrm>
        <a:prstGeom prst="rect">
          <a:avLst/>
        </a:prstGeom>
      </xdr:spPr>
    </xdr:pic>
    <xdr:clientData/>
  </xdr:twoCellAnchor>
  <xdr:twoCellAnchor editAs="oneCell">
    <xdr:from>
      <xdr:col>25</xdr:col>
      <xdr:colOff>495300</xdr:colOff>
      <xdr:row>6</xdr:row>
      <xdr:rowOff>152400</xdr:rowOff>
    </xdr:from>
    <xdr:to>
      <xdr:col>42</xdr:col>
      <xdr:colOff>484319</xdr:colOff>
      <xdr:row>41</xdr:row>
      <xdr:rowOff>75459</xdr:rowOff>
    </xdr:to>
    <xdr:pic>
      <xdr:nvPicPr>
        <xdr:cNvPr id="4" name="图片 3">
          <a:extLst>
            <a:ext uri="{FF2B5EF4-FFF2-40B4-BE49-F238E27FC236}">
              <a16:creationId xmlns:a16="http://schemas.microsoft.com/office/drawing/2014/main" id="{E6EA9C92-1086-45EF-087B-D9A200BA827F}"/>
            </a:ext>
          </a:extLst>
        </xdr:cNvPr>
        <xdr:cNvPicPr>
          <a:picLocks noChangeAspect="1"/>
        </xdr:cNvPicPr>
      </xdr:nvPicPr>
      <xdr:blipFill>
        <a:blip xmlns:r="http://schemas.openxmlformats.org/officeDocument/2006/relationships" r:embed="rId3"/>
        <a:stretch>
          <a:fillRect/>
        </a:stretch>
      </xdr:blipFill>
      <xdr:spPr>
        <a:xfrm>
          <a:off x="18097500" y="1181100"/>
          <a:ext cx="11647619" cy="5923809"/>
        </a:xfrm>
        <a:prstGeom prst="rect">
          <a:avLst/>
        </a:prstGeom>
      </xdr:spPr>
    </xdr:pic>
    <xdr:clientData/>
  </xdr:twoCellAnchor>
  <xdr:twoCellAnchor editAs="oneCell">
    <xdr:from>
      <xdr:col>25</xdr:col>
      <xdr:colOff>657225</xdr:colOff>
      <xdr:row>12</xdr:row>
      <xdr:rowOff>0</xdr:rowOff>
    </xdr:from>
    <xdr:to>
      <xdr:col>42</xdr:col>
      <xdr:colOff>265292</xdr:colOff>
      <xdr:row>46</xdr:row>
      <xdr:rowOff>46890</xdr:rowOff>
    </xdr:to>
    <xdr:pic>
      <xdr:nvPicPr>
        <xdr:cNvPr id="5" name="图片 4">
          <a:extLst>
            <a:ext uri="{FF2B5EF4-FFF2-40B4-BE49-F238E27FC236}">
              <a16:creationId xmlns:a16="http://schemas.microsoft.com/office/drawing/2014/main" id="{58B201BF-FE28-C38E-AB50-5F3725860835}"/>
            </a:ext>
          </a:extLst>
        </xdr:cNvPr>
        <xdr:cNvPicPr>
          <a:picLocks noChangeAspect="1"/>
        </xdr:cNvPicPr>
      </xdr:nvPicPr>
      <xdr:blipFill>
        <a:blip xmlns:r="http://schemas.openxmlformats.org/officeDocument/2006/relationships" r:embed="rId4"/>
        <a:stretch>
          <a:fillRect/>
        </a:stretch>
      </xdr:blipFill>
      <xdr:spPr>
        <a:xfrm>
          <a:off x="18259425" y="2057400"/>
          <a:ext cx="11266667" cy="5876190"/>
        </a:xfrm>
        <a:prstGeom prst="rect">
          <a:avLst/>
        </a:prstGeom>
      </xdr:spPr>
    </xdr:pic>
    <xdr:clientData/>
  </xdr:twoCellAnchor>
  <xdr:twoCellAnchor editAs="oneCell">
    <xdr:from>
      <xdr:col>10</xdr:col>
      <xdr:colOff>228600</xdr:colOff>
      <xdr:row>48</xdr:row>
      <xdr:rowOff>9525</xdr:rowOff>
    </xdr:from>
    <xdr:to>
      <xdr:col>21</xdr:col>
      <xdr:colOff>407622</xdr:colOff>
      <xdr:row>73</xdr:row>
      <xdr:rowOff>46669</xdr:rowOff>
    </xdr:to>
    <xdr:pic>
      <xdr:nvPicPr>
        <xdr:cNvPr id="6" name="图片 5">
          <a:extLst>
            <a:ext uri="{FF2B5EF4-FFF2-40B4-BE49-F238E27FC236}">
              <a16:creationId xmlns:a16="http://schemas.microsoft.com/office/drawing/2014/main" id="{D8E50FEE-6F9A-9148-FE65-9D0031C590F3}"/>
            </a:ext>
          </a:extLst>
        </xdr:cNvPr>
        <xdr:cNvPicPr>
          <a:picLocks noChangeAspect="1"/>
        </xdr:cNvPicPr>
      </xdr:nvPicPr>
      <xdr:blipFill>
        <a:blip xmlns:r="http://schemas.openxmlformats.org/officeDocument/2006/relationships" r:embed="rId5"/>
        <a:stretch>
          <a:fillRect/>
        </a:stretch>
      </xdr:blipFill>
      <xdr:spPr>
        <a:xfrm>
          <a:off x="7086600" y="8239125"/>
          <a:ext cx="8027622" cy="4323394"/>
        </a:xfrm>
        <a:prstGeom prst="rect">
          <a:avLst/>
        </a:prstGeom>
      </xdr:spPr>
    </xdr:pic>
    <xdr:clientData/>
  </xdr:twoCellAnchor>
  <xdr:twoCellAnchor editAs="oneCell">
    <xdr:from>
      <xdr:col>18</xdr:col>
      <xdr:colOff>85725</xdr:colOff>
      <xdr:row>49</xdr:row>
      <xdr:rowOff>42083</xdr:rowOff>
    </xdr:from>
    <xdr:to>
      <xdr:col>27</xdr:col>
      <xdr:colOff>255500</xdr:colOff>
      <xdr:row>68</xdr:row>
      <xdr:rowOff>161054</xdr:rowOff>
    </xdr:to>
    <xdr:pic>
      <xdr:nvPicPr>
        <xdr:cNvPr id="7" name="图片 6">
          <a:extLst>
            <a:ext uri="{FF2B5EF4-FFF2-40B4-BE49-F238E27FC236}">
              <a16:creationId xmlns:a16="http://schemas.microsoft.com/office/drawing/2014/main" id="{654B09A8-434B-8B0D-FCDC-7E9D909E825A}"/>
            </a:ext>
          </a:extLst>
        </xdr:cNvPr>
        <xdr:cNvPicPr>
          <a:picLocks noChangeAspect="1"/>
        </xdr:cNvPicPr>
      </xdr:nvPicPr>
      <xdr:blipFill>
        <a:blip xmlns:r="http://schemas.openxmlformats.org/officeDocument/2006/relationships" r:embed="rId6"/>
        <a:stretch>
          <a:fillRect/>
        </a:stretch>
      </xdr:blipFill>
      <xdr:spPr>
        <a:xfrm>
          <a:off x="12734925" y="8443133"/>
          <a:ext cx="6494375" cy="3376521"/>
        </a:xfrm>
        <a:prstGeom prst="rect">
          <a:avLst/>
        </a:prstGeom>
      </xdr:spPr>
    </xdr:pic>
    <xdr:clientData/>
  </xdr:twoCellAnchor>
  <xdr:twoCellAnchor editAs="oneCell">
    <xdr:from>
      <xdr:col>24</xdr:col>
      <xdr:colOff>590550</xdr:colOff>
      <xdr:row>48</xdr:row>
      <xdr:rowOff>116656</xdr:rowOff>
    </xdr:from>
    <xdr:to>
      <xdr:col>35</xdr:col>
      <xdr:colOff>684134</xdr:colOff>
      <xdr:row>68</xdr:row>
      <xdr:rowOff>165150</xdr:rowOff>
    </xdr:to>
    <xdr:pic>
      <xdr:nvPicPr>
        <xdr:cNvPr id="8" name="图片 7">
          <a:extLst>
            <a:ext uri="{FF2B5EF4-FFF2-40B4-BE49-F238E27FC236}">
              <a16:creationId xmlns:a16="http://schemas.microsoft.com/office/drawing/2014/main" id="{9DE46773-E645-0181-D397-3BCFD57BC6A5}"/>
            </a:ext>
          </a:extLst>
        </xdr:cNvPr>
        <xdr:cNvPicPr>
          <a:picLocks noChangeAspect="1"/>
        </xdr:cNvPicPr>
      </xdr:nvPicPr>
      <xdr:blipFill>
        <a:blip xmlns:r="http://schemas.openxmlformats.org/officeDocument/2006/relationships" r:embed="rId7"/>
        <a:stretch>
          <a:fillRect/>
        </a:stretch>
      </xdr:blipFill>
      <xdr:spPr>
        <a:xfrm>
          <a:off x="17506950" y="8346256"/>
          <a:ext cx="7637384" cy="3477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估价对象为北京市房地产，为所有。根据《国有土地使用证》[]，估价对象（分摊）出让国有建设用地使用权面积为0平方米，建筑面积为9500平方米。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估价对象为北京市房地产,属开发建设的，该项目尚在开发建设中。根据《国有土地使用证》[]，估价对象（分摊）出让国有建设用地使用权面积为0平方米，规划建筑面积为9500平方米。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2025年2月14日</v>
      </c>
    </row>
    <row r="13" spans="1:2">
      <c r="A13" s="1119" t="s">
        <v>529</v>
      </c>
      <c r="B13" s="1120" t="str">
        <f>'预评函-1'!A18</f>
        <v>本次估价的“房地产价值”是指在正常市场情况下，在价值时点2025年2月14日，估价对象规划用途为，土地取得方式为划拨，假定未设立法定优先受偿款下的房地产市场价值。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9500</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45702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1.84</v>
      </c>
      <c r="D5" s="2768">
        <f>IF(ISERROR(ROUND(POWER(1+E5,A5-C5)*(POWER(1+E5,C5)-1)/(POWER(1+E5,A5)-1),3)),0,ROUND(POWER(1+E5,A5-C5)*(POWER(1+E5,C5)-1)/(POWER(1+E5,A5)-1),4))</f>
        <v>8.7900000000000006E-2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11.85</v>
      </c>
      <c r="D6" s="2768">
        <f>IF(ISERROR(ROUND(POWER(1+E6,A6-C6)*(POWER(1+E6,C6)-1)/(POWER(1+E6,A6)-1),3)),0,ROUND(POWER(1+E6,A6-C6)*(POWER(1+E6,C6)-1)/(POWER(1+E6,A6)-1),4))</f>
        <v>0.43259999999999998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31.86</v>
      </c>
      <c r="D7" s="2768">
        <f>IF(ISERROR(ROUND(POWER(1+E7,A7-C7)*(POWER(1+E7,C7)-1)/(POWER(1+E7,A7)-1),3)),0,ROUND(POWER(1+E7,A7-C7)*(POWER(1+E7,C7)-1)/(POWER(1+E7,A7)-1),4))</f>
        <v>0.76229999999999998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I14" sqref="I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45702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6" t="s">
        <v>2177</v>
      </c>
      <c r="E8" s="2202"/>
      <c r="F8" s="2203"/>
      <c r="G8" s="2442"/>
      <c r="H8" s="2442"/>
      <c r="I8" s="2442"/>
      <c r="J8" s="2245"/>
      <c r="K8" s="2400"/>
      <c r="L8" s="2399"/>
      <c r="M8" s="2399"/>
      <c r="N8" s="2245"/>
      <c r="O8" s="1670"/>
      <c r="P8" s="2245"/>
      <c r="Q8" s="2245"/>
      <c r="R8" s="2245"/>
    </row>
    <row r="9" spans="1:30" ht="13.5" thickBot="1">
      <c r="A9" s="2204" t="s">
        <v>2178</v>
      </c>
      <c r="B9" s="2205"/>
      <c r="C9" s="2206"/>
      <c r="D9" s="3207"/>
      <c r="E9" s="2205"/>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3406</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2192</v>
      </c>
      <c r="C15" s="2221">
        <f>IF(A13="出让",IF(C13="","",ROUNDDOWN(MIN((C13-$D$3)/365,C14),2)),C14)</f>
        <v>70</v>
      </c>
      <c r="D15" s="2221">
        <f>IF(A13="出让",IF(D13="","",ROUNDDOWN(MIN((D13-$D$3)/365,D14),2)),D14)</f>
        <v>40</v>
      </c>
      <c r="E15" s="2221">
        <f>IF(A13="出让",IF(E13="","",ROUNDDOWN(MIN((E13-$D$3)/365,E14),2)),E14)</f>
        <v>50</v>
      </c>
      <c r="F15" s="2221">
        <f>IF(A13="出让",IF(F13="","",ROUNDDOWN(MIN((F13-$D$3)/365,F14),2)),F14)</f>
        <v>50</v>
      </c>
      <c r="G15" s="2221">
        <f>IF(A13="出让",IF(G13="","",ROUNDDOWN(MIN((G13-$D$3)/365,G14),2)),G14)</f>
        <v>50</v>
      </c>
      <c r="H15" s="2221">
        <f>IF(A13="出让",IF(H13="","",ROUNDDOWN(MIN((H13-$D$3)/365,H14),2)),H14)</f>
        <v>50</v>
      </c>
      <c r="I15" s="2221">
        <f>IF(A13="出让",IF(I13="","",ROUNDDOWN(MIN((I13-$D$3)/365,I14),2)),I14)</f>
        <v>50</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9500</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t="s">
        <v>110</v>
      </c>
      <c r="D37" s="2237" t="s">
        <v>110</v>
      </c>
      <c r="E37" s="2237" t="s">
        <v>110</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237</v>
      </c>
      <c r="C38" s="2238" t="s">
        <v>232</v>
      </c>
      <c r="D38" s="2238" t="s">
        <v>246</v>
      </c>
      <c r="E38" s="2238" t="s">
        <v>196</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9500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9500</v>
      </c>
      <c r="H5" s="13">
        <f t="shared" ref="H5:AT5" si="0">SUM(H13:H656)</f>
        <v>9500</v>
      </c>
      <c r="I5" s="13">
        <f t="shared" si="0"/>
        <v>1300</v>
      </c>
      <c r="J5" s="13">
        <f t="shared" si="0"/>
        <v>0</v>
      </c>
      <c r="K5" s="13">
        <f t="shared" si="0"/>
        <v>8200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9500</v>
      </c>
      <c r="BA5" s="15">
        <f t="shared" si="1"/>
        <v>9500</v>
      </c>
      <c r="BB5" s="15">
        <f t="shared" si="1"/>
        <v>1300</v>
      </c>
      <c r="BC5" s="15">
        <f t="shared" si="1"/>
        <v>8200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t="s">
        <v>3422</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3423</v>
      </c>
      <c r="J11" s="1503"/>
      <c r="K11" s="1502" t="s">
        <v>3424</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底商</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3421</v>
      </c>
      <c r="E13" s="13">
        <f>IF($C$3="是",ROUND($A$3*G13/$B$3,2),ROUND($A$3*(G13-AT13)/$B$3,2))</f>
        <v>0</v>
      </c>
      <c r="F13" s="29"/>
      <c r="G13" s="30">
        <f>H13+AC13+AT13</f>
        <v>9500</v>
      </c>
      <c r="H13" s="17">
        <f>SUMIF(I$12:AB$12,"总值",I13:AB13)</f>
        <v>9500</v>
      </c>
      <c r="I13" s="1514">
        <v>1300</v>
      </c>
      <c r="J13" s="1514"/>
      <c r="K13" s="1514">
        <v>8200</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9500</v>
      </c>
      <c r="BA13" s="13">
        <f>SUM(BB13:BK13)</f>
        <v>9500</v>
      </c>
      <c r="BB13" s="13">
        <f>IF($D13="是",I13-J13,0)</f>
        <v>1300</v>
      </c>
      <c r="BC13" s="13">
        <f>IF($D13="是",K13-L13,0)</f>
        <v>8200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9500</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9500</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1.6</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9500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9500</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3407</v>
      </c>
      <c r="D19" s="43">
        <f>ROUND($D$3*E19/$E$3,2)</f>
        <v>0</v>
      </c>
      <c r="E19" s="51">
        <f t="shared" ref="E19:E26" si="1">SUM(F19:G19)</f>
        <v>1300</v>
      </c>
      <c r="F19" s="2558">
        <v>1300</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1300</v>
      </c>
    </row>
    <row r="20" spans="1:19">
      <c r="A20" s="1549"/>
      <c r="B20" s="45" t="s">
        <v>1153</v>
      </c>
      <c r="C20" s="3116" t="s">
        <v>3409</v>
      </c>
      <c r="D20" s="43">
        <f t="shared" ref="D20:D26" si="6">ROUND($D$3*E20/$E$3,2)</f>
        <v>0</v>
      </c>
      <c r="E20" s="51">
        <f t="shared" si="1"/>
        <v>8200</v>
      </c>
      <c r="F20" s="2558">
        <v>8200</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8200</v>
      </c>
    </row>
    <row r="21" spans="1:19">
      <c r="A21" s="1549"/>
      <c r="B21" s="45" t="s">
        <v>1153</v>
      </c>
      <c r="C21" s="3116" t="s">
        <v>3410</v>
      </c>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t="s">
        <v>3460</v>
      </c>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9500</v>
      </c>
      <c r="F27" s="1072">
        <f>IF(SUM(F19:F26)=E8,SUM(F19:F26),"地上面积有误")</f>
        <v>9500</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9500</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9500</v>
      </c>
      <c r="F31" s="644">
        <f>F27+F30</f>
        <v>9500</v>
      </c>
      <c r="G31" s="645">
        <f>G27+G30</f>
        <v>0</v>
      </c>
      <c r="H31" s="2439"/>
      <c r="I31" s="2439"/>
      <c r="J31" s="2439"/>
      <c r="K31" s="2439"/>
      <c r="L31" s="2439"/>
      <c r="M31" s="2439"/>
      <c r="N31" s="2439"/>
      <c r="O31" s="2439"/>
      <c r="P31" s="2439"/>
    </row>
    <row r="32" spans="1:19">
      <c r="A32" s="1526"/>
      <c r="B32" s="1526" t="s">
        <v>1159</v>
      </c>
      <c r="C32" s="1526"/>
      <c r="D32" s="1526"/>
      <c r="E32" s="990">
        <f>SUMIF(C19:C26,"*住宅*",E19:E26)</f>
        <v>8200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0</v>
      </c>
      <c r="F6" s="61">
        <f>SUMIF(项目基本情况!C$12:I$12,C6,项目基本情况!C$15:I$15)</f>
        <v>40</v>
      </c>
      <c r="G6" s="62">
        <f>IF(ISERROR(ROUND(POWER(1+H6,D6-F6)*(POWER(1+H6,F6)-1)/(POWER(1+H6,D6)-1),3)),0,ROUND(POWER(1+H6,D6-F6)*(POWER(1+H6,F6)-1)/(POWER(1+H6,D6)-1),3))</f>
        <v>0</v>
      </c>
      <c r="H6" s="691"/>
      <c r="I6" s="691"/>
      <c r="J6" s="63"/>
      <c r="K6" s="970">
        <f>SUMIF('数据-汇总表'!C$19:C$33,A6,'数据-汇总表'!E$19:E$33)</f>
        <v>1300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住宅</v>
      </c>
      <c r="B7" s="1587" t="str">
        <f t="shared" ref="B7:B13" si="1">IF(A7=0,"","经营性")</f>
        <v>经营性</v>
      </c>
      <c r="C7" s="1588" t="s">
        <v>3408</v>
      </c>
      <c r="D7" s="805">
        <f>SUMIF(项目基本情况!C$12:I$12,C7,项目基本情况!C$14:I$14)</f>
        <v>70</v>
      </c>
      <c r="E7" s="804">
        <f>IF(B7="","",SUMIF(项目基本情况!C$12:I$12,C7,项目基本情况!C$13:I$13))</f>
        <v>0</v>
      </c>
      <c r="F7" s="61">
        <f>SUMIF(项目基本情况!C$12:I$12,C7,项目基本情况!C$15:I$15)</f>
        <v>70</v>
      </c>
      <c r="G7" s="62">
        <f t="shared" ref="G7:G11" si="2">IF(ISERROR(ROUND(POWER(1+H7,D7-F7)*(POWER(1+H7,F7)-1)/(POWER(1+H7,D7)-1),3)),0,ROUND(POWER(1+H7,D7-F7)*(POWER(1+H7,F7)-1)/(POWER(1+H7,D7)-1),3))</f>
        <v>0</v>
      </c>
      <c r="H7" s="691"/>
      <c r="I7" s="691"/>
      <c r="J7" s="63"/>
      <c r="K7" s="970">
        <f>SUMIF('数据-汇总表'!C$19:C$33,A7,'数据-汇总表'!E$19:E$33)</f>
        <v>8200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办公</v>
      </c>
      <c r="B8" s="1587" t="str">
        <f t="shared" si="1"/>
        <v>经营性</v>
      </c>
      <c r="C8" s="1588" t="s">
        <v>21</v>
      </c>
      <c r="D8" s="805">
        <f>SUMIF(项目基本情况!C$12:I$12,C8,项目基本情况!C$14:I$14)</f>
        <v>50</v>
      </c>
      <c r="E8" s="804">
        <f>IF(B8="","",SUMIF(项目基本情况!C$12:I$12,C8,项目基本情况!C$13:I$13))</f>
        <v>0</v>
      </c>
      <c r="F8" s="61">
        <f>SUMIF(项目基本情况!C$12:I$12,C8,项目基本情况!C$15:I$15)</f>
        <v>50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场站</v>
      </c>
      <c r="B9" s="1587" t="str">
        <f t="shared" si="1"/>
        <v>经营性</v>
      </c>
      <c r="C9" s="1588" t="s">
        <v>3</v>
      </c>
      <c r="D9" s="805">
        <f>SUMIF(项目基本情况!C$12:I$12,C9,项目基本情况!C$14:I$14)</f>
        <v>50</v>
      </c>
      <c r="E9" s="804">
        <f>IF(B9="","",SUMIF(项目基本情况!C$12:I$12,C9,项目基本情况!C$13:I$13))</f>
        <v>0</v>
      </c>
      <c r="F9" s="61">
        <f>SUMIF(项目基本情况!C$12:I$12,C9,项目基本情况!C$15:I$15)</f>
        <v>50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9500</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4"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26986</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f>E14</f>
        <v>26986</v>
      </c>
      <c r="E14" s="2306">
        <f>'基准地价修正-住宅'!C33</f>
        <v>26986</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c r="D4" s="1626"/>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c r="D14" s="3279"/>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66" t="s">
        <v>2131</v>
      </c>
      <c r="F18" s="3267"/>
      <c r="G18" s="3267"/>
      <c r="H18" s="3267"/>
      <c r="I18" s="3267"/>
      <c r="K18" s="294" t="s">
        <v>1289</v>
      </c>
      <c r="L18" s="294">
        <f>IF(C1="",'数据-汇总表'!E3,SUMIF(项目类型,C1,'数据-汇总表'!E17:E26)+SUMIF(项目类型,C1,'数据-汇总表'!I17:I26))</f>
        <v>9500</v>
      </c>
      <c r="M18" s="294">
        <f>IF(C1="",'数据-汇总表'!E3,SUMIF(项目类型,C1,'数据-汇总表'!E17:E26))</f>
        <v>9500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t="e">
        <f ca="1">ROUND(H101*F45,0)</f>
        <v>#REF!</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45702</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06" t="s">
        <v>1340</v>
      </c>
      <c r="L48" s="3306"/>
      <c r="M48" s="3328" t="e">
        <f ca="1">H101</f>
        <v>#REF!</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抵押担保权已注销时的房地产抵押价值</v>
      </c>
      <c r="L49" s="3306"/>
      <c r="M49" s="3328" t="str">
        <f>IF(项目基本情况!E8="房地产抵押价值",H107,H109)</f>
        <v>——</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t="e">
        <f ca="1">ROUND(D45*'数据-取费表'!B41/(1+'数据-取费表'!C42),0)</f>
        <v>#REF!</v>
      </c>
      <c r="E52" s="1256" t="s">
        <v>1354</v>
      </c>
      <c r="F52" s="2340">
        <f>'数据-取费表'!B41</f>
        <v>0</v>
      </c>
      <c r="G52" s="2341"/>
      <c r="H52" s="2331"/>
      <c r="I52" s="1669"/>
      <c r="J52" s="2310">
        <v>1</v>
      </c>
      <c r="K52" s="3307" t="s">
        <v>1355</v>
      </c>
      <c r="L52" s="3307"/>
      <c r="M52" s="2312" t="b">
        <f>D48</f>
        <v>0</v>
      </c>
      <c r="N52" s="2310" t="str">
        <f>E48</f>
        <v>销售额×税（费）率</v>
      </c>
      <c r="O52" s="2313">
        <f>F48</f>
        <v>0</v>
      </c>
    </row>
    <row r="53" spans="1:35" ht="12" customHeight="1">
      <c r="A53" s="2153" t="s">
        <v>1356</v>
      </c>
      <c r="B53" s="3268" t="s">
        <v>2291</v>
      </c>
      <c r="C53" s="3269"/>
      <c r="D53" s="1024" t="e">
        <f ca="1">ROUND(D45*'数据-取费表'!B41/(1+'数据-取费表'!C42),0)</f>
        <v>#REF!</v>
      </c>
      <c r="E53" s="1256" t="s">
        <v>1354</v>
      </c>
      <c r="F53" s="2340">
        <f>'数据-取费表'!B41</f>
        <v>0</v>
      </c>
      <c r="G53" s="2341"/>
      <c r="H53" s="2331"/>
      <c r="I53" s="1669"/>
      <c r="J53" s="2310">
        <v>2</v>
      </c>
      <c r="K53" s="3307" t="s">
        <v>1357</v>
      </c>
      <c r="L53" s="3307"/>
      <c r="M53" s="2312" t="e">
        <f t="shared" ref="M53:O54" ca="1" si="0">D55</f>
        <v>#REF!</v>
      </c>
      <c r="N53" s="2310" t="str">
        <f t="shared" si="0"/>
        <v>销售额×税（费）率</v>
      </c>
      <c r="O53" s="2313" t="str">
        <f t="shared" si="0"/>
        <v>免征</v>
      </c>
    </row>
    <row r="54" spans="1:35" ht="12" customHeight="1">
      <c r="A54" s="2153" t="s">
        <v>1358</v>
      </c>
      <c r="B54" s="3268" t="s">
        <v>2292</v>
      </c>
      <c r="C54" s="3269"/>
      <c r="D54" s="1024" t="e">
        <f ca="1">C68</f>
        <v>#REF!</v>
      </c>
      <c r="E54" s="319" t="s">
        <v>1359</v>
      </c>
      <c r="F54" s="2340">
        <f>'数据-取费表'!B41</f>
        <v>0</v>
      </c>
      <c r="G54" s="2341"/>
      <c r="H54" s="2342"/>
      <c r="I54" s="1669"/>
      <c r="J54" s="2310">
        <v>3</v>
      </c>
      <c r="K54" s="3307" t="s">
        <v>1360</v>
      </c>
      <c r="L54" s="3307"/>
      <c r="M54" s="2312" t="e">
        <f t="shared" ca="1" si="0"/>
        <v>#REF!</v>
      </c>
      <c r="N54" s="2310" t="str">
        <f t="shared" si="0"/>
        <v>增值额×税（费）率</v>
      </c>
      <c r="O54" s="2314" t="str">
        <f t="shared" si="0"/>
        <v>免征</v>
      </c>
    </row>
    <row r="55" spans="1:35" ht="24" customHeight="1">
      <c r="A55" s="3257" t="s">
        <v>1361</v>
      </c>
      <c r="B55" s="3258"/>
      <c r="C55" s="3258"/>
      <c r="D55" s="12" t="e">
        <f ca="1">IF(H55="个人住宅",0,ROUND(D45*I55,0))</f>
        <v>#REF!</v>
      </c>
      <c r="E55" s="1256" t="s">
        <v>1362</v>
      </c>
      <c r="F55" s="2340" t="str">
        <f>IF(H55="正常",I55,"免征")</f>
        <v>免征</v>
      </c>
      <c r="G55" s="2341"/>
      <c r="H55" s="2337"/>
      <c r="I55" s="157">
        <f>'数据-取费表'!B49</f>
        <v>0</v>
      </c>
      <c r="J55" s="2310">
        <f>IF(H59="非个人房产","",4)</f>
        <v>4</v>
      </c>
      <c r="K55" s="3307" t="str">
        <f>IF(H59="非个人房产","——","个人所得税")</f>
        <v>个人所得税</v>
      </c>
      <c r="L55" s="3307"/>
      <c r="M55" s="2315" t="e">
        <f ca="1">D59</f>
        <v>#REF!</v>
      </c>
      <c r="N55" s="1883" t="str">
        <f>E59</f>
        <v>差额计税</v>
      </c>
      <c r="O55" s="2316">
        <f>F59</f>
        <v>0.01</v>
      </c>
    </row>
    <row r="56" spans="1:35" ht="24.75">
      <c r="A56" s="3257" t="s">
        <v>1363</v>
      </c>
      <c r="B56" s="3258"/>
      <c r="C56" s="3258"/>
      <c r="D56" s="12" t="e">
        <f ca="1">IF(H56="个人住宅",D57,D58)</f>
        <v>#REF!</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0</v>
      </c>
      <c r="O57" s="2320"/>
      <c r="P57" s="2465" t="e">
        <f ca="1">N57/M49</f>
        <v>#VALUE!</v>
      </c>
    </row>
    <row r="58" spans="1:35" ht="24.75">
      <c r="A58" s="2153" t="s">
        <v>1352</v>
      </c>
      <c r="B58" s="3268" t="s">
        <v>1369</v>
      </c>
      <c r="C58" s="3242"/>
      <c r="D58" s="12" t="e">
        <f ca="1">IF(H58="转让取得",C81,C97)</f>
        <v>#REF!</v>
      </c>
      <c r="E58" s="1256" t="s">
        <v>1364</v>
      </c>
      <c r="F58" s="294" t="s">
        <v>28</v>
      </c>
      <c r="G58" s="2341"/>
      <c r="H58" s="2344"/>
      <c r="I58" s="1670"/>
      <c r="J58" s="3307"/>
      <c r="K58" s="3307"/>
      <c r="L58" s="2317" t="s">
        <v>1370</v>
      </c>
      <c r="M58" s="2321"/>
      <c r="N58" s="2322" t="str">
        <f ca="1">NUMBERSTRING(INT(N57*10000),2)&amp;"元整"</f>
        <v>零元整</v>
      </c>
      <c r="O58" s="2323"/>
    </row>
    <row r="59" spans="1:35" ht="24.75" thickBot="1">
      <c r="A59" s="3310" t="s">
        <v>1371</v>
      </c>
      <c r="B59" s="3311"/>
      <c r="C59" s="331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t="e">
        <f ca="1">M49-N57</f>
        <v>#VALUE!</v>
      </c>
      <c r="O59" s="2326"/>
    </row>
    <row r="60" spans="1:35" ht="12" customHeight="1">
      <c r="A60" s="1671"/>
      <c r="B60" s="646"/>
      <c r="C60" s="646"/>
      <c r="D60" s="646"/>
      <c r="E60" s="1466"/>
      <c r="F60" s="1670"/>
      <c r="G60" s="1670"/>
      <c r="H60" s="151"/>
      <c r="I60" s="121"/>
      <c r="J60" s="3309"/>
      <c r="K60" s="3307"/>
      <c r="L60" s="2317" t="s">
        <v>1370</v>
      </c>
      <c r="M60" s="2321"/>
      <c r="N60" s="2322" t="e">
        <f ca="1">NUMBERSTRING(INT(N59*10000),2)&amp;"元整"</f>
        <v>#VALUE!</v>
      </c>
      <c r="O60" s="2323"/>
    </row>
    <row r="61" spans="1:35" ht="13.5" thickBot="1">
      <c r="A61" s="3255" t="s">
        <v>1373</v>
      </c>
      <c r="B61" s="3255"/>
      <c r="C61" s="3255"/>
      <c r="D61" s="3255"/>
      <c r="E61" s="3255"/>
      <c r="F61" s="1670"/>
      <c r="G61" s="1670"/>
      <c r="H61" s="151"/>
      <c r="I61" s="121"/>
      <c r="J61" s="2310">
        <f>J59+1</f>
        <v>7</v>
      </c>
      <c r="K61" s="3307" t="s">
        <v>1374</v>
      </c>
      <c r="L61" s="3307"/>
      <c r="M61" s="2327"/>
      <c r="N61" s="2328" t="e">
        <f ca="1">ROUND(N59*10000/'数据-汇总表'!E3,0)</f>
        <v>#VALUE!</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2"/>
      <c r="K69" s="1245" t="s">
        <v>1393</v>
      </c>
      <c r="L69" s="1245"/>
      <c r="M69" s="294" t="e">
        <f>ROUND(SUM(M63:M68),0)</f>
        <v>#VALUE!</v>
      </c>
      <c r="N69" s="2332" t="e">
        <f>M69/M49</f>
        <v>#VALUE!</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f>C4</f>
        <v>0</v>
      </c>
      <c r="D101" s="2372">
        <f>D4</f>
        <v>0</v>
      </c>
      <c r="E101" s="3329" t="s">
        <v>1431</v>
      </c>
      <c r="F101" s="3286"/>
      <c r="G101" s="1687" t="s">
        <v>1432</v>
      </c>
      <c r="H101" s="2381" t="e">
        <f ca="1">H118</f>
        <v>#REF!</v>
      </c>
      <c r="I101" s="121"/>
    </row>
    <row r="102" spans="1:35" ht="18.75" customHeight="1">
      <c r="A102" s="3288" t="s">
        <v>1433</v>
      </c>
      <c r="B102" s="2370" t="s">
        <v>1432</v>
      </c>
      <c r="C102" s="2371" t="e">
        <f ca="1">IF(D32="楼面单价",ROUND(C19,0),C19)</f>
        <v>#REF!</v>
      </c>
      <c r="D102" s="2372" t="e">
        <f ca="1">IF(D32="楼面单价",ROUND(D19,0),D19)</f>
        <v>#REF!</v>
      </c>
      <c r="E102" s="3329"/>
      <c r="F102" s="3286"/>
      <c r="G102" s="1687" t="s">
        <v>1434</v>
      </c>
      <c r="H102" s="2341" t="e">
        <f ca="1">I118</f>
        <v>#REF!</v>
      </c>
      <c r="I102" s="121"/>
    </row>
    <row r="103" spans="1:35" ht="42.75" customHeight="1">
      <c r="A103" s="3288"/>
      <c r="B103" s="2370" t="s">
        <v>1434</v>
      </c>
      <c r="C103" s="2373" t="e">
        <f ca="1">C20</f>
        <v>#REF!</v>
      </c>
      <c r="D103" s="2374" t="e">
        <f ca="1">D20</f>
        <v>#REF!</v>
      </c>
      <c r="E103" s="3323" t="s">
        <v>1435</v>
      </c>
      <c r="F103" s="3324"/>
      <c r="G103" s="1688" t="s">
        <v>1436</v>
      </c>
      <c r="H103" s="2381">
        <f>IF(D36="正常操作",H104+H105+H106,H105+H106)</f>
        <v>0</v>
      </c>
      <c r="I103" s="121"/>
    </row>
    <row r="104" spans="1:35" ht="18.75" customHeight="1">
      <c r="A104" s="328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t="e">
        <f ca="1">IF(E107="——","——",H101-H103)</f>
        <v>#REF!</v>
      </c>
      <c r="I107" s="121"/>
    </row>
    <row r="108" spans="1:35" ht="18.75" customHeight="1">
      <c r="A108" s="121"/>
      <c r="B108" s="121"/>
      <c r="C108" s="121"/>
      <c r="D108" s="121"/>
      <c r="E108" s="3285"/>
      <c r="F108" s="3286"/>
      <c r="G108" s="1687" t="s">
        <v>1434</v>
      </c>
      <c r="H108" s="2341">
        <f ca="1">IF(H107=H101,H102,ROUND(H107*10000/'数据-汇总表'!E3,0))</f>
        <v>0</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9500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6" t="s">
        <v>1452</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t="e">
        <f ca="1">H107</f>
        <v>#REF!</v>
      </c>
      <c r="E122" s="3321"/>
      <c r="F122" s="3321"/>
      <c r="G122" s="3321"/>
      <c r="H122" s="3321"/>
      <c r="I122" s="3322"/>
      <c r="AA122" s="684"/>
    </row>
    <row r="123" spans="1:27" ht="18.75" customHeight="1">
      <c r="A123" s="3256" t="s">
        <v>1452</v>
      </c>
      <c r="B123" s="3256"/>
      <c r="C123" s="3256"/>
      <c r="D123" s="3296" t="e">
        <f ca="1">NUMBERSTRING(INT(D122*10000),2)&amp;"元整"</f>
        <v>#REF!</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10</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9500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9500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9500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6" t="s">
        <v>1544</v>
      </c>
    </row>
    <row r="43" spans="1:7" ht="13.5" customHeight="1">
      <c r="A43" s="734" t="s">
        <v>347</v>
      </c>
      <c r="B43" s="207" t="s">
        <v>1545</v>
      </c>
      <c r="C43" s="230" t="e">
        <f ca="1">ROUND(IF('数据-取费表'!B22&lt;=1,C39*F22*'数据-取费表'!B21/2,C39*(POWER((1+F22),'数据-取费表'!B21/2)-1)),0)</f>
        <v>#VALUE!</v>
      </c>
      <c r="D43" s="230"/>
      <c r="E43" s="230"/>
      <c r="F43" s="231"/>
      <c r="G43" s="3337"/>
    </row>
    <row r="44" spans="1:7" ht="13.5" customHeight="1">
      <c r="A44" s="734" t="s">
        <v>348</v>
      </c>
      <c r="B44" s="207" t="s">
        <v>1546</v>
      </c>
      <c r="C44" s="230" t="e">
        <f ca="1">ROUND(IF('数据-取费表'!B22&lt;=1,C40*F22*'数据-取费表'!B21/2,C40*(POWER((1+F22),'数据-取费表'!B21/2)-1)),4)</f>
        <v>#VALUE!</v>
      </c>
      <c r="D44" s="230"/>
      <c r="E44" s="230"/>
      <c r="F44" s="231"/>
      <c r="G44" s="333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9500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9500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9500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6" t="s">
        <v>1591</v>
      </c>
    </row>
    <row r="43" spans="1:7" ht="13.5" customHeight="1">
      <c r="A43" s="734" t="s">
        <v>347</v>
      </c>
      <c r="B43" s="207" t="s">
        <v>1545</v>
      </c>
      <c r="C43" s="230" t="e">
        <f ca="1">ROUND(IF('数据-取费表'!B22&lt;=1,C39*F22*'数据-取费表'!B20/2,C39*(POWER((1+F22),'数据-取费表'!B20/2)-1)),0)</f>
        <v>#VALUE!</v>
      </c>
      <c r="D43" s="230"/>
      <c r="E43" s="230"/>
      <c r="F43" s="231"/>
      <c r="G43" s="3337"/>
    </row>
    <row r="44" spans="1:7" ht="13.5" customHeight="1">
      <c r="A44" s="734" t="s">
        <v>348</v>
      </c>
      <c r="B44" s="207" t="s">
        <v>1546</v>
      </c>
      <c r="C44" s="230" t="e">
        <f ca="1">ROUND(IF('数据-取费表'!B22&lt;=1,C40*F22*'数据-取费表'!B20/2,C40*(POWER((1+F22),'数据-取费表'!B20/2)-1)),4)</f>
        <v>#VALUE!</v>
      </c>
      <c r="D44" s="230"/>
      <c r="E44" s="230"/>
      <c r="F44" s="231"/>
      <c r="G44" s="333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10</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9500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9500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9500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9" priority="3">
      <formula>$F$10="自定义"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J11">
    <cfRule type="expression" dxfId="146" priority="2">
      <formula>$M$10="自定义"</formula>
    </cfRule>
  </conditionalFormatting>
  <conditionalFormatting sqref="K55 K60">
    <cfRule type="expression" dxfId="14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10</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J11">
    <cfRule type="expression" dxfId="141" priority="2">
      <formula>$M$10="自定义"</formula>
    </cfRule>
  </conditionalFormatting>
  <conditionalFormatting sqref="K55 K60">
    <cfRule type="expression" dxfId="14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C48" sqref="C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3408</v>
      </c>
      <c r="E1" s="3125"/>
      <c r="F1" s="1735" t="s">
        <v>3441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85.3</v>
      </c>
      <c r="C3" s="344" t="s">
        <v>1665</v>
      </c>
      <c r="D3" s="343">
        <f>IF(D1="",'数据-汇总表'!E3,SUMIF('数据-汇总表'!$C19:$C33,D1,'数据-汇总表'!$E19:$E33))</f>
        <v>8200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tr">
        <f>案例!P2</f>
        <v>政馨园三区</v>
      </c>
      <c r="F5" s="3409"/>
      <c r="G5" s="3401" t="str">
        <f>案例!P17</f>
        <v>顶秀金颐家园</v>
      </c>
      <c r="H5" s="3402"/>
      <c r="I5" s="3401" t="str">
        <f>案例!P30</f>
        <v>鑫兆雅园南区</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v>45689</v>
      </c>
      <c r="F7" s="357">
        <f>SUMIF(58:58,YEAR(E7)&amp;"-"&amp;MONTH(E7),59:59)</f>
        <v>100</v>
      </c>
      <c r="G7" s="356">
        <v>45689</v>
      </c>
      <c r="H7" s="355">
        <f>SUMIF(58:58,YEAR(G7)&amp;"-"&amp;MONTH(G7),59:59)</f>
        <v>100</v>
      </c>
      <c r="I7" s="356">
        <v>45689</v>
      </c>
      <c r="J7" s="355">
        <f>SUMIF(58:58,YEAR(I7)&amp;"-"&amp;MONTH(I7),59:59)</f>
        <v>100</v>
      </c>
      <c r="K7" s="1746"/>
      <c r="L7" s="2489"/>
      <c r="M7" s="2440"/>
      <c r="N7" s="2440"/>
      <c r="O7" s="2440"/>
      <c r="P7" s="3403" t="s">
        <v>1680</v>
      </c>
      <c r="Q7" s="3405"/>
      <c r="R7" s="664" t="s">
        <v>20</v>
      </c>
      <c r="S7" s="665">
        <f t="shared" ref="S7:S15" si="0">F7</f>
        <v>100</v>
      </c>
      <c r="T7" s="664" t="s">
        <v>20</v>
      </c>
      <c r="U7" s="665">
        <f t="shared" ref="U7:U15" si="1">H7</f>
        <v>100</v>
      </c>
      <c r="V7" s="664" t="s">
        <v>20</v>
      </c>
      <c r="W7" s="665">
        <f t="shared" ref="W7:W15" si="2">J7</f>
        <v>100</v>
      </c>
      <c r="X7" s="666"/>
      <c r="Y7" s="3403" t="s">
        <v>1680</v>
      </c>
      <c r="Z7" s="3404"/>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379"/>
      <c r="Q11" s="530" t="str">
        <f t="shared" si="6"/>
        <v>容积率</v>
      </c>
      <c r="R11" s="664" t="s">
        <v>18</v>
      </c>
      <c r="S11" s="665">
        <f t="shared" si="0"/>
        <v>100</v>
      </c>
      <c r="T11" s="664" t="s">
        <v>18</v>
      </c>
      <c r="U11" s="665">
        <f t="shared" si="1"/>
        <v>100</v>
      </c>
      <c r="V11" s="664" t="s">
        <v>18</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v>80</v>
      </c>
      <c r="D33" s="119">
        <v>100</v>
      </c>
      <c r="E33" s="369">
        <f>案例!Q2</f>
        <v>66</v>
      </c>
      <c r="F33" s="364">
        <f>LOOKUP(E33,103:103,104:104)-LOOKUP(C33,103:103,104:104)+100</f>
        <v>100</v>
      </c>
      <c r="G33" s="368">
        <f>案例!Q18</f>
        <v>76.239999999999995</v>
      </c>
      <c r="H33" s="119">
        <f>LOOKUP(G33,103:103,104:104)-LOOKUP(C33,103:103,104:104)+100</f>
        <v>100</v>
      </c>
      <c r="I33" s="369">
        <f>案例!Q33</f>
        <v>93.43</v>
      </c>
      <c r="J33" s="119">
        <f>LOOKUP(I33,103:103,104:104)-LOOKUP(C33,103:103,104:104)+100</f>
        <v>100</v>
      </c>
      <c r="K33" s="1748"/>
      <c r="L33" s="2492"/>
      <c r="M33" s="2494"/>
      <c r="N33" s="2494"/>
      <c r="O33" s="2494"/>
      <c r="P33" s="3373"/>
      <c r="Q33" s="531" t="str">
        <f t="shared" si="11"/>
        <v>项目建筑规模</v>
      </c>
      <c r="R33" s="669" t="s">
        <v>18</v>
      </c>
      <c r="S33" s="670">
        <f t="shared" si="12"/>
        <v>100</v>
      </c>
      <c r="T33" s="669" t="s">
        <v>18</v>
      </c>
      <c r="U33" s="670">
        <f t="shared" si="13"/>
        <v>100</v>
      </c>
      <c r="V33" s="669" t="s">
        <v>18</v>
      </c>
      <c r="W33" s="670">
        <f t="shared" si="14"/>
        <v>100</v>
      </c>
      <c r="X33" s="671"/>
      <c r="Y33" s="3375"/>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0.9</v>
      </c>
      <c r="F37" s="364">
        <f>LOOKUP(E37,112:112,113:113)-LOOKUP(C37,112:112,113:113)+100</f>
        <v>100</v>
      </c>
      <c r="G37" s="413">
        <v>0.9</v>
      </c>
      <c r="H37" s="119">
        <f>LOOKUP(G37,112:112,113:113)-LOOKUP(C37,112:112,113:113)+100</f>
        <v>100</v>
      </c>
      <c r="I37" s="412">
        <v>0.9</v>
      </c>
      <c r="J37" s="119">
        <f>LOOKUP(I37,112:112,113:113)-LOOKUP(C37,112:112,113:113)+100</f>
        <v>100</v>
      </c>
      <c r="K37" s="365"/>
      <c r="L37" s="2489"/>
      <c r="M37" s="2440"/>
      <c r="N37" s="2440"/>
      <c r="O37" s="2440"/>
      <c r="P37" s="3373"/>
      <c r="Q37" s="530" t="str">
        <f t="shared" si="11"/>
        <v>成新度</v>
      </c>
      <c r="R37" s="664" t="s">
        <v>18</v>
      </c>
      <c r="S37" s="665">
        <f t="shared" si="12"/>
        <v>100</v>
      </c>
      <c r="T37" s="664" t="s">
        <v>18</v>
      </c>
      <c r="U37" s="665">
        <f t="shared" si="13"/>
        <v>100</v>
      </c>
      <c r="V37" s="664" t="s">
        <v>18</v>
      </c>
      <c r="W37" s="665">
        <f t="shared" si="14"/>
        <v>100</v>
      </c>
      <c r="X37" s="666"/>
      <c r="Y37" s="337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f>案例!S2</f>
        <v>80.3</v>
      </c>
      <c r="F47" s="420"/>
      <c r="G47" s="421">
        <f>案例!S18</f>
        <v>87.88</v>
      </c>
      <c r="H47" s="422"/>
      <c r="I47" s="419">
        <f>案例!S33</f>
        <v>87.77</v>
      </c>
      <c r="J47" s="422"/>
      <c r="K47" s="1767"/>
      <c r="L47" s="2495"/>
      <c r="M47" s="2488"/>
      <c r="N47" s="2488"/>
      <c r="O47" s="2488"/>
      <c r="P47" s="3368" t="str">
        <f>A47</f>
        <v>成交单价（元/平方米）</v>
      </c>
      <c r="Q47" s="3368"/>
      <c r="R47" s="3369">
        <f>E47</f>
        <v>80.3</v>
      </c>
      <c r="S47" s="3369"/>
      <c r="T47" s="3369">
        <f>G47</f>
        <v>87.88</v>
      </c>
      <c r="U47" s="3369"/>
      <c r="V47" s="3369">
        <f>I47</f>
        <v>87.77</v>
      </c>
      <c r="W47" s="3369"/>
      <c r="X47" s="385"/>
      <c r="Y47" s="673"/>
      <c r="Z47" s="385"/>
      <c r="AA47" s="385"/>
      <c r="AB47" s="385"/>
      <c r="AC47" s="385"/>
    </row>
    <row r="48" spans="1:29" ht="15.75" thickBot="1">
      <c r="A48" s="423" t="s">
        <v>1709</v>
      </c>
      <c r="B48" s="424"/>
      <c r="C48" s="1082">
        <f>R49</f>
        <v>85.3</v>
      </c>
      <c r="D48" s="2141" t="s">
        <v>2138</v>
      </c>
      <c r="E48" s="1083">
        <f>R48</f>
        <v>80.3</v>
      </c>
      <c r="F48" s="2142"/>
      <c r="G48" s="1082">
        <f>T48</f>
        <v>87.9</v>
      </c>
      <c r="H48" s="2142"/>
      <c r="I48" s="1083">
        <f>V48</f>
        <v>87.8</v>
      </c>
      <c r="J48" s="2142"/>
      <c r="K48" s="2143">
        <f>F48+H48+J48</f>
        <v>0</v>
      </c>
      <c r="L48" s="2495"/>
      <c r="M48" s="2488"/>
      <c r="N48" s="2488"/>
      <c r="O48" s="2488"/>
      <c r="P48" s="3368" t="str">
        <f>A48</f>
        <v>比较价值（元/平方米）</v>
      </c>
      <c r="Q48" s="3368"/>
      <c r="R48" s="3369">
        <f>IF(F1="售价",ROUND(PRODUCT(R47,AA7:AA46),0),ROUND(PRODUCT(R47,AA7:AA46),1))</f>
        <v>80.3</v>
      </c>
      <c r="S48" s="3369"/>
      <c r="T48" s="3369">
        <f>IF(F1="售价",ROUND(PRODUCT(T47,AB7:AB46),0),ROUND(PRODUCT(T47,AB7:AB46),1))</f>
        <v>87.9</v>
      </c>
      <c r="U48" s="3369"/>
      <c r="V48" s="3369">
        <f>IF(F1="售价",ROUND(PRODUCT(V47,AC7:AC46),0),ROUND(PRODUCT(V47,AC7:AC46),1))</f>
        <v>87.8</v>
      </c>
      <c r="W48" s="3369"/>
      <c r="X48" s="385"/>
      <c r="Y48" s="385"/>
      <c r="Z48" s="385"/>
      <c r="AA48" s="385"/>
      <c r="AB48" s="385"/>
      <c r="AC48" s="385"/>
    </row>
    <row r="49" spans="1:29" ht="15.75" thickBot="1">
      <c r="A49" s="427" t="s">
        <v>1710</v>
      </c>
      <c r="B49" s="428"/>
      <c r="C49" s="1084">
        <f>R49</f>
        <v>85.3</v>
      </c>
      <c r="D49" s="351"/>
      <c r="E49" s="351"/>
      <c r="F49" s="351"/>
      <c r="G49" s="351"/>
      <c r="H49" s="351"/>
      <c r="I49" s="351"/>
      <c r="J49" s="351"/>
      <c r="K49" s="1768"/>
      <c r="L49" s="2495"/>
      <c r="M49" s="2488"/>
      <c r="N49" s="2488"/>
      <c r="O49" s="2488"/>
      <c r="P49" s="3365" t="str">
        <f>A49</f>
        <v>估价对象XX用房的比较价值（楼面单价，元/平方米）</v>
      </c>
      <c r="Q49" s="3366"/>
      <c r="R49" s="3367">
        <f>IF(F1="售价",ROUND(IF(D48="简单平均",AVERAGE(R48:V48),R48*F48+T48*H48+V48*J48),0),ROUND(IF(D48="简单平均",AVERAGE(R48:V48),R48*F48+T48*H48+V48*J48),1))</f>
        <v>85.3</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2.2758306781978099E-4</v>
      </c>
      <c r="H52" s="435" t="str">
        <f>IF(OR(G52&gt;=0.3,G52&lt;=-0.3),"超过30%","")</f>
        <v/>
      </c>
      <c r="I52" s="434">
        <f>IF(I47&lt;I48,I48/I47-1,I47/I48-1)</f>
        <v>3.418024381907081E-4</v>
      </c>
      <c r="J52" s="435" t="str">
        <f>IF(OR(I52&gt;=0.3,I52&lt;=-0.3),"超过30%","")</f>
        <v/>
      </c>
      <c r="K52" s="2500"/>
      <c r="L52" s="2496"/>
      <c r="M52" s="2488"/>
      <c r="N52" s="2488"/>
      <c r="O52" s="2488"/>
    </row>
    <row r="53" spans="1:29" ht="13.5" customHeight="1">
      <c r="A53" s="2488"/>
      <c r="B53" s="2488"/>
      <c r="C53" s="432" t="s">
        <v>1712</v>
      </c>
      <c r="D53" s="436"/>
      <c r="E53" s="434">
        <f>IF(E48&lt;G48,G48/E48-1,E48/G48-1)</f>
        <v>9.4645080946450966E-2</v>
      </c>
      <c r="F53" s="435" t="str">
        <f>IF(OR(E53&gt;=0.2,E53&lt;=-0.2),"超过20%","")</f>
        <v/>
      </c>
      <c r="G53" s="434">
        <f>IF(G48&lt;I48,I48/G48-1,G48/I48-1)</f>
        <v>1.138952164009277E-3</v>
      </c>
      <c r="H53" s="435" t="str">
        <f>IF(OR(G53&gt;=0.2,G53&lt;=-0.2),"超过20%","")</f>
        <v/>
      </c>
      <c r="I53" s="434">
        <f>IF(I48&lt;E48,E48/I48-1,I48/E48-1)</f>
        <v>9.3399750933997439E-2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9.4396014943960216E-2</v>
      </c>
      <c r="F54" s="435" t="str">
        <f>IF(OR(E54&gt;=0.3,E54&lt;=-0.3),"超过30%","")</f>
        <v/>
      </c>
      <c r="G54" s="434">
        <f>IF(G47&lt;I47,I47/G47-1,G47/I47-1)</f>
        <v>1.2532756066994111E-3</v>
      </c>
      <c r="H54" s="435" t="str">
        <f>IF(OR(G54&gt;=0.3,G54&lt;=-0.3),"超过30%","")</f>
        <v/>
      </c>
      <c r="I54" s="434">
        <f>IF(I47&lt;E47,E47/I47-1,I47/E47-1)</f>
        <v>9.3026151930261536E-2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5" zoomScaleNormal="70" zoomScaleSheetLayoutView="100"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9500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tr">
        <f>案例!W2</f>
        <v>金茂府二期</v>
      </c>
      <c r="F5" s="3409"/>
      <c r="G5" s="3401" t="str">
        <f>案例!W3</f>
        <v>金茂府二期</v>
      </c>
      <c r="H5" s="3402"/>
      <c r="I5" s="3401" t="str">
        <f>案例!W4</f>
        <v>鑫兆雅园</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45702</v>
      </c>
      <c r="D7" s="355">
        <v>100</v>
      </c>
      <c r="E7" s="356">
        <v>45689</v>
      </c>
      <c r="F7" s="357">
        <f>SUMIF(58:58,YEAR(E7)&amp;"-"&amp;MONTH(E7),59:59)</f>
        <v>100</v>
      </c>
      <c r="G7" s="356">
        <v>45689</v>
      </c>
      <c r="H7" s="355">
        <f>SUMIF(58:58,YEAR(G7)&amp;"-"&amp;MONTH(G7),59:59)</f>
        <v>100</v>
      </c>
      <c r="I7" s="356">
        <v>45689</v>
      </c>
      <c r="J7" s="355">
        <f>SUMIF(58:58,YEAR(I7)&amp;"-"&amp;MONTH(I7),59:59)</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t="s">
        <v>3453</v>
      </c>
      <c r="D8" s="355">
        <v>100</v>
      </c>
      <c r="E8" s="358" t="s">
        <v>3454</v>
      </c>
      <c r="F8" s="357">
        <f>SUMIF(61:61,E8,62:62)-SUMIF(61:61,C8,62:62)+100</f>
        <v>105</v>
      </c>
      <c r="G8" s="358" t="s">
        <v>3454</v>
      </c>
      <c r="H8" s="355">
        <f>SUMIF(61:61,G8,62:62)-SUMIF(61:61,C8,62:62)+100</f>
        <v>105</v>
      </c>
      <c r="I8" s="358" t="s">
        <v>3454</v>
      </c>
      <c r="J8" s="355">
        <f>SUMIF(61:61,I8,62:62)-SUMIF(61:61,C8,62:62)+100</f>
        <v>105</v>
      </c>
      <c r="K8" s="38"/>
      <c r="L8" s="2489"/>
      <c r="M8" s="2440"/>
      <c r="N8" s="2440"/>
      <c r="O8" s="2440"/>
      <c r="P8" s="3403" t="s">
        <v>1683</v>
      </c>
      <c r="Q8" s="3404"/>
      <c r="R8" s="664" t="s">
        <v>14</v>
      </c>
      <c r="S8" s="665">
        <f t="shared" si="0"/>
        <v>105</v>
      </c>
      <c r="T8" s="664" t="s">
        <v>14</v>
      </c>
      <c r="U8" s="665">
        <f t="shared" si="1"/>
        <v>105</v>
      </c>
      <c r="V8" s="664" t="s">
        <v>14</v>
      </c>
      <c r="W8" s="665">
        <f t="shared" si="2"/>
        <v>105</v>
      </c>
      <c r="X8" s="666"/>
      <c r="Y8" s="3403" t="s">
        <v>1683</v>
      </c>
      <c r="Z8" s="340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0</v>
      </c>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t="s">
        <v>3416</v>
      </c>
      <c r="D16" s="387"/>
      <c r="E16" s="386" t="s">
        <v>3416</v>
      </c>
      <c r="F16" s="388"/>
      <c r="G16" s="386" t="s">
        <v>3416</v>
      </c>
      <c r="H16" s="389"/>
      <c r="I16" s="386" t="s">
        <v>3417</v>
      </c>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102</v>
      </c>
      <c r="K17" s="540">
        <v>2</v>
      </c>
      <c r="L17" s="2493"/>
      <c r="M17" s="2488"/>
      <c r="N17" s="2488"/>
      <c r="O17" s="2488"/>
      <c r="P17" s="3378"/>
      <c r="Q17" s="1263" t="str">
        <f>B17</f>
        <v>交通便捷度</v>
      </c>
      <c r="R17" s="667" t="s">
        <v>14</v>
      </c>
      <c r="S17" s="668">
        <f>F17</f>
        <v>100</v>
      </c>
      <c r="T17" s="667" t="s">
        <v>14</v>
      </c>
      <c r="U17" s="668">
        <f>H17</f>
        <v>100</v>
      </c>
      <c r="V17" s="667" t="s">
        <v>14</v>
      </c>
      <c r="W17" s="668">
        <f>J17</f>
        <v>102</v>
      </c>
      <c r="X17" s="1265"/>
      <c r="Y17" s="3371"/>
      <c r="Z17" s="1264" t="str">
        <f>Q17</f>
        <v>交通便捷度</v>
      </c>
      <c r="AA17" s="1264">
        <f t="shared" si="3"/>
        <v>1</v>
      </c>
      <c r="AB17" s="1264">
        <f t="shared" si="4"/>
        <v>1</v>
      </c>
      <c r="AC17" s="1264">
        <f t="shared" si="5"/>
        <v>0.98039215686274506</v>
      </c>
    </row>
    <row r="18" spans="1:29" ht="15">
      <c r="A18" s="367"/>
      <c r="B18" s="395"/>
      <c r="C18" s="1755" t="s">
        <v>3416</v>
      </c>
      <c r="D18" s="389"/>
      <c r="E18" s="1757" t="s">
        <v>3416</v>
      </c>
      <c r="F18" s="392"/>
      <c r="G18" s="1756" t="s">
        <v>3416</v>
      </c>
      <c r="H18" s="387"/>
      <c r="I18" s="1757" t="s">
        <v>3417</v>
      </c>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t="s">
        <v>3448</v>
      </c>
      <c r="D25" s="374">
        <v>100</v>
      </c>
      <c r="E25" s="542" t="s">
        <v>3448</v>
      </c>
      <c r="F25" s="400">
        <f>SUMIF(86:86,E25,87:87)-SUMIF(86:86,C25,87:87)+100</f>
        <v>100</v>
      </c>
      <c r="G25" s="542" t="s">
        <v>3448</v>
      </c>
      <c r="H25" s="374">
        <f>SUMIF(86:86,G25,87:87)-SUMIF(86:86,C25,87:87)+100</f>
        <v>100</v>
      </c>
      <c r="I25" s="542" t="s">
        <v>3446</v>
      </c>
      <c r="J25" s="374">
        <f>SUMIF(86:86,I25,87:87)-SUMIF(86:86,C25,87:87)+100</f>
        <v>101</v>
      </c>
      <c r="K25" s="538">
        <v>1</v>
      </c>
      <c r="L25" s="2493"/>
      <c r="M25" s="2488"/>
      <c r="N25" s="2488"/>
      <c r="O25" s="2488"/>
      <c r="P25" s="3378"/>
      <c r="Q25" s="1263" t="str">
        <f t="shared" ref="Q25:Q46" si="11">B25</f>
        <v>临街状况</v>
      </c>
      <c r="R25" s="667" t="s">
        <v>14</v>
      </c>
      <c r="S25" s="668">
        <f>F25</f>
        <v>100</v>
      </c>
      <c r="T25" s="667" t="s">
        <v>14</v>
      </c>
      <c r="U25" s="668">
        <f>H25</f>
        <v>100</v>
      </c>
      <c r="V25" s="667" t="s">
        <v>14</v>
      </c>
      <c r="W25" s="668">
        <f>J25</f>
        <v>101</v>
      </c>
      <c r="X25" s="1265"/>
      <c r="Y25" s="3371"/>
      <c r="Z25" s="1264" t="str">
        <f>Q25</f>
        <v>临街状况</v>
      </c>
      <c r="AA25" s="1264">
        <f t="shared" si="3"/>
        <v>1</v>
      </c>
      <c r="AB25" s="1264">
        <f t="shared" si="4"/>
        <v>1</v>
      </c>
      <c r="AC25" s="1264">
        <f t="shared" si="5"/>
        <v>0.99009900990099009</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t="s">
        <v>3444</v>
      </c>
      <c r="D27" s="401">
        <v>100</v>
      </c>
      <c r="E27" s="1807" t="s">
        <v>3444</v>
      </c>
      <c r="F27" s="395">
        <f>SUMIF(90:90,E27,91:91)-SUMIF(90:90,C27,91:91)+100</f>
        <v>100</v>
      </c>
      <c r="G27" s="1807" t="s">
        <v>3444</v>
      </c>
      <c r="H27" s="401">
        <f>SUMIF(90:90,G27,91:91)-SUMIF(90:90,C27,91:91)+100</f>
        <v>100</v>
      </c>
      <c r="I27" s="1807" t="s">
        <v>3442</v>
      </c>
      <c r="J27" s="401">
        <f>SUMIF(90:90,I27,91:91)-SUMIF(90:90,C27,91:91)+100</f>
        <v>103</v>
      </c>
      <c r="K27" s="538">
        <v>3</v>
      </c>
      <c r="L27" s="2489"/>
      <c r="M27" s="2440"/>
      <c r="N27" s="2440"/>
      <c r="O27" s="2440"/>
      <c r="P27" s="3378"/>
      <c r="Q27" s="530" t="str">
        <f t="shared" si="11"/>
        <v>人流量</v>
      </c>
      <c r="R27" s="664" t="s">
        <v>14</v>
      </c>
      <c r="S27" s="665">
        <f>F27</f>
        <v>100</v>
      </c>
      <c r="T27" s="664" t="s">
        <v>14</v>
      </c>
      <c r="U27" s="665">
        <f>H27</f>
        <v>100</v>
      </c>
      <c r="V27" s="664" t="s">
        <v>14</v>
      </c>
      <c r="W27" s="665">
        <f>J27</f>
        <v>103</v>
      </c>
      <c r="X27" s="666"/>
      <c r="Y27" s="3371"/>
      <c r="Z27" s="50" t="str">
        <f>Q27</f>
        <v>人流量</v>
      </c>
      <c r="AA27" s="1264">
        <f>D27/F27</f>
        <v>1</v>
      </c>
      <c r="AB27" s="1264">
        <f>D27/H27</f>
        <v>1</v>
      </c>
      <c r="AC27" s="1264">
        <f>D27/J27</f>
        <v>0.970873786407767</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v>1300</v>
      </c>
      <c r="D33" s="119">
        <v>100</v>
      </c>
      <c r="E33" s="369">
        <f>案例!X2</f>
        <v>501.46</v>
      </c>
      <c r="F33" s="364">
        <f>LOOKUP(E33,103:103,104:104)-LOOKUP(C33,103:103,104:104)+100</f>
        <v>101</v>
      </c>
      <c r="G33" s="368">
        <f>案例!X3</f>
        <v>521.08000000000004</v>
      </c>
      <c r="H33" s="119">
        <f>LOOKUP(G33,103:103,104:104)-LOOKUP(C33,103:103,104:104)+100</f>
        <v>101</v>
      </c>
      <c r="I33" s="368">
        <f>案例!X4</f>
        <v>195</v>
      </c>
      <c r="J33" s="119">
        <f>LOOKUP(I33,103:103,104:104)-LOOKUP(C33,103:103,104:104)+100</f>
        <v>101</v>
      </c>
      <c r="K33" s="539"/>
      <c r="L33" s="2492"/>
      <c r="M33" s="2494"/>
      <c r="N33" s="2494"/>
      <c r="O33" s="2494"/>
      <c r="P33" s="3373"/>
      <c r="Q33" s="531" t="str">
        <f t="shared" si="11"/>
        <v>项目建筑规模</v>
      </c>
      <c r="R33" s="669" t="s">
        <v>14</v>
      </c>
      <c r="S33" s="670">
        <f t="shared" si="12"/>
        <v>101</v>
      </c>
      <c r="T33" s="669" t="s">
        <v>14</v>
      </c>
      <c r="U33" s="670">
        <f t="shared" si="13"/>
        <v>101</v>
      </c>
      <c r="V33" s="669" t="s">
        <v>14</v>
      </c>
      <c r="W33" s="670">
        <f t="shared" si="14"/>
        <v>101</v>
      </c>
      <c r="X33" s="671"/>
      <c r="Y33" s="3375"/>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v>1</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c r="L36" s="2493"/>
      <c r="M36" s="2488"/>
      <c r="N36" s="2488"/>
      <c r="O36" s="2488"/>
      <c r="P36" s="3373"/>
      <c r="Q36" s="1263" t="str">
        <f t="shared" si="11"/>
        <v>成新度</v>
      </c>
      <c r="R36" s="667" t="s">
        <v>14</v>
      </c>
      <c r="S36" s="668">
        <f t="shared" si="12"/>
        <v>100</v>
      </c>
      <c r="T36" s="667" t="s">
        <v>14</v>
      </c>
      <c r="U36" s="668">
        <f t="shared" si="13"/>
        <v>100</v>
      </c>
      <c r="V36" s="667" t="s">
        <v>14</v>
      </c>
      <c r="W36" s="668">
        <f t="shared" si="14"/>
        <v>100</v>
      </c>
      <c r="X36" s="1265"/>
      <c r="Y36" s="337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v>12</v>
      </c>
      <c r="F47" s="420"/>
      <c r="G47" s="421">
        <v>14</v>
      </c>
      <c r="H47" s="422"/>
      <c r="I47" s="419">
        <v>15</v>
      </c>
      <c r="J47" s="422"/>
      <c r="K47" s="674"/>
      <c r="L47" s="2495"/>
      <c r="M47" s="2488"/>
      <c r="N47" s="2488"/>
      <c r="O47" s="2488"/>
      <c r="P47" s="3368" t="str">
        <f>A47</f>
        <v>成交单价（元/平方米）</v>
      </c>
      <c r="Q47" s="3368"/>
      <c r="R47" s="3369">
        <f>E47</f>
        <v>12</v>
      </c>
      <c r="S47" s="3369"/>
      <c r="T47" s="3369">
        <f>G47</f>
        <v>14</v>
      </c>
      <c r="U47" s="3369"/>
      <c r="V47" s="3369">
        <f>I47</f>
        <v>15</v>
      </c>
      <c r="W47" s="3369"/>
      <c r="X47" s="385"/>
      <c r="Y47" s="673"/>
      <c r="Z47" s="385"/>
      <c r="AA47" s="385"/>
      <c r="AB47" s="385"/>
      <c r="AC47" s="385"/>
    </row>
    <row r="48" spans="1:29" ht="15.75" thickBot="1">
      <c r="A48" s="423" t="s">
        <v>1793</v>
      </c>
      <c r="B48" s="424"/>
      <c r="C48" s="1082">
        <f>R49</f>
        <v>12.6</v>
      </c>
      <c r="D48" s="2141" t="s">
        <v>2138</v>
      </c>
      <c r="E48" s="1083">
        <f>R48</f>
        <v>11.3</v>
      </c>
      <c r="F48" s="2142"/>
      <c r="G48" s="1082">
        <f>T48</f>
        <v>13.2</v>
      </c>
      <c r="H48" s="2142"/>
      <c r="I48" s="1083">
        <f>V48</f>
        <v>13.3</v>
      </c>
      <c r="J48" s="2142"/>
      <c r="K48" s="2144">
        <f>F48+H48+J48</f>
        <v>0</v>
      </c>
      <c r="L48" s="2495"/>
      <c r="M48" s="2488"/>
      <c r="N48" s="2488"/>
      <c r="O48" s="2488"/>
      <c r="P48" s="3368" t="str">
        <f>A48</f>
        <v>比较价值（元/平方米）</v>
      </c>
      <c r="Q48" s="3368"/>
      <c r="R48" s="3369">
        <f>IF(F1="售价",ROUND(PRODUCT(R47,AA7:AA46),0),ROUND(PRODUCT(R47,AA7:AA46),1))</f>
        <v>11.3</v>
      </c>
      <c r="S48" s="3369"/>
      <c r="T48" s="3369">
        <f>IF(F1="售价",ROUND(PRODUCT(T47,AB7:AB46),0),ROUND(PRODUCT(T47,AB7:AB46),1))</f>
        <v>13.2</v>
      </c>
      <c r="U48" s="3369"/>
      <c r="V48" s="3369">
        <f>IF(F1="售价",ROUND(PRODUCT(V47,AC7:AC46),0),ROUND(PRODUCT(V47,AC7:AC46),1))</f>
        <v>13.3</v>
      </c>
      <c r="W48" s="3369"/>
      <c r="X48" s="385"/>
      <c r="Y48" s="385"/>
      <c r="Z48" s="385"/>
      <c r="AA48" s="385"/>
      <c r="AB48" s="385"/>
      <c r="AC48" s="385"/>
    </row>
    <row r="49" spans="1:29" ht="15.75" thickBot="1">
      <c r="A49" s="427" t="s">
        <v>1794</v>
      </c>
      <c r="B49" s="428"/>
      <c r="C49" s="351">
        <f>R49</f>
        <v>12.6</v>
      </c>
      <c r="D49" s="351"/>
      <c r="E49" s="351"/>
      <c r="F49" s="351"/>
      <c r="G49" s="351"/>
      <c r="H49" s="351"/>
      <c r="I49" s="351"/>
      <c r="J49" s="351"/>
      <c r="K49" s="675"/>
      <c r="L49" s="2495"/>
      <c r="M49" s="2488"/>
      <c r="N49" s="2488"/>
      <c r="O49" s="2488"/>
      <c r="P49" s="3365" t="str">
        <f>A49</f>
        <v>估价对象XX用房的比较价值（楼面单价，元/平方米）</v>
      </c>
      <c r="Q49" s="3366"/>
      <c r="R49" s="3367">
        <f>IF(F1="售价",ROUND(IF(D48="简单平均",AVERAGE(R48:V48),R48*F48+T48*H48+V48*J48),0),ROUND(IF(D48="简单平均",AVERAGE(R48:V48),R48*F48+T48*H48+V48*J48),1))</f>
        <v>12.6</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6.1946902654867131E-2</v>
      </c>
      <c r="F52" s="435" t="str">
        <f>IF(OR(E52&gt;=0.3,E52&lt;=-0.3),"超过30%","")</f>
        <v/>
      </c>
      <c r="G52" s="434">
        <f>IF(G47&lt;G48,G48/G47-1,G47/G48-1)</f>
        <v>6.0606060606060552E-2</v>
      </c>
      <c r="H52" s="435" t="str">
        <f>IF(OR(G52&gt;=0.3,G52&lt;=-0.3),"超过30%","")</f>
        <v/>
      </c>
      <c r="I52" s="434">
        <f>IF(I47&lt;I48,I48/I47-1,I47/I48-1)</f>
        <v>0.1278195488721805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0.1681415929203538</v>
      </c>
      <c r="F53" s="435" t="str">
        <f>IF(OR(E53&gt;=0.2,E53&lt;=-0.2),"超过20%","")</f>
        <v/>
      </c>
      <c r="G53" s="434">
        <f>IF(G48&lt;I48,I48/G48-1,G48/I48-1)</f>
        <v>7.5757575757577911E-3</v>
      </c>
      <c r="H53" s="435" t="str">
        <f>IF(OR(G53&gt;=0.2,G53&lt;=-0.2),"超过20%","")</f>
        <v/>
      </c>
      <c r="I53" s="434">
        <f>IF(I48&lt;E48,E48/I48-1,I48/E48-1)</f>
        <v>0.17699115044247793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0.16666666666666674</v>
      </c>
      <c r="F54" s="435" t="str">
        <f>IF(OR(E54&gt;=0.3,E54&lt;=-0.3),"超过30%","")</f>
        <v/>
      </c>
      <c r="G54" s="434">
        <f>IF(G47&lt;I47,I47/G47-1,G47/I47-1)</f>
        <v>7.1428571428571397E-2</v>
      </c>
      <c r="H54" s="435" t="str">
        <f>IF(OR(G54&gt;=0.3,G54&lt;=-0.3),"超过30%","")</f>
        <v/>
      </c>
      <c r="I54" s="434">
        <f>IF(I47&lt;E47,E47/I47-1,I47/E47-1)</f>
        <v>0.25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494" t="s">
        <v>3455</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493" t="s">
        <v>3447</v>
      </c>
      <c r="D86" s="3493" t="s">
        <v>3449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99</v>
      </c>
      <c r="E87" s="475">
        <f t="shared" si="20"/>
        <v>98</v>
      </c>
      <c r="F87" s="475">
        <f t="shared" si="20"/>
        <v>97</v>
      </c>
      <c r="G87" s="475">
        <f t="shared" si="20"/>
        <v>96</v>
      </c>
      <c r="H87" s="475">
        <f t="shared" si="20"/>
        <v>95</v>
      </c>
      <c r="I87" s="475">
        <f t="shared" si="20"/>
        <v>94</v>
      </c>
      <c r="J87" s="475">
        <f t="shared" si="20"/>
        <v>93</v>
      </c>
      <c r="K87" s="475">
        <f t="shared" si="20"/>
        <v>92</v>
      </c>
      <c r="L87" s="475">
        <f t="shared" si="20"/>
        <v>91</v>
      </c>
      <c r="M87" s="475">
        <f t="shared" si="20"/>
        <v>90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493" t="s">
        <v>3443</v>
      </c>
      <c r="D90" s="3493" t="s">
        <v>3445</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300</v>
      </c>
      <c r="E103" s="6">
        <v>500</v>
      </c>
      <c r="F103" s="6">
        <v>1000</v>
      </c>
      <c r="G103" s="6">
        <v>1500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100</v>
      </c>
      <c r="F104" s="467">
        <v>99</v>
      </c>
      <c r="G104" s="467">
        <v>98</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9500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45702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9500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F7:F40 H7:H40 J7:J40">
    <cfRule type="cellIs" dxfId="92" priority="1" operator="notEqual">
      <formula>100</formula>
    </cfRule>
  </conditionalFormatting>
  <conditionalFormatting sqref="F42">
    <cfRule type="expression" dxfId="91" priority="4">
      <formula>$D$42="简单平均"</formula>
    </cfRule>
  </conditionalFormatting>
  <conditionalFormatting sqref="F46:F48 H46:H48">
    <cfRule type="containsText" dxfId="90" priority="17" stopIfTrue="1" operator="containsText" text="超过">
      <formula>NOT(ISERROR(SEARCH("超过",F46)))</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G48">
    <cfRule type="expression" dxfId="87" priority="13" stopIfTrue="1">
      <formula>$H$48="超过30%"</formula>
    </cfRule>
  </conditionalFormatting>
  <conditionalFormatting sqref="H42">
    <cfRule type="expression" dxfId="86" priority="3">
      <formula>$D$42="简单平均"</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J42">
    <cfRule type="expression" dxfId="82" priority="2">
      <formula>$D$42="简单平均"</formula>
    </cfRule>
  </conditionalFormatting>
  <conditionalFormatting sqref="J46:J48">
    <cfRule type="containsText" dxfId="81"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估价对象为北京市房地产，为所有。根据《国有土地使用证》[]，估价对象（分摊）出让国有建设用地使用权面积为0平方米，建筑面积为9500平方米。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估价对象为北京市房地产,属开发建设的，该项目尚在开发建设中。根据《国有土地使用证》[]，估价对象（分摊）出让国有建设用地使用权面积为0平方米，规划建筑面积为9500平方米。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4" zoomScaleNormal="60" zoomScaleSheetLayoutView="100" workbookViewId="0">
      <selection activeCell="C38" sqref="C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#REF!</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tr">
        <f>案例!W12</f>
        <v>顶秀欣园</v>
      </c>
      <c r="F5" s="3409"/>
      <c r="G5" s="3401" t="str">
        <f>案例!W13</f>
        <v>西马金润家园</v>
      </c>
      <c r="H5" s="3402"/>
      <c r="I5" s="3401" t="str">
        <f>案例!W14</f>
        <v>星河苑</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v>45689</v>
      </c>
      <c r="F7" s="357">
        <f>SUMIF(48:48,YEAR(E7)&amp;"-"&amp;MONTH(E7),49:49)</f>
        <v>100</v>
      </c>
      <c r="G7" s="356">
        <v>45689</v>
      </c>
      <c r="H7" s="355">
        <f>SUMIF(48:48,YEAR(G7)&amp;"-"&amp;MONTH(G7),49:49)</f>
        <v>100</v>
      </c>
      <c r="I7" s="356">
        <v>45689</v>
      </c>
      <c r="J7" s="355">
        <f>SUMIF(48:48,YEAR(I7)&amp;"-"&amp;MONTH(I7),49:49)</f>
        <v>100</v>
      </c>
      <c r="K7" s="38"/>
      <c r="L7" s="2489"/>
      <c r="M7" s="2440"/>
      <c r="N7" s="2440"/>
      <c r="O7" s="2440"/>
      <c r="P7" s="3403" t="s">
        <v>1680</v>
      </c>
      <c r="Q7" s="3405"/>
      <c r="R7" s="664" t="s">
        <v>14</v>
      </c>
      <c r="S7" s="665">
        <f t="shared" ref="S7:S14" si="0">F7</f>
        <v>100</v>
      </c>
      <c r="T7" s="664" t="s">
        <v>14</v>
      </c>
      <c r="U7" s="665">
        <f t="shared" ref="U7:U14" si="1">H7</f>
        <v>100</v>
      </c>
      <c r="V7" s="664" t="s">
        <v>14</v>
      </c>
      <c r="W7" s="665">
        <f t="shared" ref="W7:W14" si="2">J7</f>
        <v>100</v>
      </c>
      <c r="X7" s="666"/>
      <c r="Y7" s="3403" t="s">
        <v>1680</v>
      </c>
      <c r="Z7" s="3404"/>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t="s">
        <v>3332</v>
      </c>
      <c r="F26" s="388">
        <f>SUMIF(79:79,E26,80:80)-SUMIF(79:79,C26,80:80)+100</f>
        <v>100</v>
      </c>
      <c r="G26" s="386" t="s">
        <v>3332</v>
      </c>
      <c r="H26" s="387">
        <f>SUMIF(79:79,G26,80:80)-SUMIF(79:79,C26,80:80)+100</f>
        <v>100</v>
      </c>
      <c r="I26" s="386" t="s">
        <v>3332</v>
      </c>
      <c r="J26" s="387">
        <f>SUMIF(79:79,I26,80:80)-SUMIF(79:79,C26,80:80)+100</f>
        <v>100</v>
      </c>
      <c r="K26" s="538"/>
      <c r="L26" s="2493"/>
      <c r="M26" s="2488"/>
      <c r="N26" s="2488"/>
      <c r="O26" s="2488"/>
      <c r="P26" s="3425"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375"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v>1</v>
      </c>
      <c r="D29" s="374">
        <v>100</v>
      </c>
      <c r="E29" s="411">
        <v>0.9</v>
      </c>
      <c r="F29" s="400">
        <f>LOOKUP(E29,86:86,87:87)-LOOKUP(C29,86:86,87:87)+100</f>
        <v>100</v>
      </c>
      <c r="G29" s="411">
        <v>0.9</v>
      </c>
      <c r="H29" s="400">
        <f>LOOKUP(G29,86:86,87:87)-LOOKUP(C29,86:86,87:87)+100</f>
        <v>100</v>
      </c>
      <c r="I29" s="411">
        <v>0.9</v>
      </c>
      <c r="J29" s="374">
        <f>LOOKUP(I29,86:86,87:87)-LOOKUP(C29,86:86,87:87)+100</f>
        <v>100</v>
      </c>
      <c r="K29" s="538"/>
      <c r="L29" s="2493"/>
      <c r="M29" s="2488"/>
      <c r="N29" s="2488"/>
      <c r="O29" s="2488"/>
      <c r="P29" s="3375"/>
      <c r="Q29" s="1263" t="str">
        <f t="shared" si="11"/>
        <v>成新率</v>
      </c>
      <c r="R29" s="667" t="s">
        <v>14</v>
      </c>
      <c r="S29" s="668">
        <f t="shared" si="12"/>
        <v>100</v>
      </c>
      <c r="T29" s="667" t="s">
        <v>14</v>
      </c>
      <c r="U29" s="668">
        <f t="shared" si="13"/>
        <v>100</v>
      </c>
      <c r="V29" s="667" t="s">
        <v>14</v>
      </c>
      <c r="W29" s="668">
        <f t="shared" si="14"/>
        <v>100</v>
      </c>
      <c r="X29" s="1265"/>
      <c r="Y29" s="3375"/>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v>20</v>
      </c>
      <c r="D31" s="119">
        <v>100</v>
      </c>
      <c r="E31" s="407">
        <v>12</v>
      </c>
      <c r="F31" s="400">
        <f>LOOKUP(E31,91:91,92:92)-LOOKUP(C31,91:91,92:92)+100</f>
        <v>100</v>
      </c>
      <c r="G31" s="407">
        <v>16</v>
      </c>
      <c r="H31" s="374">
        <f>LOOKUP(G31,91:91,92:92)-LOOKUP(C31,91:91,92:92)+100</f>
        <v>100</v>
      </c>
      <c r="I31" s="407">
        <v>16</v>
      </c>
      <c r="J31" s="374">
        <f>LOOKUP(I31,91:91,92:92)-LOOKUP(C31,91:91,92:92)+100</f>
        <v>100</v>
      </c>
      <c r="K31" s="538"/>
      <c r="L31" s="2489"/>
      <c r="M31" s="2440"/>
      <c r="N31" s="2440"/>
      <c r="O31" s="2440"/>
      <c r="P31" s="3375"/>
      <c r="Q31" s="530" t="str">
        <f t="shared" si="11"/>
        <v>停车位面积</v>
      </c>
      <c r="R31" s="664" t="s">
        <v>14</v>
      </c>
      <c r="S31" s="665">
        <f t="shared" si="12"/>
        <v>100</v>
      </c>
      <c r="T31" s="664" t="s">
        <v>14</v>
      </c>
      <c r="U31" s="665">
        <f t="shared" si="13"/>
        <v>100</v>
      </c>
      <c r="V31" s="664" t="s">
        <v>14</v>
      </c>
      <c r="W31" s="665">
        <f t="shared" si="14"/>
        <v>100</v>
      </c>
      <c r="X31" s="666"/>
      <c r="Y31" s="3375"/>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3353</v>
      </c>
      <c r="C37" s="1081" t="s">
        <v>0</v>
      </c>
      <c r="D37" s="418"/>
      <c r="E37" s="419">
        <v>350</v>
      </c>
      <c r="F37" s="420"/>
      <c r="G37" s="421">
        <v>380</v>
      </c>
      <c r="H37" s="422"/>
      <c r="I37" s="419">
        <v>350</v>
      </c>
      <c r="J37" s="422"/>
      <c r="K37" s="545"/>
      <c r="L37" s="2495"/>
      <c r="M37" s="2488"/>
      <c r="N37" s="2488"/>
      <c r="O37" s="2488"/>
      <c r="P37" s="3368" t="str">
        <f>A37</f>
        <v>成交单价</v>
      </c>
      <c r="Q37" s="3368"/>
      <c r="R37" s="3369">
        <f>E37</f>
        <v>350</v>
      </c>
      <c r="S37" s="3369"/>
      <c r="T37" s="3369">
        <f>G37</f>
        <v>380</v>
      </c>
      <c r="U37" s="3369"/>
      <c r="V37" s="3369">
        <f>I37</f>
        <v>350</v>
      </c>
      <c r="W37" s="3369"/>
      <c r="X37" s="385"/>
      <c r="Y37" s="673"/>
      <c r="Z37" s="385"/>
      <c r="AA37" s="385"/>
      <c r="AB37" s="385"/>
      <c r="AC37" s="385"/>
    </row>
    <row r="38" spans="1:29" ht="15.75" thickBot="1">
      <c r="A38" s="423" t="s">
        <v>1845</v>
      </c>
      <c r="B38" s="424" t="str">
        <f>B37</f>
        <v>元/平方米</v>
      </c>
      <c r="C38" s="1082">
        <f>R39</f>
        <v>360</v>
      </c>
      <c r="D38" s="2141" t="s">
        <v>2138</v>
      </c>
      <c r="E38" s="1083">
        <f>R38</f>
        <v>350</v>
      </c>
      <c r="F38" s="2142"/>
      <c r="G38" s="1082">
        <f>T38</f>
        <v>380</v>
      </c>
      <c r="H38" s="2142"/>
      <c r="I38" s="1083">
        <f>V38</f>
        <v>350</v>
      </c>
      <c r="J38" s="2142"/>
      <c r="K38" s="2144">
        <f>F38+H38+J38</f>
        <v>0</v>
      </c>
      <c r="L38" s="2495"/>
      <c r="M38" s="2488"/>
      <c r="N38" s="2488"/>
      <c r="O38" s="2488"/>
      <c r="P38" s="3368" t="str">
        <f>A38</f>
        <v>比较价值（元/平方米）</v>
      </c>
      <c r="Q38" s="3368"/>
      <c r="R38" s="3369">
        <f>IF(F1="售价",ROUND(PRODUCT(R37,AA7:AA36),0),ROUND(PRODUCT(R37,AA7:AA36),1))</f>
        <v>350</v>
      </c>
      <c r="S38" s="3369"/>
      <c r="T38" s="3369">
        <f>IF(F1="售价",ROUND(PRODUCT(T37,AB7:AB36),0),ROUND(PRODUCT(T37,AB7:AB36),1))</f>
        <v>380</v>
      </c>
      <c r="U38" s="3369"/>
      <c r="V38" s="3369">
        <f>IF(F1="售价",ROUND(PRODUCT(V37,AC7:AC36),0),ROUND(PRODUCT(V37,AC7:AC36),1))</f>
        <v>350</v>
      </c>
      <c r="W38" s="3369"/>
      <c r="X38" s="385"/>
      <c r="Y38" s="385"/>
      <c r="Z38" s="385"/>
      <c r="AA38" s="385"/>
      <c r="AB38" s="385"/>
      <c r="AC38" s="385"/>
    </row>
    <row r="39" spans="1:29" ht="15.75" thickBot="1">
      <c r="A39" s="427" t="s">
        <v>1846</v>
      </c>
      <c r="B39" s="428"/>
      <c r="C39" s="351">
        <f>R39</f>
        <v>360</v>
      </c>
      <c r="D39" s="351"/>
      <c r="E39" s="351"/>
      <c r="F39" s="351"/>
      <c r="G39" s="351"/>
      <c r="H39" s="351"/>
      <c r="I39" s="351"/>
      <c r="J39" s="351"/>
      <c r="K39" s="546"/>
      <c r="L39" s="2495"/>
      <c r="M39" s="2488"/>
      <c r="N39" s="2488"/>
      <c r="O39" s="2488"/>
      <c r="P39" s="3365" t="str">
        <f>A39</f>
        <v>估价对象XX用房的比较价值（楼面单价，元/平方米）</v>
      </c>
      <c r="Q39" s="3366"/>
      <c r="R39" s="3426">
        <f>IF(F1="售价",ROUND(IF(D38="简单平均",AVERAGE(R38:W38),R38*F38+T38*H38+V38*J38),0),ROUND(IF(D38="简单平均",AVERAGE(R38:V38),R38*F38+T38*H38+V38*J38),1))</f>
        <v>360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f>IF(E38&lt;G38,G38/E38-1,E38/G38-1)</f>
        <v>8.5714285714285632E-2</v>
      </c>
      <c r="F43" s="435" t="str">
        <f>IF(OR(E43&gt;=0.2,E43&lt;=-0.2),"超过20%","")</f>
        <v/>
      </c>
      <c r="G43" s="434">
        <f>IF(G38&lt;I38,I38/G38-1,G38/I38-1)</f>
        <v>8.5714285714285632E-2</v>
      </c>
      <c r="H43" s="435" t="str">
        <f>IF(OR(G43&gt;=0.2,G43&lt;=-0.2),"超过20%","")</f>
        <v/>
      </c>
      <c r="I43" s="434">
        <f>IF(I38&lt;E38,E38/I38-1,I38/E38-1)</f>
        <v>0</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f>IF(E37&lt;G37,G37/E37-1,E37/G37-1)</f>
        <v>8.5714285714285632E-2</v>
      </c>
      <c r="F44" s="435" t="str">
        <f>IF(OR(E44&gt;=0.3,E44&lt;=-0.3),"超过30%","")</f>
        <v/>
      </c>
      <c r="G44" s="434">
        <f>IF(G37&lt;I37,I37/G37-1,G37/I37-1)</f>
        <v>8.5714285714285632E-2</v>
      </c>
      <c r="H44" s="435" t="str">
        <f>IF(OR(G44&gt;=0.3,G44&lt;=-0.3),"超过30%","")</f>
        <v/>
      </c>
      <c r="I44" s="434">
        <f>IF(I37&lt;E37,E37/I37-1,I37/E37-1)</f>
        <v>0</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0(含)-30</v>
      </c>
      <c r="D90" s="509" t="str">
        <f t="shared" ref="D90:L90" si="21">D91&amp;"(含)"&amp;"-"&amp;E91</f>
        <v>30(含)-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99</v>
      </c>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6" priority="13" stopIfTrue="1">
      <formula>$F$40="超过30%"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F7:F34 H7:H34 J7:J34">
    <cfRule type="cellIs" dxfId="63" priority="1" operator="notEqual">
      <formula>100</formula>
    </cfRule>
  </conditionalFormatting>
  <conditionalFormatting sqref="F36">
    <cfRule type="expression" dxfId="62" priority="4">
      <formula>$D$36="简单平均"</formula>
    </cfRule>
  </conditionalFormatting>
  <conditionalFormatting sqref="F40:F42 H40:H42 J40:J42">
    <cfRule type="containsText" dxfId="61" priority="14" stopIfTrue="1" operator="containsText" text="超过">
      <formula>NOT(ISERROR(SEARCH("超过",F40)))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G42">
    <cfRule type="expression" dxfId="58" priority="12" stopIfTrue="1">
      <formula>$H$54+$H$42="超过30%"</formula>
    </cfRule>
  </conditionalFormatting>
  <conditionalFormatting sqref="H36">
    <cfRule type="expression" dxfId="57" priority="3">
      <formula>$D$36="简单平均"</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J36">
    <cfRule type="expression" dxfId="53"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68"/>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9500</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SUMIF(修正!A57:A68,H62,修正!G57:G68)</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9500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2" priority="13" stopIfTrue="1">
      <formula>$F$51="超过30%"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F7:F45 H7:H45 J7:J45">
    <cfRule type="cellIs" dxfId="49" priority="1" operator="notEqual">
      <formula>100</formula>
    </cfRule>
  </conditionalFormatting>
  <conditionalFormatting sqref="F47">
    <cfRule type="expression" dxfId="48" priority="4">
      <formula>$D$47="简单平均"</formula>
    </cfRule>
  </conditionalFormatting>
  <conditionalFormatting sqref="F51:F53 H51:H53 J51:J53">
    <cfRule type="containsText" dxfId="47" priority="14" stopIfTrue="1" operator="containsText" text="超过">
      <formula>NOT(ISERROR(SEARCH("超过",F51)))</formula>
    </cfRule>
  </conditionalFormatting>
  <conditionalFormatting sqref="G51">
    <cfRule type="expression" dxfId="46" priority="9" stopIfTrue="1">
      <formula>$H$53+$H$51="超过30%"</formula>
    </cfRule>
  </conditionalFormatting>
  <conditionalFormatting sqref="G52">
    <cfRule type="expression" dxfId="45" priority="8" stopIfTrue="1">
      <formula>$H$52="超过20%"</formula>
    </cfRule>
  </conditionalFormatting>
  <conditionalFormatting sqref="G53">
    <cfRule type="expression" dxfId="44" priority="12" stopIfTrue="1">
      <formula>$H$53="超过30%"</formula>
    </cfRule>
  </conditionalFormatting>
  <conditionalFormatting sqref="H47">
    <cfRule type="expression" dxfId="43" priority="3">
      <formula>$D$47="简单平均"</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J47">
    <cfRule type="expression" dxfId="39"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68"/>
      <c r="Q10" s="530" t="str">
        <f t="shared" si="6"/>
        <v>土地使用年限（年）</v>
      </c>
      <c r="R10" s="664" t="s">
        <v>14</v>
      </c>
      <c r="S10" s="665" t="e">
        <f t="shared" si="0"/>
        <v>#DIV/0!</v>
      </c>
      <c r="T10" s="664" t="s">
        <v>14</v>
      </c>
      <c r="U10" s="665" t="e">
        <f t="shared" si="1"/>
        <v>#DIV/0!</v>
      </c>
      <c r="V10" s="664" t="s">
        <v>14</v>
      </c>
      <c r="W10" s="665" t="e">
        <f t="shared" si="2"/>
        <v>#DIV/0!</v>
      </c>
      <c r="X10" s="666"/>
      <c r="Y10" s="324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9500</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SUMIF(修正!A57:A68,H58,修正!G57:G68)</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8" priority="13" stopIfTrue="1">
      <formula>$F$46="超过30%"</formula>
    </cfRule>
  </conditionalFormatting>
  <conditionalFormatting sqref="E47">
    <cfRule type="expression" dxfId="37" priority="53" stopIfTrue="1">
      <formula>#REF!+$F$47="超过20%"</formula>
    </cfRule>
  </conditionalFormatting>
  <conditionalFormatting sqref="E48">
    <cfRule type="expression" dxfId="36" priority="10" stopIfTrue="1">
      <formula>$F$48="超过30%"</formula>
    </cfRule>
  </conditionalFormatting>
  <conditionalFormatting sqref="F7:F40 H7:H40 J7:J40">
    <cfRule type="cellIs" dxfId="35" priority="1" operator="notEqual">
      <formula>100</formula>
    </cfRule>
  </conditionalFormatting>
  <conditionalFormatting sqref="F42">
    <cfRule type="expression" dxfId="34" priority="4">
      <formula>$D$42="简单平均"</formula>
    </cfRule>
  </conditionalFormatting>
  <conditionalFormatting sqref="F46:F48 H46:H48 J46:J48">
    <cfRule type="containsText" dxfId="33" priority="14" stopIfTrue="1" operator="containsText" text="超过">
      <formula>NOT(ISERROR(SEARCH("超过",F46)))</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G48">
    <cfRule type="expression" dxfId="30" priority="12" stopIfTrue="1">
      <formula>$H$48="超过30%"</formula>
    </cfRule>
  </conditionalFormatting>
  <conditionalFormatting sqref="H42">
    <cfRule type="expression" dxfId="29" priority="3">
      <formula>$D$42="简单平均"</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J42">
    <cfRule type="expression" dxfId="25"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#REF!</v>
      </c>
      <c r="C6" s="1984" t="s">
        <v>2074</v>
      </c>
      <c r="D6" s="2545"/>
      <c r="E6" s="2398" t="e">
        <f ca="1">SUMIF(INDIRECT("'"&amp;A6&amp;"'"&amp;"!C:C"),"建筑面积",INDIRECT("'"&amp;A6&amp;"'"&amp;"!D:D"))</f>
        <v>#REF!</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4858-71A7-4A04-A9C4-C50187837F2C}">
  <sheetPr>
    <tabColor rgb="FF92D050"/>
  </sheetPr>
  <dimension ref="A1:AK122"/>
  <sheetViews>
    <sheetView view="pageBreakPreview" topLeftCell="A19" zoomScaleNormal="80" zoomScaleSheetLayoutView="100" workbookViewId="0">
      <selection activeCell="C75" sqref="C7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3408</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36557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3411</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28814</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18760</v>
      </c>
      <c r="N4" s="813">
        <f>SUMPRODUCT((因素修正幅度!B55:B86=I2)*(因素修正幅度!C3:G3=E2)*(因素修正幅度!C55:G86))</f>
        <v>9.6000000000000002E-2</v>
      </c>
      <c r="O4" s="1056"/>
      <c r="P4" s="1056"/>
      <c r="Q4" s="1056"/>
      <c r="R4" s="1129">
        <v>3</v>
      </c>
      <c r="S4" s="3064">
        <f>ROUND(SUMPRODUCT((B106:B110=R4)*(C105:N105=G2)*(C106:N110)),4)</f>
        <v>1.0004999999999999</v>
      </c>
      <c r="T4" s="3064">
        <f t="shared" si="0"/>
        <v>24353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21574</v>
      </c>
      <c r="D5" s="1252">
        <f>ROUND(C6*C17+C20,0)</f>
        <v>18760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21478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20641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1.1499999999999999</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3413</v>
      </c>
      <c r="D15" s="1887" t="s">
        <v>3413</v>
      </c>
      <c r="E15" s="1888" t="s">
        <v>3414</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1.1499999999999999</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687</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0.05</v>
      </c>
      <c r="H24" s="1902" t="s">
        <v>2008</v>
      </c>
      <c r="I24" s="725">
        <f>SUMIF('数据-取费表'!C6:C15,E2,'数据-取费表'!F6:F15)/COUNTIF('数据-取费表'!C6:C15,E2)</f>
        <v>70</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1.1087</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1.1087</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1.1087</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1.1087</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1.0683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26986</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6747</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12699</v>
      </c>
      <c r="D37" s="1940"/>
      <c r="E37" s="163">
        <f>ROUND(C37*D37/10000,0)</f>
        <v>0</v>
      </c>
      <c r="F37" s="163">
        <f>SUMIF(修正!A57:A68,G2,修正!B57:B68)</f>
        <v>0.6</v>
      </c>
      <c r="G37" s="163">
        <f>ROUND(IF(E2="工业",C37*$M$42,C37*$M$41),0)</f>
        <v>3175</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6350</v>
      </c>
      <c r="D38" s="1940"/>
      <c r="E38" s="163">
        <f t="shared" ref="E38:E42" si="4">ROUND(C38*D38/10000,0)</f>
        <v>0</v>
      </c>
      <c r="F38" s="163">
        <f>SUMIF(修正!A57:A68,G2,修正!C57:C68)</f>
        <v>0.3</v>
      </c>
      <c r="G38" s="163">
        <f>ROUND(IF(E2="工业",C38*$M$42,C38*$M$41),0)</f>
        <v>1588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5291</v>
      </c>
      <c r="D39" s="1940"/>
      <c r="E39" s="163">
        <f t="shared" si="4"/>
        <v>0</v>
      </c>
      <c r="F39" s="163">
        <f>SUMIF(修正!A57:A68,G2,修正!D57:D68)</f>
        <v>0.25</v>
      </c>
      <c r="G39" s="163">
        <f>ROUND(IF(E2="工业",C39*$M$42,C39*$M$41),0)</f>
        <v>1323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5291</v>
      </c>
      <c r="D40" s="1940"/>
      <c r="E40" s="163">
        <f t="shared" si="4"/>
        <v>0</v>
      </c>
      <c r="F40" s="167">
        <f>SUMIF(修正!A57:A68,G2,修正!E57:E68)</f>
        <v>0.25</v>
      </c>
      <c r="G40" s="163">
        <f>ROUND(IF(E2="工业",C40*$M$42,C40*$M$41),0)</f>
        <v>1323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5291</v>
      </c>
      <c r="D41" s="1940"/>
      <c r="E41" s="163">
        <f t="shared" si="4"/>
        <v>0</v>
      </c>
      <c r="F41" s="167">
        <f>SUMIF(修正!A57:A68,G2,修正!F57:F68)</f>
        <v>0.25</v>
      </c>
      <c r="G41" s="163">
        <f>ROUND(IF(E2="工业",C41*$M$42,C41*$M$41),0)</f>
        <v>1323</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3175</v>
      </c>
      <c r="D42" s="1945"/>
      <c r="E42" s="179">
        <f t="shared" si="4"/>
        <v>0</v>
      </c>
      <c r="F42" s="723">
        <f>SUMIF(修正!A57:A68,G2,修正!G57:G68)</f>
        <v>0.15</v>
      </c>
      <c r="G42" s="179">
        <f>ROUND(IF(E2="工业",C42*$M$42,C42*$M$41),0)</f>
        <v>794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1.0683</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3416</v>
      </c>
      <c r="D72" s="1002">
        <f t="shared" ref="D72:D80" si="17">SUMIF($J$71:$N$71,C72,J72:N72)</f>
        <v>9.5999999999999992E-3</v>
      </c>
      <c r="E72" s="702">
        <f>ROUND(SUM(D72:D80),4)</f>
        <v>6.83E-2</v>
      </c>
      <c r="F72" s="1675">
        <f>IF(E2="住宅",SUMIF(L1:L12,G2,N1:N12),"——")</f>
        <v>9.6000000000000002E-2</v>
      </c>
      <c r="G72" s="1000">
        <v>9.5999999999999992E-3</v>
      </c>
      <c r="H72" s="1003">
        <f t="shared" ref="H72:H80" si="18">IFERROR(ROUNDDOWN($F$72*I72/2,4),"——")</f>
        <v>9.5999999999999992E-3</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3417</v>
      </c>
      <c r="D73" s="1002">
        <f t="shared" si="17"/>
        <v>2.4799999999999999E-2</v>
      </c>
      <c r="E73" s="705"/>
      <c r="F73" s="1675"/>
      <c r="G73" s="1000">
        <v>1.24E-2</v>
      </c>
      <c r="H73" s="1003">
        <f t="shared" si="18"/>
        <v>1.24E-2</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t="s">
        <v>3416</v>
      </c>
      <c r="D74" s="1002">
        <f t="shared" si="17"/>
        <v>4.7999999999999996E-3</v>
      </c>
      <c r="E74" s="705"/>
      <c r="F74" s="1675"/>
      <c r="G74" s="1000">
        <v>4.7999999999999996E-3</v>
      </c>
      <c r="H74" s="1003">
        <f t="shared" si="18"/>
        <v>4.7999999999999996E-3</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3444</v>
      </c>
      <c r="D75" s="1002">
        <f t="shared" si="17"/>
        <v>0</v>
      </c>
      <c r="E75" s="705"/>
      <c r="F75" s="1675"/>
      <c r="G75" s="1000">
        <v>2.3999999999999998E-3</v>
      </c>
      <c r="H75" s="1003">
        <f t="shared" si="18"/>
        <v>2.3999999999999998E-3</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c r="A76" s="1970" t="s">
        <v>2059</v>
      </c>
      <c r="B76" s="1240" t="str">
        <f>估价对象房地状况!C21</f>
        <v>估价对象所在区域公共配套设施齐备情况</v>
      </c>
      <c r="C76" s="1887" t="s">
        <v>3417</v>
      </c>
      <c r="D76" s="1002">
        <f t="shared" si="17"/>
        <v>7.6E-3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c r="A77" s="1970" t="s">
        <v>2060</v>
      </c>
      <c r="B77" s="1240" t="str">
        <f>估价对象房地状况!C22</f>
        <v>估价对象所在区域基础设施水平</v>
      </c>
      <c r="C77" s="1887" t="s">
        <v>3417</v>
      </c>
      <c r="D77" s="1002">
        <f t="shared" si="17"/>
        <v>8.6E-3</v>
      </c>
      <c r="E77" s="705"/>
      <c r="F77" s="1675"/>
      <c r="G77" s="1000">
        <v>4.3E-3</v>
      </c>
      <c r="H77" s="1003">
        <f t="shared" si="18"/>
        <v>4.3E-3</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c r="A78" s="1970" t="s">
        <v>2057</v>
      </c>
      <c r="B78" s="1975" t="s">
        <v>2058</v>
      </c>
      <c r="C78" s="1887" t="s">
        <v>3417</v>
      </c>
      <c r="D78" s="1002">
        <f t="shared" si="17"/>
        <v>4.7999999999999996E-3</v>
      </c>
      <c r="E78" s="705"/>
      <c r="F78" s="1675"/>
      <c r="G78" s="1000">
        <v>2.3999999999999998E-3</v>
      </c>
      <c r="H78" s="1003">
        <f t="shared" si="18"/>
        <v>2.3999999999999998E-3</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c r="A79" s="1970" t="s">
        <v>2061</v>
      </c>
      <c r="B79" s="1973" t="str">
        <f>估价对象房地状况!C20</f>
        <v>区域自然环境：；人文环境；综合评价环境状况一般</v>
      </c>
      <c r="C79" s="1887" t="s">
        <v>3416</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thickBot="1">
      <c r="A80" s="1977" t="s">
        <v>2068</v>
      </c>
      <c r="B80" s="1981"/>
      <c r="C80" s="1887" t="s">
        <v>3416</v>
      </c>
      <c r="D80" s="1002">
        <f t="shared" si="17"/>
        <v>2.3999999999999998E-3</v>
      </c>
      <c r="E80" s="706"/>
      <c r="F80" s="1675"/>
      <c r="G80" s="1000">
        <v>2.3999999999999998E-3</v>
      </c>
      <c r="H80" s="1003">
        <f t="shared" si="18"/>
        <v>2.3999999999999998E-3</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0.91379999999999995</v>
      </c>
      <c r="E116" s="162" t="s">
        <v>1936</v>
      </c>
      <c r="F116" s="3102" t="str">
        <f>E2</f>
        <v>住宅</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xr:uid="{25A8D7C0-5837-40E2-90D3-62E1EB1E81C5}">
      <formula1>"不用分区数据,中心城区,中心城区以外"</formula1>
    </dataValidation>
    <dataValidation type="list" allowBlank="1" showInputMessage="1" showErrorMessage="1" sqref="H20:O20" xr:uid="{6F6202C8-49F7-4928-876F-9681AFAE6203}">
      <formula1>七通一平</formula1>
    </dataValidation>
    <dataValidation type="list" allowBlank="1" showInputMessage="1" showErrorMessage="1" sqref="H23" xr:uid="{9BE52498-0BDE-4255-BC24-80A56F75915D}">
      <formula1>"地价指数,季度增幅（自定义）,按公示增长率计算"</formula1>
    </dataValidation>
    <dataValidation type="list" allowBlank="1" showInputMessage="1" showErrorMessage="1" sqref="C61:C69 C72:C80 C50:C58 C83:C91 C93:C101" xr:uid="{A49A8887-A5B9-41C0-930B-B7D112708054}">
      <formula1>五等判定</formula1>
    </dataValidation>
    <dataValidation type="list" allowBlank="1" showInputMessage="1" showErrorMessage="1" sqref="E3" xr:uid="{7F5A3E26-2712-4447-AD87-422ECB42F855}">
      <formula1>二级分类</formula1>
    </dataValidation>
    <dataValidation type="list" allowBlank="1" showInputMessage="1" showErrorMessage="1" sqref="C8" xr:uid="{7018F802-3D59-4B78-A0B3-3621C892548E}">
      <formula1>商业街名称</formula1>
    </dataValidation>
    <dataValidation type="list" allowBlank="1" showInputMessage="1" showErrorMessage="1" sqref="F3" xr:uid="{7FBE71EB-18BD-4425-AB6B-E844A41829D9}">
      <formula1>"宗地容积率,估价对象容积率,自定义容积率"</formula1>
    </dataValidation>
    <dataValidation type="list" allowBlank="1" showInputMessage="1" showErrorMessage="1" sqref="E2" xr:uid="{E0507001-A73C-4713-B616-A4893552DFD5}">
      <formula1>"商业,办公,住宅,工业,公共服务"</formula1>
    </dataValidation>
    <dataValidation type="list" allowBlank="1" showInputMessage="1" showErrorMessage="1" sqref="F21" xr:uid="{7FCE90A0-E709-461A-AA8C-3BD32AD584E9}">
      <formula1>"与级别开发程度一致,与级别开发程度不一致"</formula1>
    </dataValidation>
    <dataValidation type="list" allowBlank="1" showInputMessage="1" showErrorMessage="1" sqref="B25" xr:uid="{A95C67BC-A9E9-4BC7-8BC1-8B90A11AAC32}">
      <formula1>"容积率修正,楼层修正"</formula1>
    </dataValidation>
    <dataValidation type="list" allowBlank="1" showInputMessage="1" showErrorMessage="1" sqref="C15:D15" xr:uid="{F1A61080-C804-437A-9032-1C86F1787610}">
      <formula1>"有,无"</formula1>
    </dataValidation>
    <dataValidation type="list" allowBlank="1" showInputMessage="1" showErrorMessage="1" sqref="E15" xr:uid="{8EB6D4E5-36D5-421C-947A-A0E96E606542}">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54" sqref="C5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21763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2449</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17153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14497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12786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12288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25.5">
      <c r="A8" s="3010"/>
      <c r="B8" s="162" t="s">
        <v>1957</v>
      </c>
      <c r="C8" s="1870" t="s">
        <v>3419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5.5E-2</v>
      </c>
      <c r="H24" s="1902" t="s">
        <v>2008</v>
      </c>
      <c r="I24" s="725">
        <f>SUMIF('数据-取费表'!C6:C15,E2,'数据-取费表'!F6:F15)/COUNTIF('数据-取费表'!C6:C15,E2)</f>
        <v>40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3418</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1.0924</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1.0924</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8694</v>
      </c>
      <c r="D37" s="1940"/>
      <c r="E37" s="163">
        <f>ROUND(C37*D37/10000,0)</f>
        <v>0</v>
      </c>
      <c r="F37" s="163">
        <f>SUMIF(修正!A57:A68,G2,修正!B57:B68)</f>
        <v>0.6</v>
      </c>
      <c r="G37" s="163">
        <f>ROUND(IF(E2="工业",C37*$M$42,C37*$M$41),0)</f>
        <v>2174</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4347</v>
      </c>
      <c r="D38" s="1940"/>
      <c r="E38" s="163">
        <f t="shared" ref="E38:E42" si="4">ROUND(C38*D38/10000,0)</f>
        <v>0</v>
      </c>
      <c r="F38" s="163">
        <f>SUMIF(修正!A57:A68,G2,修正!C57:C68)</f>
        <v>0.3</v>
      </c>
      <c r="G38" s="163">
        <f>ROUND(IF(E2="工业",C38*$M$42,C38*$M$41),0)</f>
        <v>1087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3623</v>
      </c>
      <c r="D39" s="1940"/>
      <c r="E39" s="163">
        <f t="shared" si="4"/>
        <v>0</v>
      </c>
      <c r="F39" s="163">
        <f>SUMIF(修正!A57:A68,G2,修正!D57:D68)</f>
        <v>0.25</v>
      </c>
      <c r="G39" s="163">
        <f>ROUND(IF(E2="工业",C39*$M$42,C39*$M$41),0)</f>
        <v>906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3623</v>
      </c>
      <c r="D40" s="1940"/>
      <c r="E40" s="163">
        <f t="shared" si="4"/>
        <v>0</v>
      </c>
      <c r="F40" s="167">
        <f>SUMIF(修正!A57:A68,G2,修正!E57:E68)</f>
        <v>0.25</v>
      </c>
      <c r="G40" s="163">
        <f>ROUND(IF(E2="工业",C40*$M$42,C40*$M$41),0)</f>
        <v>906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3623</v>
      </c>
      <c r="D41" s="1940"/>
      <c r="E41" s="163">
        <f t="shared" si="4"/>
        <v>0</v>
      </c>
      <c r="F41" s="167">
        <f>SUMIF(修正!A57:A68,G2,修正!F57:F68)</f>
        <v>0.25</v>
      </c>
      <c r="G41" s="163">
        <f>ROUND(IF(E2="工业",C41*$M$42,C41*$M$41),0)</f>
        <v>906</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2174</v>
      </c>
      <c r="D42" s="1945"/>
      <c r="E42" s="179">
        <f t="shared" si="4"/>
        <v>0</v>
      </c>
      <c r="F42" s="723">
        <f>SUMIF(修正!A57:A68,G2,修正!G57:G68)</f>
        <v>0.15</v>
      </c>
      <c r="G42" s="179">
        <f>ROUND(IF(E2="工业",C42*$M$42,C42*$M$41),0)</f>
        <v>544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5.5E-2</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3416</v>
      </c>
      <c r="D50" s="1002">
        <f t="shared" ref="D50:D58" si="7">SUMIF($J$49:$N$49,C50,J50:N50)</f>
        <v>1.47E-2</v>
      </c>
      <c r="E50" s="702">
        <f>ROUND(SUM(D50:D58),4)</f>
        <v>6.4100000000000004E-2</v>
      </c>
      <c r="F50" s="1675">
        <f>IF(E2="商业",SUMIF(L1:L12,G2,N1:N12),"——")</f>
        <v>9.8000000000000004E-2</v>
      </c>
      <c r="G50" s="1000">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3417</v>
      </c>
      <c r="D51" s="1002">
        <f t="shared" si="7"/>
        <v>2.1399999999999999E-2</v>
      </c>
      <c r="E51" s="703"/>
      <c r="F51" s="1675"/>
      <c r="G51" s="1000">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3416</v>
      </c>
      <c r="D52" s="1002">
        <f t="shared" si="7"/>
        <v>5.7999999999999996E-3</v>
      </c>
      <c r="E52" s="703"/>
      <c r="F52" s="1675"/>
      <c r="G52" s="1000">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3416</v>
      </c>
      <c r="D53" s="1002">
        <f t="shared" si="7"/>
        <v>2.3999999999999998E-3</v>
      </c>
      <c r="E53" s="703"/>
      <c r="F53" s="1675"/>
      <c r="G53" s="1000">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3444</v>
      </c>
      <c r="D54" s="1002">
        <f t="shared" si="7"/>
        <v>0</v>
      </c>
      <c r="E54" s="703"/>
      <c r="F54" s="1675"/>
      <c r="G54" s="1000">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3417</v>
      </c>
      <c r="D55" s="1002">
        <f t="shared" si="7"/>
        <v>4.7999999999999996E-3</v>
      </c>
      <c r="E55" s="703"/>
      <c r="F55" s="1675"/>
      <c r="G55" s="1000">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3417</v>
      </c>
      <c r="D56" s="1002">
        <f t="shared" si="7"/>
        <v>4.7999999999999996E-3</v>
      </c>
      <c r="E56" s="703"/>
      <c r="F56" s="1675"/>
      <c r="G56" s="1000">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3417</v>
      </c>
      <c r="D57" s="1002">
        <f t="shared" si="7"/>
        <v>7.7999999999999996E-3</v>
      </c>
      <c r="E57" s="703"/>
      <c r="F57" s="1675"/>
      <c r="G57" s="1000">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3416</v>
      </c>
      <c r="D58" s="1002">
        <f t="shared" si="7"/>
        <v>2.3999999999999998E-3</v>
      </c>
      <c r="E58" s="704"/>
      <c r="F58" s="1675"/>
      <c r="G58" s="1000">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0.92659999999999998</v>
      </c>
      <c r="E116" s="162" t="s">
        <v>3314</v>
      </c>
      <c r="F116" s="3102" t="str">
        <f>E2</f>
        <v>商业</v>
      </c>
      <c r="G116" s="162" t="s">
        <v>3315</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3329</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3330</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3331</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8287-ED4D-4DFE-9A02-00B24A596F1F}">
  <sheetPr>
    <tabColor rgb="FF92D050"/>
  </sheetPr>
  <dimension ref="A1:AK122"/>
  <sheetViews>
    <sheetView view="pageBreakPreview" topLeftCell="A22" zoomScaleNormal="80" zoomScaleSheetLayoutView="100" workbookViewId="0">
      <selection activeCell="C65" sqref="C6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27489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3420</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21667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16300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18312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17115</v>
      </c>
      <c r="D5" s="1252">
        <f>ROUND(C6*C17+C20,0)</f>
        <v>16300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16151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15521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5.5E-2</v>
      </c>
      <c r="H24" s="1902" t="s">
        <v>2008</v>
      </c>
      <c r="I24" s="725">
        <f>SUMIF('数据-取费表'!C6:C15,E2,'数据-取费表'!F6:F15)/COUNTIF('数据-取费表'!C6:C15,E2)</f>
        <v>50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1.1056999999999999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1.1056999999999999</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1.0690999999999999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20238</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5060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10459</v>
      </c>
      <c r="D37" s="1940"/>
      <c r="E37" s="163">
        <f>ROUND(C37*D37/10000,0)</f>
        <v>0</v>
      </c>
      <c r="F37" s="163">
        <f>SUMIF(修正!A57:A68,G2,修正!B57:B68)</f>
        <v>0.6</v>
      </c>
      <c r="G37" s="163">
        <f>ROUND(IF(E2="工业",C37*$M$42,C37*$M$41),0)</f>
        <v>2615</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5229</v>
      </c>
      <c r="D38" s="1940"/>
      <c r="E38" s="163">
        <f t="shared" ref="E38:E42" si="4">ROUND(C38*D38/10000,0)</f>
        <v>0</v>
      </c>
      <c r="F38" s="163">
        <f>SUMIF(修正!A57:A68,G2,修正!C57:C68)</f>
        <v>0.3</v>
      </c>
      <c r="G38" s="163">
        <f>ROUND(IF(E2="工业",C38*$M$42,C38*$M$41),0)</f>
        <v>1307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4358</v>
      </c>
      <c r="D39" s="1940"/>
      <c r="E39" s="163">
        <f t="shared" si="4"/>
        <v>0</v>
      </c>
      <c r="F39" s="163">
        <f>SUMIF(修正!A57:A68,G2,修正!D57:D68)</f>
        <v>0.25</v>
      </c>
      <c r="G39" s="163">
        <f>ROUND(IF(E2="工业",C39*$M$42,C39*$M$41),0)</f>
        <v>1090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4358</v>
      </c>
      <c r="D40" s="1940"/>
      <c r="E40" s="163">
        <f t="shared" si="4"/>
        <v>0</v>
      </c>
      <c r="F40" s="167">
        <f>SUMIF(修正!A57:A68,G2,修正!E57:E68)</f>
        <v>0.25</v>
      </c>
      <c r="G40" s="163">
        <f>ROUND(IF(E2="工业",C40*$M$42,C40*$M$41),0)</f>
        <v>1090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4358</v>
      </c>
      <c r="D41" s="1940"/>
      <c r="E41" s="163">
        <f t="shared" si="4"/>
        <v>0</v>
      </c>
      <c r="F41" s="167">
        <f>SUMIF(修正!A57:A68,G2,修正!F57:F68)</f>
        <v>0.25</v>
      </c>
      <c r="G41" s="163">
        <f>ROUND(IF(E2="工业",C41*$M$42,C41*$M$41),0)</f>
        <v>1090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2615</v>
      </c>
      <c r="D42" s="1945"/>
      <c r="E42" s="179">
        <f t="shared" si="4"/>
        <v>0</v>
      </c>
      <c r="F42" s="723">
        <f>SUMIF(修正!A57:A68,G2,修正!G57:G68)</f>
        <v>0.15</v>
      </c>
      <c r="G42" s="179">
        <f>ROUND(IF(E2="工业",C42*$M$42,C42*$M$41),0)</f>
        <v>654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5.5E-2</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1.0690999999999999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3416</v>
      </c>
      <c r="D61" s="1002">
        <f t="shared" ref="D61:D69" si="12">SUMIF($J$60:$N$60,C61,J61:N61)</f>
        <v>1.2200000000000001E-2</v>
      </c>
      <c r="E61" s="702">
        <f>ROUND(SUM(D61:D69),4)</f>
        <v>6.9099999999999995E-2</v>
      </c>
      <c r="F61" s="1675">
        <f>IF(E2="办公",SUMIF(L1:L12,G2,N1:N12),"——")</f>
        <v>9.8000000000000004E-2</v>
      </c>
      <c r="G61" s="1000">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3417</v>
      </c>
      <c r="D62" s="1002">
        <f t="shared" si="12"/>
        <v>2.5399999999999999E-2</v>
      </c>
      <c r="E62" s="703"/>
      <c r="F62" s="1675"/>
      <c r="G62" s="1000">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3416</v>
      </c>
      <c r="D63" s="1002">
        <f t="shared" si="12"/>
        <v>5.3E-3</v>
      </c>
      <c r="E63" s="703"/>
      <c r="F63" s="1675"/>
      <c r="G63" s="1000">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3416</v>
      </c>
      <c r="D64" s="1002">
        <f t="shared" si="12"/>
        <v>2.3999999999999998E-3</v>
      </c>
      <c r="E64" s="703"/>
      <c r="F64" s="1675"/>
      <c r="G64" s="1000">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0</v>
      </c>
      <c r="E65" s="703"/>
      <c r="F65" s="1675"/>
      <c r="G65" s="1000">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3417</v>
      </c>
      <c r="D66" s="1002">
        <f t="shared" si="12"/>
        <v>5.7999999999999996E-3</v>
      </c>
      <c r="E66" s="703"/>
      <c r="F66" s="1675"/>
      <c r="G66" s="1000">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3417</v>
      </c>
      <c r="D67" s="1002">
        <f t="shared" si="12"/>
        <v>5.7999999999999996E-3</v>
      </c>
      <c r="E67" s="703"/>
      <c r="F67" s="1675"/>
      <c r="G67" s="1000">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3417</v>
      </c>
      <c r="D68" s="1002">
        <f t="shared" si="12"/>
        <v>8.8000000000000005E-3</v>
      </c>
      <c r="E68" s="703"/>
      <c r="F68" s="1675"/>
      <c r="G68" s="1000">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3416</v>
      </c>
      <c r="D69" s="1002">
        <f t="shared" si="12"/>
        <v>3.3999999999999998E-3</v>
      </c>
      <c r="E69" s="704"/>
      <c r="F69" s="1675"/>
      <c r="G69" s="1000">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0.91879999999999995</v>
      </c>
      <c r="E116" s="162" t="s">
        <v>1936</v>
      </c>
      <c r="F116" s="3102" t="str">
        <f>E2</f>
        <v>办公</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50:H58 H61:H69 H72:H80 H83:H91">
    <cfRule type="cellIs" dxfId="13" priority="2" operator="notEqual">
      <formula>"——"</formula>
    </cfRule>
  </conditionalFormatting>
  <conditionalFormatting sqref="H93:H101">
    <cfRule type="cellIs" dxfId="12" priority="1" operator="notEqual">
      <formula>"——"</formula>
    </cfRule>
  </conditionalFormatting>
  <dataValidations count="12">
    <dataValidation type="list" allowBlank="1" showInputMessage="1" showErrorMessage="1" sqref="J23" xr:uid="{33C6B64C-B544-493C-B4B2-5C26BE5C6C5E}">
      <formula1>"不用分区数据,中心城区,中心城区以外"</formula1>
    </dataValidation>
    <dataValidation type="list" allowBlank="1" showInputMessage="1" showErrorMessage="1" sqref="H20:O20" xr:uid="{1E18504B-EC38-4653-9970-D04E65951E63}">
      <formula1>七通一平</formula1>
    </dataValidation>
    <dataValidation type="list" allowBlank="1" showInputMessage="1" showErrorMessage="1" sqref="H23" xr:uid="{F17A5F95-7391-4C95-B97B-9DDA1ED6653B}">
      <formula1>"地价指数,季度增幅（自定义）,按公示增长率计算"</formula1>
    </dataValidation>
    <dataValidation type="list" allowBlank="1" showInputMessage="1" showErrorMessage="1" sqref="C61:C69 C72:C80 C50:C58 C83:C91 C93:C101" xr:uid="{7EBA04CC-2C66-4D70-8E37-29CC32B245E6}">
      <formula1>五等判定</formula1>
    </dataValidation>
    <dataValidation type="list" allowBlank="1" showInputMessage="1" showErrorMessage="1" sqref="E3" xr:uid="{07D250DD-ADB8-4506-BC7E-D415886CF0F8}">
      <formula1>二级分类</formula1>
    </dataValidation>
    <dataValidation type="list" allowBlank="1" showInputMessage="1" showErrorMessage="1" sqref="C8" xr:uid="{8464ECB7-92C1-4392-B475-BEE7AFB38FB9}">
      <formula1>商业街名称</formula1>
    </dataValidation>
    <dataValidation type="list" allowBlank="1" showInputMessage="1" showErrorMessage="1" sqref="F3" xr:uid="{43364EA9-BE18-4315-9663-A601C5D15DF0}">
      <formula1>"宗地容积率,估价对象容积率,自定义容积率"</formula1>
    </dataValidation>
    <dataValidation type="list" allowBlank="1" showInputMessage="1" showErrorMessage="1" sqref="E2" xr:uid="{EC7EA970-E83A-44F5-8CEF-5F6B6FD29E8E}">
      <formula1>"商业,办公,住宅,工业,公共服务"</formula1>
    </dataValidation>
    <dataValidation type="list" allowBlank="1" showInputMessage="1" showErrorMessage="1" sqref="F21" xr:uid="{A8C6B4E0-1B5E-452C-B968-8E2D4D37A5EC}">
      <formula1>"与级别开发程度一致,与级别开发程度不一致"</formula1>
    </dataValidation>
    <dataValidation type="list" allowBlank="1" showInputMessage="1" showErrorMessage="1" sqref="B25" xr:uid="{6BE8269F-25D4-48F9-90CA-B29F1564AEC8}">
      <formula1>"容积率修正,楼层修正"</formula1>
    </dataValidation>
    <dataValidation type="list" allowBlank="1" showInputMessage="1" showErrorMessage="1" sqref="C15:D15" xr:uid="{98C4DFDA-980E-4C43-AA6F-E95D8E8900F5}">
      <formula1>"有,无"</formula1>
    </dataValidation>
    <dataValidation type="list" allowBlank="1" showInputMessage="1" showErrorMessage="1" sqref="E15" xr:uid="{51FA9142-DED5-4A36-A99B-B573097C15FA}">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4E29-FEE7-4507-9F1B-A54326BC4B1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1" t="s">
        <v>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7578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2498</v>
      </c>
      <c r="F3" s="1848" t="s">
        <v>3415</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5973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4390</v>
      </c>
      <c r="N4" s="813">
        <f>SUMPRODUCT((因素修正幅度!B55:B86=I2)*(因素修正幅度!C3:G3=E2)*(因素修正幅度!C55:G86))</f>
        <v>0.1</v>
      </c>
      <c r="O4" s="1056"/>
      <c r="P4" s="1056"/>
      <c r="Q4" s="1056"/>
      <c r="R4" s="1129">
        <v>3</v>
      </c>
      <c r="S4" s="3064">
        <f>ROUND(SUMPRODUCT((B106:B110=R4)*(C105:N105=G2)*(C106:N110)),4)</f>
        <v>1.0004999999999999</v>
      </c>
      <c r="T4" s="3064">
        <f t="shared" si="0"/>
        <v>5048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4390</v>
      </c>
      <c r="D5" s="1252">
        <f>ROUND(C6*C17+C20,0)</f>
        <v>4390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4452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4390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4278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1.6</v>
      </c>
      <c r="AA7" s="1133"/>
      <c r="AB7" s="1133"/>
      <c r="AC7" s="1134"/>
      <c r="AD7" s="1135"/>
      <c r="AE7" s="1135"/>
      <c r="AF7" s="1135"/>
      <c r="AG7" s="1135"/>
      <c r="AH7" s="1135"/>
      <c r="AI7" s="1135"/>
      <c r="AJ7" s="1136"/>
    </row>
    <row r="8" spans="1:36" ht="25.5">
      <c r="A8" s="3010"/>
      <c r="B8" s="162" t="s">
        <v>1957</v>
      </c>
      <c r="C8" s="1870" t="s">
        <v>3419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3413</v>
      </c>
      <c r="D15" s="1887" t="s">
        <v>3413</v>
      </c>
      <c r="E15" s="1888" t="s">
        <v>3414</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v>
      </c>
      <c r="D16" s="3025">
        <v>1</v>
      </c>
      <c r="E16" s="3025">
        <v>1</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45702</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存贷款利率!E27/100</f>
        <v>4.3499999999999997E-2</v>
      </c>
      <c r="F24" s="1902" t="s">
        <v>1999</v>
      </c>
      <c r="G24" s="724">
        <f>SUMIF(M30:Q30,E2,M33:Q33)</f>
        <v>0.05</v>
      </c>
      <c r="H24" s="1902" t="s">
        <v>2008</v>
      </c>
      <c r="I24" s="725">
        <f>SUMIF('数据-取费表'!C6:C15,E2,'数据-取费表'!F6:F15)/COUNTIF('数据-取费表'!C6:C15,E2)</f>
        <v>50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0.97950000000000004</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0.97950000000000004</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0.97950000000000004</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0.97950000000000004</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1.0615000000000001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4942</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741</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3027</v>
      </c>
      <c r="D37" s="1940"/>
      <c r="E37" s="163">
        <f>ROUND(C37*D37/10000,0)</f>
        <v>0</v>
      </c>
      <c r="F37" s="163">
        <f>SUMIF(修正!A57:A68,G2,修正!B57:B68)</f>
        <v>0.6</v>
      </c>
      <c r="G37" s="163">
        <f>ROUND(IF(E2="工业",C37*$M$42,C37*$M$41),0)</f>
        <v>454</v>
      </c>
      <c r="H37" s="163">
        <f>D37</f>
        <v>0</v>
      </c>
      <c r="I37" s="163">
        <f>ROUND(G37*H37/10000,0)</f>
        <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1514</v>
      </c>
      <c r="D38" s="1940"/>
      <c r="E38" s="163">
        <f t="shared" ref="E38:E42" si="4">ROUND(C38*D38/10000,0)</f>
        <v>0</v>
      </c>
      <c r="F38" s="163">
        <f>SUMIF(修正!A57:A68,G2,修正!C57:C68)</f>
        <v>0.3</v>
      </c>
      <c r="G38" s="163">
        <f>ROUND(IF(E2="工业",C38*$M$42,C38*$M$41),0)</f>
        <v>227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1261</v>
      </c>
      <c r="D39" s="1940"/>
      <c r="E39" s="163">
        <f t="shared" si="4"/>
        <v>0</v>
      </c>
      <c r="F39" s="163">
        <f>SUMIF(修正!A57:A68,G2,修正!D57:D68)</f>
        <v>0.25</v>
      </c>
      <c r="G39" s="163">
        <f>ROUND(IF(E2="工业",C39*$M$42,C39*$M$41),0)</f>
        <v>189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1261</v>
      </c>
      <c r="D40" s="1940"/>
      <c r="E40" s="163">
        <f t="shared" si="4"/>
        <v>0</v>
      </c>
      <c r="F40" s="167">
        <f>SUMIF(修正!A57:A68,G2,修正!E57:E68)</f>
        <v>0.25</v>
      </c>
      <c r="G40" s="163">
        <f>ROUND(IF(E2="工业",C40*$M$42,C40*$M$41),0)</f>
        <v>189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1261</v>
      </c>
      <c r="D41" s="1940"/>
      <c r="E41" s="163">
        <f t="shared" si="4"/>
        <v>0</v>
      </c>
      <c r="F41" s="167">
        <f>SUMIF(修正!A57:A68,G2,修正!F57:F68)</f>
        <v>0.25</v>
      </c>
      <c r="G41" s="163">
        <f>ROUND(IF(E2="工业",C41*$M$42,C41*$M$41),0)</f>
        <v>189</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757</v>
      </c>
      <c r="D42" s="1945"/>
      <c r="E42" s="179">
        <f t="shared" si="4"/>
        <v>0</v>
      </c>
      <c r="F42" s="723">
        <f>SUMIF(修正!A57:A68,G2,修正!G57:G68)</f>
        <v>0.15</v>
      </c>
      <c r="G42" s="179">
        <f>ROUND(IF(E2="工业",C42*$M$42,C42*$M$41),0)</f>
        <v>114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1</v>
      </c>
      <c r="D44" s="163" t="s">
        <v>1999</v>
      </c>
      <c r="E44" s="1991">
        <f>G24</f>
        <v>0.05</v>
      </c>
      <c r="F44" s="163" t="s">
        <v>2008</v>
      </c>
      <c r="G44" s="175">
        <v>50</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75" hidden="1" thickBot="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5" hidden="1" thickBot="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 hidden="1" thickBot="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9" hidden="1" thickBot="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75" hidden="1" thickBot="1">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5" hidden="1" thickBot="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75" hidden="1" thickBot="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75" hidden="1" thickBot="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25" hidden="1" thickBot="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25" hidden="1" thickBot="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75" hidden="1" thickBot="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5" hidden="1" thickBot="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 hidden="1" thickBot="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9" hidden="1" thickBot="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75" hidden="1" thickBot="1">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5" hidden="1" thickBot="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75" hidden="1" thickBot="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75" hidden="1" thickBot="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25" hidden="1" thickBot="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25" hidden="1" thickBot="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1.0707</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t="s">
        <v>3416</v>
      </c>
      <c r="D72" s="1002">
        <f t="shared" ref="D72:D80" si="17">SUMIF($J$71:$N$71,C72,J72:N72)</f>
        <v>9.5999999999999992E-3</v>
      </c>
      <c r="E72" s="702">
        <f>ROUND(SUM(D72:D80),4)</f>
        <v>7.0699999999999999E-2</v>
      </c>
      <c r="F72" s="1675" t="str">
        <f>IF(E2="住宅",SUMIF(L1:L12,G2,N1:N12),"——")</f>
        <v>——</v>
      </c>
      <c r="G72" s="1000">
        <v>9.5999999999999992E-3</v>
      </c>
      <c r="H72" s="1003" t="str">
        <f t="shared" ref="H72:H80" si="18">IFERROR(ROUNDDOWN($F$72*I72/2,4),"——")</f>
        <v>——</v>
      </c>
      <c r="I72" s="3069">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t="s">
        <v>3417</v>
      </c>
      <c r="D73" s="1002">
        <f t="shared" si="17"/>
        <v>2.4799999999999999E-2</v>
      </c>
      <c r="E73" s="705"/>
      <c r="F73" s="1675"/>
      <c r="G73" s="1000">
        <v>1.24E-2</v>
      </c>
      <c r="H73" s="1003" t="str">
        <f t="shared" si="18"/>
        <v>——</v>
      </c>
      <c r="I73" s="3069">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4" customFormat="1" ht="36" hidden="1">
      <c r="A74" s="3071" t="s">
        <v>3269</v>
      </c>
      <c r="B74" s="1262">
        <f>估价对象房地状况!C19</f>
        <v>0</v>
      </c>
      <c r="C74" s="1887" t="s">
        <v>3416</v>
      </c>
      <c r="D74" s="1002">
        <f t="shared" si="17"/>
        <v>4.7999999999999996E-3</v>
      </c>
      <c r="E74" s="705"/>
      <c r="F74" s="1675"/>
      <c r="G74" s="1000">
        <v>4.7999999999999996E-3</v>
      </c>
      <c r="H74" s="1003" t="str">
        <f t="shared" si="18"/>
        <v>——</v>
      </c>
      <c r="I74" s="3069">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t="s">
        <v>3416</v>
      </c>
      <c r="D75" s="1002">
        <f t="shared" si="17"/>
        <v>2.3999999999999998E-3</v>
      </c>
      <c r="E75" s="705"/>
      <c r="F75" s="1675"/>
      <c r="G75" s="1000">
        <v>2.3999999999999998E-3</v>
      </c>
      <c r="H75" s="1003" t="str">
        <f t="shared" si="18"/>
        <v>——</v>
      </c>
      <c r="I75" s="3069">
        <v>0.05</v>
      </c>
      <c r="J75" s="1001">
        <f t="shared" si="19"/>
        <v>4.7999999999999996E-3</v>
      </c>
      <c r="K75" s="1001">
        <f t="shared" si="20"/>
        <v>2.3999999999999998E-3</v>
      </c>
      <c r="L75" s="1001">
        <v>0</v>
      </c>
      <c r="M75" s="1001">
        <f t="shared" si="21"/>
        <v>-2.3999999999999998E-3</v>
      </c>
      <c r="N75" s="1001">
        <f t="shared" si="21"/>
        <v>-4.7999999999999996E-3</v>
      </c>
      <c r="O75" s="1056"/>
      <c r="P75" s="1056"/>
      <c r="Q75" s="1844"/>
      <c r="Z75" s="1845"/>
      <c r="AA75" s="1895"/>
      <c r="AG75" s="1058"/>
      <c r="AK75" s="1895"/>
    </row>
    <row r="76" spans="1:37" ht="25.5" hidden="1">
      <c r="A76" s="1970" t="s">
        <v>2059</v>
      </c>
      <c r="B76" s="1240" t="str">
        <f>估价对象房地状况!C21</f>
        <v>估价对象所在区域公共配套设施齐备情况</v>
      </c>
      <c r="C76" s="1887" t="s">
        <v>3417</v>
      </c>
      <c r="D76" s="1002">
        <f t="shared" si="17"/>
        <v>7.6E-3</v>
      </c>
      <c r="E76" s="705"/>
      <c r="F76" s="1675"/>
      <c r="G76" s="1000">
        <v>3.8E-3</v>
      </c>
      <c r="H76" s="1003" t="str">
        <f t="shared" si="18"/>
        <v>——</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hidden="1">
      <c r="A77" s="1970" t="s">
        <v>2060</v>
      </c>
      <c r="B77" s="1240" t="str">
        <f>估价对象房地状况!C22</f>
        <v>估价对象所在区域基础设施水平</v>
      </c>
      <c r="C77" s="1887" t="s">
        <v>3417</v>
      </c>
      <c r="D77" s="1002">
        <f t="shared" si="17"/>
        <v>8.6E-3</v>
      </c>
      <c r="E77" s="705"/>
      <c r="F77" s="1675"/>
      <c r="G77" s="1000">
        <v>4.3E-3</v>
      </c>
      <c r="H77" s="1003" t="str">
        <f t="shared" si="18"/>
        <v>——</v>
      </c>
      <c r="I77" s="3069">
        <v>0.09</v>
      </c>
      <c r="J77" s="1001">
        <f t="shared" si="19"/>
        <v>8.6E-3</v>
      </c>
      <c r="K77" s="1001">
        <f t="shared" si="20"/>
        <v>4.3E-3</v>
      </c>
      <c r="L77" s="1001">
        <v>0</v>
      </c>
      <c r="M77" s="1001">
        <f t="shared" si="21"/>
        <v>-4.3E-3</v>
      </c>
      <c r="N77" s="1001">
        <f t="shared" si="21"/>
        <v>-8.6E-3</v>
      </c>
      <c r="O77" s="1056"/>
      <c r="P77" s="1056"/>
      <c r="Z77" s="1845"/>
      <c r="AA77" s="1895"/>
      <c r="AG77" s="1058"/>
      <c r="AK77" s="1895"/>
    </row>
    <row r="78" spans="1:37" ht="24" hidden="1">
      <c r="A78" s="1970" t="s">
        <v>2057</v>
      </c>
      <c r="B78" s="1975" t="s">
        <v>2058</v>
      </c>
      <c r="C78" s="1887" t="s">
        <v>3417</v>
      </c>
      <c r="D78" s="1002">
        <f t="shared" si="17"/>
        <v>4.7999999999999996E-3</v>
      </c>
      <c r="E78" s="705"/>
      <c r="F78" s="1675"/>
      <c r="G78" s="1000">
        <v>2.3999999999999998E-3</v>
      </c>
      <c r="H78" s="1003" t="str">
        <f t="shared" si="18"/>
        <v>——</v>
      </c>
      <c r="I78" s="3069">
        <v>0.05</v>
      </c>
      <c r="J78" s="1001">
        <f t="shared" si="19"/>
        <v>4.7999999999999996E-3</v>
      </c>
      <c r="K78" s="1001">
        <f t="shared" si="20"/>
        <v>2.3999999999999998E-3</v>
      </c>
      <c r="L78" s="1001">
        <v>0</v>
      </c>
      <c r="M78" s="1001">
        <f t="shared" si="21"/>
        <v>-2.3999999999999998E-3</v>
      </c>
      <c r="N78" s="1001">
        <f t="shared" si="21"/>
        <v>-4.7999999999999996E-3</v>
      </c>
      <c r="O78" s="1844"/>
      <c r="P78" s="1844"/>
      <c r="Z78" s="1845"/>
      <c r="AA78" s="1895"/>
      <c r="AG78" s="1058"/>
      <c r="AK78" s="1895"/>
    </row>
    <row r="79" spans="1:37" ht="25.5" hidden="1">
      <c r="A79" s="1970" t="s">
        <v>2061</v>
      </c>
      <c r="B79" s="1973" t="str">
        <f>估价对象房地状况!C20</f>
        <v>区域自然环境：；人文环境；综合评价环境状况一般</v>
      </c>
      <c r="C79" s="1887" t="s">
        <v>3416</v>
      </c>
      <c r="D79" s="1002">
        <f t="shared" si="17"/>
        <v>5.7000000000000002E-3</v>
      </c>
      <c r="E79" s="705"/>
      <c r="F79" s="1675"/>
      <c r="G79" s="1000">
        <v>5.7000000000000002E-3</v>
      </c>
      <c r="H79" s="1003" t="str">
        <f t="shared" si="18"/>
        <v>——</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hidden="1" thickBot="1">
      <c r="A80" s="1977" t="s">
        <v>2068</v>
      </c>
      <c r="B80" s="1981"/>
      <c r="C80" s="1887" t="s">
        <v>3416</v>
      </c>
      <c r="D80" s="1002">
        <f t="shared" si="17"/>
        <v>2.3999999999999998E-3</v>
      </c>
      <c r="E80" s="706"/>
      <c r="F80" s="1675"/>
      <c r="G80" s="1000">
        <v>2.3999999999999998E-3</v>
      </c>
      <c r="H80" s="1003" t="str">
        <f t="shared" si="18"/>
        <v>——</v>
      </c>
      <c r="I80" s="3070">
        <v>0.05</v>
      </c>
      <c r="J80" s="1001">
        <f t="shared" si="19"/>
        <v>4.7999999999999996E-3</v>
      </c>
      <c r="K80" s="1001">
        <f t="shared" si="20"/>
        <v>2.3999999999999998E-3</v>
      </c>
      <c r="L80" s="1001">
        <v>0</v>
      </c>
      <c r="M80" s="1001">
        <f t="shared" si="21"/>
        <v>-2.3999999999999998E-3</v>
      </c>
      <c r="N80" s="1001">
        <f t="shared" si="21"/>
        <v>-4.7999999999999996E-3</v>
      </c>
      <c r="Z80" s="1845"/>
      <c r="AA80" s="1895"/>
      <c r="AG80" s="1058"/>
      <c r="AK80" s="1895"/>
    </row>
    <row r="81" spans="1:37" ht="15">
      <c r="A81" s="1967" t="s">
        <v>2069</v>
      </c>
      <c r="B81" s="1968">
        <f>1+E83</f>
        <v>1.0615000000000001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3444</v>
      </c>
      <c r="D83" s="1002">
        <f t="shared" ref="D83:D90" si="22">SUMIF($J$82:$N$82,C83,J83:N83)</f>
        <v>0</v>
      </c>
      <c r="E83" s="702">
        <f>ROUND(SUM(D83:D90),4)</f>
        <v>6.1499999999999999E-2</v>
      </c>
      <c r="F83" s="1675">
        <f>IF(E2="工业",SUMIF(L1:L12,G2,N1:N12),"——")</f>
        <v>0.1</v>
      </c>
      <c r="G83" s="1000">
        <v>1.2999999999999999E-2</v>
      </c>
      <c r="H83" s="1003">
        <f t="shared" ref="H83:H90" si="23">IFERROR(ROUNDDOWN($F$83*I83/2,4),"——")</f>
        <v>1.2999999999999999E-2</v>
      </c>
      <c r="I83" s="3069">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3417</v>
      </c>
      <c r="D84" s="1002">
        <f t="shared" si="22"/>
        <v>0.03</v>
      </c>
      <c r="E84" s="705"/>
      <c r="F84" s="1675"/>
      <c r="G84" s="1000">
        <v>1.4999999999999999E-2</v>
      </c>
      <c r="H84" s="1003">
        <f t="shared" si="23"/>
        <v>1.4999999999999999E-2</v>
      </c>
      <c r="I84" s="3069">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71" t="s">
        <v>3269</v>
      </c>
      <c r="B85" s="1262">
        <f>估价对象房地状况!G17</f>
        <v>0</v>
      </c>
      <c r="C85" s="1887" t="s">
        <v>3416</v>
      </c>
      <c r="D85" s="1002">
        <f t="shared" si="22"/>
        <v>5.0000000000000001E-3</v>
      </c>
      <c r="E85" s="705"/>
      <c r="F85" s="1675"/>
      <c r="G85" s="1000">
        <v>5.0000000000000001E-3</v>
      </c>
      <c r="H85" s="1003">
        <f t="shared" si="23"/>
        <v>5.0000000000000001E-3</v>
      </c>
      <c r="I85" s="3069">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2067</v>
      </c>
      <c r="B86" s="1262">
        <f>估价对象房地状况!G22</f>
        <v>0</v>
      </c>
      <c r="C86" s="1887" t="s">
        <v>3444</v>
      </c>
      <c r="D86" s="1002">
        <f t="shared" si="22"/>
        <v>0</v>
      </c>
      <c r="E86" s="705"/>
      <c r="F86" s="1675"/>
      <c r="G86" s="1000">
        <v>2.5000000000000001E-3</v>
      </c>
      <c r="H86" s="1003">
        <f t="shared" si="23"/>
        <v>2.5000000000000001E-3</v>
      </c>
      <c r="I86" s="3069">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5.5">
      <c r="A87" s="1970" t="s">
        <v>2059</v>
      </c>
      <c r="B87" s="1240" t="str">
        <f>估价对象房地状况!G19</f>
        <v>估价对象所在区域公共配套设施齐备情况</v>
      </c>
      <c r="C87" s="1887" t="s">
        <v>3417</v>
      </c>
      <c r="D87" s="1002">
        <f t="shared" si="22"/>
        <v>6.0000000000000001E-3</v>
      </c>
      <c r="E87" s="705"/>
      <c r="F87" s="1675"/>
      <c r="G87" s="1000">
        <v>3.0000000000000001E-3</v>
      </c>
      <c r="H87" s="1003">
        <f t="shared" si="23"/>
        <v>3.0000000000000001E-3</v>
      </c>
      <c r="I87" s="3069">
        <v>0.06</v>
      </c>
      <c r="J87" s="1001">
        <f t="shared" si="24"/>
        <v>6.0000000000000001E-3</v>
      </c>
      <c r="K87" s="1001">
        <f t="shared" si="25"/>
        <v>3.0000000000000001E-3</v>
      </c>
      <c r="L87" s="1001">
        <v>0</v>
      </c>
      <c r="M87" s="1001">
        <f t="shared" si="26"/>
        <v>-3.0000000000000001E-3</v>
      </c>
      <c r="N87" s="1001">
        <f t="shared" si="26"/>
        <v>-6.0000000000000001E-3</v>
      </c>
    </row>
    <row r="88" spans="1:37" ht="25.5">
      <c r="A88" s="1970" t="s">
        <v>2060</v>
      </c>
      <c r="B88" s="1240" t="str">
        <f>估价对象房地状况!G20</f>
        <v>估价对象所在区域基础设施水平</v>
      </c>
      <c r="C88" s="1887" t="s">
        <v>3417</v>
      </c>
      <c r="D88" s="1002">
        <f t="shared" si="22"/>
        <v>1.2E-2</v>
      </c>
      <c r="E88" s="705"/>
      <c r="F88" s="1675"/>
      <c r="G88" s="1000">
        <v>6.0000000000000001E-3</v>
      </c>
      <c r="H88" s="1003">
        <f t="shared" si="23"/>
        <v>6.0000000000000001E-3</v>
      </c>
      <c r="I88" s="3069">
        <v>0.12</v>
      </c>
      <c r="J88" s="1001">
        <f t="shared" si="24"/>
        <v>1.2E-2</v>
      </c>
      <c r="K88" s="1001">
        <f t="shared" si="25"/>
        <v>6.0000000000000001E-3</v>
      </c>
      <c r="L88" s="1001">
        <v>0</v>
      </c>
      <c r="M88" s="1001">
        <f t="shared" si="26"/>
        <v>-6.0000000000000001E-3</v>
      </c>
      <c r="N88" s="1001">
        <f t="shared" si="26"/>
        <v>-1.2E-2</v>
      </c>
    </row>
    <row r="89" spans="1:37" ht="24">
      <c r="A89" s="1970" t="s">
        <v>2057</v>
      </c>
      <c r="B89" s="1975" t="s">
        <v>2071</v>
      </c>
      <c r="C89" s="1887" t="s">
        <v>3417</v>
      </c>
      <c r="D89" s="1002">
        <f t="shared" si="22"/>
        <v>6.0000000000000001E-3</v>
      </c>
      <c r="E89" s="705"/>
      <c r="F89" s="1675"/>
      <c r="G89" s="1000">
        <v>3.0000000000000001E-3</v>
      </c>
      <c r="H89" s="1003">
        <f t="shared" si="23"/>
        <v>3.0000000000000001E-3</v>
      </c>
      <c r="I89" s="3069">
        <v>0.06</v>
      </c>
      <c r="J89" s="1001">
        <f t="shared" si="24"/>
        <v>6.0000000000000001E-3</v>
      </c>
      <c r="K89" s="1001">
        <f t="shared" si="25"/>
        <v>3.0000000000000001E-3</v>
      </c>
      <c r="L89" s="1001">
        <v>0</v>
      </c>
      <c r="M89" s="1001">
        <f t="shared" si="26"/>
        <v>-3.0000000000000001E-3</v>
      </c>
      <c r="N89" s="1001">
        <f t="shared" si="26"/>
        <v>-6.0000000000000001E-3</v>
      </c>
    </row>
    <row r="90" spans="1:37" ht="39" thickBot="1">
      <c r="A90" s="1977" t="s">
        <v>2072</v>
      </c>
      <c r="B90" s="1982" t="str">
        <f>估价对象房地状况!G18</f>
        <v>该园区内是否有污染型企业，绿化情况，卫生条件，整体环境状况判断</v>
      </c>
      <c r="C90" s="1887" t="s">
        <v>3416</v>
      </c>
      <c r="D90" s="1002">
        <f t="shared" si="22"/>
        <v>2.5000000000000001E-3</v>
      </c>
      <c r="E90" s="706"/>
      <c r="F90" s="1675"/>
      <c r="G90" s="1000">
        <v>2.5000000000000001E-3</v>
      </c>
      <c r="H90" s="1003">
        <f t="shared" si="23"/>
        <v>2.5000000000000001E-3</v>
      </c>
      <c r="I90" s="3070">
        <v>0.05</v>
      </c>
      <c r="J90" s="1001">
        <f t="shared" si="24"/>
        <v>5.0000000000000001E-3</v>
      </c>
      <c r="K90" s="1001">
        <f t="shared" si="25"/>
        <v>2.5000000000000001E-3</v>
      </c>
      <c r="L90" s="1001">
        <v>0</v>
      </c>
      <c r="M90" s="1001">
        <f t="shared" si="26"/>
        <v>-2.5000000000000001E-3</v>
      </c>
      <c r="N90" s="1001">
        <f t="shared" si="26"/>
        <v>-5.0000000000000001E-3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2044</v>
      </c>
      <c r="B92" s="2310"/>
      <c r="C92" s="2310" t="s">
        <v>2046</v>
      </c>
      <c r="D92" s="2310" t="s">
        <v>2047</v>
      </c>
      <c r="E92" s="3053" t="s">
        <v>2048</v>
      </c>
      <c r="F92" s="3083" t="s">
        <v>3283</v>
      </c>
      <c r="G92" s="2310" t="s">
        <v>1989</v>
      </c>
      <c r="H92" s="3090" t="s">
        <v>3287</v>
      </c>
      <c r="I92" s="2310" t="s">
        <v>2051</v>
      </c>
      <c r="J92" s="2150" t="s">
        <v>1721</v>
      </c>
      <c r="K92" s="2150" t="s">
        <v>1722</v>
      </c>
      <c r="L92" s="2150" t="s">
        <v>1723</v>
      </c>
      <c r="M92" s="2150" t="s">
        <v>1724</v>
      </c>
      <c r="N92" s="2150" t="s">
        <v>1725</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2053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2054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2056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2057</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2059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2060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2061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1961</v>
      </c>
      <c r="D105" s="3095" t="s">
        <v>1962</v>
      </c>
      <c r="E105" s="3095" t="s">
        <v>1963</v>
      </c>
      <c r="F105" s="3095" t="s">
        <v>1964</v>
      </c>
      <c r="G105" s="3095" t="s">
        <v>1965</v>
      </c>
      <c r="H105" s="3095" t="s">
        <v>1966</v>
      </c>
      <c r="I105" s="3095" t="s">
        <v>1967</v>
      </c>
      <c r="J105" s="3095" t="s">
        <v>1968</v>
      </c>
      <c r="K105" s="3095" t="s">
        <v>1969</v>
      </c>
      <c r="L105" s="3095" t="s">
        <v>1970</v>
      </c>
      <c r="M105" s="3095" t="s">
        <v>1971</v>
      </c>
      <c r="N105" s="3095" t="s">
        <v>1972</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1.6</v>
      </c>
      <c r="C116" s="3100" t="s">
        <v>3313</v>
      </c>
      <c r="D116" s="3101">
        <f>SUMPRODUCT((A118:A122=F116)*(B117:M117=H116)*B118:M122)</f>
        <v>0.72899999999999998</v>
      </c>
      <c r="E116" s="162" t="s">
        <v>1936</v>
      </c>
      <c r="F116" s="3102" t="str">
        <f>E2</f>
        <v>工业</v>
      </c>
      <c r="G116" s="162" t="s">
        <v>1937</v>
      </c>
      <c r="H116" s="3102" t="str">
        <f>G2</f>
        <v>四级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1990</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1991</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1992</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1993</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2612</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C8CC1E64-D77F-4DFE-A481-959128C14AA3}">
      <formula1>"500米范围内,500-1000米,1000米以外"</formula1>
    </dataValidation>
    <dataValidation type="list" allowBlank="1" showInputMessage="1" showErrorMessage="1" sqref="C15:D15" xr:uid="{32D3453A-CF16-4F8E-A7D5-35174387CC71}">
      <formula1>"有,无"</formula1>
    </dataValidation>
    <dataValidation type="list" allowBlank="1" showInputMessage="1" showErrorMessage="1" sqref="B25" xr:uid="{BFD7154F-E1C1-4B15-A91D-4C9220E66EAF}">
      <formula1>"容积率修正,楼层修正"</formula1>
    </dataValidation>
    <dataValidation type="list" allowBlank="1" showInputMessage="1" showErrorMessage="1" sqref="F21" xr:uid="{D898A115-11E6-4362-BBAA-4A559EFEDEEE}">
      <formula1>"与级别开发程度一致,与级别开发程度不一致"</formula1>
    </dataValidation>
    <dataValidation type="list" allowBlank="1" showInputMessage="1" showErrorMessage="1" sqref="E2" xr:uid="{A19F4682-7BAC-4B4B-AD1F-A5B3AA4909F3}">
      <formula1>"商业,办公,住宅,工业,公共服务"</formula1>
    </dataValidation>
    <dataValidation type="list" allowBlank="1" showInputMessage="1" showErrorMessage="1" sqref="F3" xr:uid="{80E4F627-C7F5-4DC0-A5E7-229233831072}">
      <formula1>"宗地容积率,估价对象容积率,自定义容积率"</formula1>
    </dataValidation>
    <dataValidation type="list" allowBlank="1" showInputMessage="1" showErrorMessage="1" sqref="C8" xr:uid="{27B00248-38DC-48E6-9793-38EBD42E8054}">
      <formula1>商业街名称</formula1>
    </dataValidation>
    <dataValidation type="list" allowBlank="1" showInputMessage="1" showErrorMessage="1" sqref="E3" xr:uid="{E85A147F-6DBD-4E21-B806-346462B559E4}">
      <formula1>二级分类</formula1>
    </dataValidation>
    <dataValidation type="list" allowBlank="1" showInputMessage="1" showErrorMessage="1" sqref="C61:C69 C72:C80 C50:C58 C83:C91 C93:C101" xr:uid="{42218DDC-A043-40AA-94DE-8120210B2E64}">
      <formula1>五等判定</formula1>
    </dataValidation>
    <dataValidation type="list" allowBlank="1" showInputMessage="1" showErrorMessage="1" sqref="H23" xr:uid="{F93BC041-04A3-4239-B840-E8B1A41C72F5}">
      <formula1>"地价指数,季度增幅（自定义）,按公示增长率计算"</formula1>
    </dataValidation>
    <dataValidation type="list" allowBlank="1" showInputMessage="1" showErrorMessage="1" sqref="H20:O20" xr:uid="{7AF57600-0F80-43C8-8263-63148EB4762D}">
      <formula1>七通一平</formula1>
    </dataValidation>
    <dataValidation type="list" allowBlank="1" showInputMessage="1" showErrorMessage="1" sqref="J23" xr:uid="{353319DC-BC30-463E-9008-2B50C9D7B8A5}">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t="e">
        <f ca="1">结果表!H101</f>
        <v>#REF!</v>
      </c>
    </row>
    <row r="6" spans="1:5" ht="15.75">
      <c r="B6" s="3156"/>
      <c r="C6" s="1392" t="s">
        <v>911</v>
      </c>
      <c r="D6" s="797" t="e">
        <f ca="1">NUMBERSTRING(INT(D5*10000),2)&amp;"元整"</f>
        <v>#REF!</v>
      </c>
    </row>
    <row r="7" spans="1:5" ht="15.75">
      <c r="B7" s="3161"/>
      <c r="C7" s="1393" t="s">
        <v>912</v>
      </c>
      <c r="D7" s="798" t="e">
        <f ca="1">结果表!H102</f>
        <v>#REF!</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t="e">
        <f ca="1">结果表!H107</f>
        <v>#REF!</v>
      </c>
    </row>
    <row r="14" spans="1:5" ht="15.75">
      <c r="B14" s="3156"/>
      <c r="C14" s="1392" t="s">
        <v>911</v>
      </c>
      <c r="D14" s="797" t="e">
        <f ca="1">NUMBERSTRING(INT(D13*10000),2)&amp;"元整"</f>
        <v>#REF!</v>
      </c>
    </row>
    <row r="15" spans="1:5" ht="15">
      <c r="B15" s="3161"/>
      <c r="C15" s="1393" t="s">
        <v>921</v>
      </c>
      <c r="D15" s="806" t="e">
        <f ca="1">结果表!H108</f>
        <v>#REF!</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B14B5-13D8-40E9-B1B6-1C64A3AAE945}">
  <dimension ref="L40:S46"/>
  <sheetViews>
    <sheetView tabSelected="1" workbookViewId="0">
      <selection activeCell="Q51" sqref="Q51"/>
    </sheetView>
  </sheetViews>
  <sheetFormatPr defaultRowHeight="13.5"/>
  <cols>
    <col min="12" max="12" width="17.25" bestFit="1" customWidth="1"/>
    <col min="13" max="13" width="0" hidden="1" customWidth="1"/>
  </cols>
  <sheetData>
    <row r="40" spans="12:19">
      <c r="L40" s="1405" t="s">
        <v>3462</v>
      </c>
    </row>
    <row r="42" spans="12:19">
      <c r="M42" s="1405" t="s">
        <v>3426</v>
      </c>
      <c r="N42" s="1405" t="s">
        <v>3427</v>
      </c>
      <c r="S42" s="1405" t="s">
        <v>3431</v>
      </c>
    </row>
    <row r="43" spans="12:19">
      <c r="L43" s="1405" t="s">
        <v>3425</v>
      </c>
      <c r="M43">
        <f>'基准地价修正-商业'!T2</f>
        <v>21763</v>
      </c>
      <c r="N43">
        <f>ROUND(M43*0.25,0)</f>
        <v>5441</v>
      </c>
      <c r="O43" s="1405" t="s">
        <v>3459</v>
      </c>
      <c r="R43" s="1405" t="s">
        <v>3429</v>
      </c>
      <c r="S43" s="1405" t="s">
        <v>3458</v>
      </c>
    </row>
    <row r="44" spans="12:19">
      <c r="L44" s="1405" t="s">
        <v>2812</v>
      </c>
      <c r="M44">
        <f>'基准地价修正-办公'!C33</f>
        <v>20238</v>
      </c>
      <c r="N44">
        <f>ROUND(M44*0.25,0)</f>
        <v>5060</v>
      </c>
      <c r="O44" s="1405" t="s">
        <v>3459</v>
      </c>
      <c r="R44" s="1405" t="s">
        <v>3425</v>
      </c>
      <c r="S44" s="1405" t="s">
        <v>3457</v>
      </c>
    </row>
    <row r="45" spans="12:19">
      <c r="L45" s="1405" t="s">
        <v>3428</v>
      </c>
      <c r="M45">
        <f>'基准地价修正-住宅'!C41</f>
        <v>5291</v>
      </c>
      <c r="N45">
        <f>ROUND(M45*0.25,0)</f>
        <v>1323</v>
      </c>
      <c r="O45" s="1405" t="s">
        <v>3459</v>
      </c>
      <c r="R45" s="1405" t="s">
        <v>3430</v>
      </c>
      <c r="S45" s="1405" t="s">
        <v>3456</v>
      </c>
    </row>
    <row r="46" spans="12:19">
      <c r="L46" s="1405" t="s">
        <v>3461</v>
      </c>
      <c r="M46">
        <f>'基准地价修正-交通'!C33</f>
        <v>4942</v>
      </c>
      <c r="N46">
        <f>ROUND(M46*0.25,0)</f>
        <v>1236</v>
      </c>
      <c r="O46" s="1405" t="s">
        <v>3459</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7910-A844-4A87-AA9E-7636BAB48994}">
  <dimension ref="O2:Y40"/>
  <sheetViews>
    <sheetView workbookViewId="0">
      <selection activeCell="X19" sqref="X19"/>
    </sheetView>
  </sheetViews>
  <sheetFormatPr defaultRowHeight="13.5"/>
  <cols>
    <col min="16" max="16" width="13" bestFit="1" customWidth="1"/>
    <col min="23" max="23" width="11" bestFit="1" customWidth="1"/>
  </cols>
  <sheetData>
    <row r="2" spans="15:25">
      <c r="O2" s="1405" t="s">
        <v>2552</v>
      </c>
      <c r="P2" s="3489" t="s">
        <v>3432</v>
      </c>
      <c r="Q2" s="3490">
        <v>66</v>
      </c>
      <c r="R2" s="3490">
        <v>5300</v>
      </c>
      <c r="S2" s="3490">
        <f>ROUND(R2/Q2,2)</f>
        <v>80.3</v>
      </c>
      <c r="V2" s="1405" t="s">
        <v>3425</v>
      </c>
      <c r="W2" s="1405" t="s">
        <v>3433</v>
      </c>
      <c r="X2">
        <v>501.46</v>
      </c>
      <c r="Y2">
        <v>12</v>
      </c>
    </row>
    <row r="3" spans="15:25">
      <c r="P3" s="3490"/>
      <c r="Q3" s="3490">
        <v>103</v>
      </c>
      <c r="R3" s="3490">
        <v>6700</v>
      </c>
      <c r="S3" s="3490">
        <f t="shared" ref="S3:S40" si="0">ROUND(R3/Q3,2)</f>
        <v>65.05</v>
      </c>
      <c r="W3" s="1405" t="s">
        <v>3433</v>
      </c>
      <c r="X3">
        <v>521.08000000000004</v>
      </c>
      <c r="Y3">
        <v>14</v>
      </c>
    </row>
    <row r="4" spans="15:25">
      <c r="P4" s="3490"/>
      <c r="Q4" s="3490">
        <v>63</v>
      </c>
      <c r="R4" s="3490">
        <v>5300</v>
      </c>
      <c r="S4" s="3490">
        <f t="shared" si="0"/>
        <v>84.13</v>
      </c>
      <c r="W4" s="1405" t="s">
        <v>3438</v>
      </c>
      <c r="X4">
        <v>195</v>
      </c>
      <c r="Y4">
        <v>15</v>
      </c>
    </row>
    <row r="5" spans="15:25">
      <c r="P5" s="3490"/>
      <c r="Q5" s="3490">
        <v>123.16</v>
      </c>
      <c r="R5" s="3490">
        <v>8300</v>
      </c>
      <c r="S5" s="3490">
        <f t="shared" si="0"/>
        <v>67.39</v>
      </c>
    </row>
    <row r="6" spans="15:25">
      <c r="P6" s="1405" t="s">
        <v>3433</v>
      </c>
      <c r="Q6">
        <v>76.400000000000006</v>
      </c>
      <c r="R6">
        <v>12000</v>
      </c>
      <c r="S6">
        <f t="shared" si="0"/>
        <v>157.07</v>
      </c>
    </row>
    <row r="7" spans="15:25">
      <c r="Q7">
        <v>76.41</v>
      </c>
      <c r="R7">
        <v>11000</v>
      </c>
      <c r="S7">
        <f t="shared" si="0"/>
        <v>143.96</v>
      </c>
    </row>
    <row r="8" spans="15:25">
      <c r="Q8">
        <v>105</v>
      </c>
      <c r="R8">
        <v>15500</v>
      </c>
      <c r="S8">
        <f t="shared" si="0"/>
        <v>147.62</v>
      </c>
    </row>
    <row r="9" spans="15:25">
      <c r="Q9">
        <v>160.99</v>
      </c>
      <c r="R9">
        <v>25000</v>
      </c>
      <c r="S9">
        <f t="shared" si="0"/>
        <v>155.29</v>
      </c>
    </row>
    <row r="10" spans="15:25">
      <c r="Q10">
        <v>133</v>
      </c>
      <c r="R10">
        <v>23500</v>
      </c>
      <c r="S10">
        <f t="shared" si="0"/>
        <v>176.69</v>
      </c>
    </row>
    <row r="11" spans="15:25">
      <c r="P11" s="1405" t="s">
        <v>3434</v>
      </c>
      <c r="Q11">
        <v>208.26</v>
      </c>
      <c r="R11">
        <v>33000</v>
      </c>
      <c r="S11">
        <f t="shared" si="0"/>
        <v>158.46</v>
      </c>
    </row>
    <row r="12" spans="15:25">
      <c r="Q12">
        <v>89</v>
      </c>
      <c r="R12">
        <v>9600</v>
      </c>
      <c r="S12">
        <f t="shared" si="0"/>
        <v>107.87</v>
      </c>
      <c r="V12" s="1405" t="s">
        <v>3430</v>
      </c>
      <c r="W12" s="1405" t="s">
        <v>3450</v>
      </c>
      <c r="X12">
        <v>12</v>
      </c>
      <c r="Y12">
        <v>350</v>
      </c>
    </row>
    <row r="13" spans="15:25">
      <c r="Q13">
        <v>82.14</v>
      </c>
      <c r="R13">
        <v>9100</v>
      </c>
      <c r="S13">
        <f t="shared" si="0"/>
        <v>110.79</v>
      </c>
      <c r="W13" s="1405" t="s">
        <v>3451</v>
      </c>
      <c r="X13">
        <v>16</v>
      </c>
      <c r="Y13">
        <v>380</v>
      </c>
    </row>
    <row r="14" spans="15:25">
      <c r="Q14">
        <v>358</v>
      </c>
      <c r="R14">
        <v>47700</v>
      </c>
      <c r="S14">
        <f t="shared" si="0"/>
        <v>133.24</v>
      </c>
      <c r="W14" s="1405" t="s">
        <v>3452</v>
      </c>
      <c r="X14">
        <v>16</v>
      </c>
      <c r="Y14">
        <v>350</v>
      </c>
    </row>
    <row r="15" spans="15:25">
      <c r="Q15">
        <v>198</v>
      </c>
      <c r="R15">
        <v>29500</v>
      </c>
      <c r="S15">
        <f t="shared" si="0"/>
        <v>148.99</v>
      </c>
    </row>
    <row r="16" spans="15:25">
      <c r="Q16">
        <v>90</v>
      </c>
      <c r="R16">
        <v>8000</v>
      </c>
      <c r="S16">
        <f t="shared" si="0"/>
        <v>88.89</v>
      </c>
    </row>
    <row r="17" spans="16:19">
      <c r="P17" s="3491" t="s">
        <v>3435</v>
      </c>
      <c r="Q17" s="3492">
        <v>90</v>
      </c>
      <c r="R17" s="3492">
        <v>6800</v>
      </c>
      <c r="S17" s="3492">
        <f t="shared" si="0"/>
        <v>75.56</v>
      </c>
    </row>
    <row r="18" spans="16:19">
      <c r="P18" s="3492"/>
      <c r="Q18" s="3492">
        <v>76.239999999999995</v>
      </c>
      <c r="R18" s="3492">
        <v>6700</v>
      </c>
      <c r="S18" s="3492">
        <f t="shared" si="0"/>
        <v>87.88</v>
      </c>
    </row>
    <row r="19" spans="16:19">
      <c r="P19" s="3492"/>
      <c r="Q19" s="3492">
        <v>77.55</v>
      </c>
      <c r="R19" s="3492">
        <v>6600</v>
      </c>
      <c r="S19" s="3492">
        <f t="shared" si="0"/>
        <v>85.11</v>
      </c>
    </row>
    <row r="20" spans="16:19">
      <c r="P20" s="3492"/>
      <c r="Q20" s="3492">
        <v>78</v>
      </c>
      <c r="R20" s="3492">
        <v>6700</v>
      </c>
      <c r="S20" s="3492">
        <f t="shared" si="0"/>
        <v>85.9</v>
      </c>
    </row>
    <row r="21" spans="16:19">
      <c r="P21" s="3489" t="s">
        <v>3436</v>
      </c>
      <c r="Q21" s="3490">
        <v>110</v>
      </c>
      <c r="R21" s="3490">
        <v>8800</v>
      </c>
      <c r="S21" s="3490">
        <f t="shared" si="0"/>
        <v>80</v>
      </c>
    </row>
    <row r="22" spans="16:19">
      <c r="P22" s="3490"/>
      <c r="Q22" s="3490">
        <v>60</v>
      </c>
      <c r="R22" s="3490">
        <v>5500</v>
      </c>
      <c r="S22" s="3490">
        <f t="shared" si="0"/>
        <v>91.67</v>
      </c>
    </row>
    <row r="23" spans="16:19">
      <c r="P23" s="3490"/>
      <c r="Q23" s="3490">
        <v>43.69</v>
      </c>
      <c r="R23" s="3490">
        <v>4800</v>
      </c>
      <c r="S23" s="3490">
        <f t="shared" si="0"/>
        <v>109.86</v>
      </c>
    </row>
    <row r="24" spans="16:19">
      <c r="P24" s="3491" t="s">
        <v>3437</v>
      </c>
      <c r="Q24" s="3492">
        <v>60.49</v>
      </c>
      <c r="R24" s="3492">
        <v>5860</v>
      </c>
      <c r="S24" s="3492">
        <f t="shared" si="0"/>
        <v>96.88</v>
      </c>
    </row>
    <row r="25" spans="16:19">
      <c r="P25" s="3492"/>
      <c r="Q25" s="3492">
        <v>67</v>
      </c>
      <c r="R25" s="3492">
        <v>5800</v>
      </c>
      <c r="S25" s="3492">
        <f t="shared" si="0"/>
        <v>86.57</v>
      </c>
    </row>
    <row r="26" spans="16:19">
      <c r="P26" s="3492"/>
      <c r="Q26" s="3492">
        <v>81.16</v>
      </c>
      <c r="R26" s="3492">
        <v>7000</v>
      </c>
      <c r="S26" s="3492">
        <f t="shared" si="0"/>
        <v>86.25</v>
      </c>
    </row>
    <row r="27" spans="16:19">
      <c r="P27" s="3492"/>
      <c r="Q27" s="3492">
        <v>81.430000000000007</v>
      </c>
      <c r="R27" s="3492">
        <v>7000</v>
      </c>
      <c r="S27" s="3492">
        <f t="shared" si="0"/>
        <v>85.96</v>
      </c>
    </row>
    <row r="28" spans="16:19">
      <c r="P28" s="3492"/>
      <c r="Q28" s="3492">
        <v>80.55</v>
      </c>
      <c r="R28" s="3492">
        <v>7400</v>
      </c>
      <c r="S28" s="3492">
        <f t="shared" si="0"/>
        <v>91.87</v>
      </c>
    </row>
    <row r="29" spans="16:19">
      <c r="P29" s="3492"/>
      <c r="Q29" s="3492">
        <v>52.41</v>
      </c>
      <c r="R29" s="3492">
        <v>5200</v>
      </c>
      <c r="S29" s="3492">
        <f t="shared" si="0"/>
        <v>99.22</v>
      </c>
    </row>
    <row r="30" spans="16:19">
      <c r="P30" s="3489" t="s">
        <v>3439</v>
      </c>
      <c r="Q30" s="3490">
        <v>56.98</v>
      </c>
      <c r="R30" s="3490">
        <v>6600</v>
      </c>
      <c r="S30" s="3490">
        <f t="shared" si="0"/>
        <v>115.83</v>
      </c>
    </row>
    <row r="31" spans="16:19">
      <c r="P31" s="3490"/>
      <c r="Q31" s="3490">
        <v>91.59</v>
      </c>
      <c r="R31" s="3490">
        <v>7000</v>
      </c>
      <c r="S31" s="3490">
        <f t="shared" si="0"/>
        <v>76.430000000000007</v>
      </c>
    </row>
    <row r="32" spans="16:19">
      <c r="P32" s="3490"/>
      <c r="Q32" s="3490">
        <v>115</v>
      </c>
      <c r="R32" s="3490">
        <v>11000</v>
      </c>
      <c r="S32" s="3490">
        <f t="shared" si="0"/>
        <v>95.65</v>
      </c>
    </row>
    <row r="33" spans="16:19">
      <c r="P33" s="3490"/>
      <c r="Q33" s="3490">
        <v>93.43</v>
      </c>
      <c r="R33" s="3490">
        <v>8200</v>
      </c>
      <c r="S33" s="3490">
        <f t="shared" si="0"/>
        <v>87.77</v>
      </c>
    </row>
    <row r="34" spans="16:19">
      <c r="P34" s="3490"/>
      <c r="Q34" s="3490">
        <v>55</v>
      </c>
      <c r="R34" s="3490">
        <v>5400</v>
      </c>
      <c r="S34" s="3490">
        <f t="shared" si="0"/>
        <v>98.18</v>
      </c>
    </row>
    <row r="35" spans="16:19">
      <c r="P35" s="3490"/>
      <c r="Q35" s="3490">
        <v>104.88</v>
      </c>
      <c r="R35" s="3490">
        <v>6500</v>
      </c>
      <c r="S35" s="3490">
        <f t="shared" si="0"/>
        <v>61.98</v>
      </c>
    </row>
    <row r="36" spans="16:19">
      <c r="P36" s="1405" t="s">
        <v>3440</v>
      </c>
      <c r="Q36" s="3492">
        <v>93.85</v>
      </c>
      <c r="R36" s="3492">
        <v>8260</v>
      </c>
      <c r="S36" s="3492">
        <f t="shared" si="0"/>
        <v>88.01</v>
      </c>
    </row>
    <row r="37" spans="16:19">
      <c r="Q37" s="3492">
        <v>34.26</v>
      </c>
      <c r="R37" s="3492">
        <v>5630</v>
      </c>
      <c r="S37" s="3492">
        <f t="shared" si="0"/>
        <v>164.33</v>
      </c>
    </row>
    <row r="38" spans="16:19">
      <c r="Q38" s="3492">
        <v>78.94</v>
      </c>
      <c r="R38" s="3492">
        <v>7760</v>
      </c>
      <c r="S38" s="3492">
        <f t="shared" si="0"/>
        <v>98.3</v>
      </c>
    </row>
    <row r="39" spans="16:19">
      <c r="Q39" s="3492">
        <v>74.52</v>
      </c>
      <c r="R39" s="3492">
        <v>7300</v>
      </c>
      <c r="S39" s="3492">
        <f t="shared" si="0"/>
        <v>97.96</v>
      </c>
    </row>
    <row r="40" spans="16:19">
      <c r="Q40" s="3492">
        <v>36.44</v>
      </c>
      <c r="R40" s="3492">
        <v>4400</v>
      </c>
      <c r="S40" s="3492">
        <f t="shared" si="0"/>
        <v>120.75</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SUMPRODUCT((A95:A184=ROUNDDOWN('基准地价修正-商业'!G3,1))*(B94:M94='基准地价修正-商业'!G2)*(B95:M184))</f>
        <v>1.1056999999999999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SUMPRODUCT((A371:A460=ROUNDDOWN('基准地价修正-商业'!G3,1))*(B370:M370='基准地价修正-商业'!G2)*(B371:M460))</f>
        <v>1.0517000000000001</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9500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9500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9500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6" t="s">
        <v>94</v>
      </c>
    </row>
    <row r="43" spans="1:7" ht="13.5" customHeight="1">
      <c r="A43" s="734" t="s">
        <v>347</v>
      </c>
      <c r="B43" s="207" t="s">
        <v>426</v>
      </c>
      <c r="C43" s="230" t="e">
        <f ca="1">ROUND(IF('数据-取费表'!B22&lt;=1,C39*F22*'数据-取费表'!B21/2,C39*(POWER((1+F22),'数据-取费表'!B21/2)-1)),0)</f>
        <v>#VALUE!</v>
      </c>
      <c r="D43" s="230"/>
      <c r="E43" s="230"/>
      <c r="F43" s="231"/>
      <c r="G43" s="3337"/>
    </row>
    <row r="44" spans="1:7" ht="13.5" customHeight="1">
      <c r="A44" s="734" t="s">
        <v>348</v>
      </c>
      <c r="B44" s="207" t="s">
        <v>428</v>
      </c>
      <c r="C44" s="230" t="e">
        <f ca="1">ROUND(IF('数据-取费表'!B22&lt;=1,C40*F22*'数据-取费表'!B21/2,C40*(POWER((1+F22),'数据-取费表'!B21/2)-1)),4)</f>
        <v>#VALUE!</v>
      </c>
      <c r="D44" s="230"/>
      <c r="E44" s="230"/>
      <c r="F44" s="231"/>
      <c r="G44" s="333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AE67" sqref="AE67"/>
    </sheetView>
  </sheetViews>
  <sheetFormatPr defaultRowHeight="13.5"/>
  <cols>
    <col min="1" max="1" width="13.875" customWidth="1"/>
    <col min="11" max="17" width="0" hidden="1" customWidth="1"/>
    <col min="25" max="30" width="0" hidden="1" customWidth="1"/>
  </cols>
  <sheetData>
    <row r="1" spans="1:30">
      <c r="A1" s="2938">
        <f>'基准地价修正-商业'!G23</f>
        <v>45702</v>
      </c>
      <c r="B1" s="2930" t="s">
        <v>3379</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9500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8" t="s">
        <v>927</v>
      </c>
      <c r="B5" s="3168"/>
      <c r="C5" s="3168"/>
      <c r="D5" s="3168" t="e">
        <f ca="1">结果表!D119</f>
        <v>#REF!</v>
      </c>
      <c r="E5" s="3168"/>
      <c r="F5" s="3168" t="e">
        <f ca="1">结果表!F119</f>
        <v>#REF!</v>
      </c>
      <c r="G5" s="3168"/>
      <c r="H5" s="3168" t="e">
        <f ca="1">结果表!H119</f>
        <v>#REF!</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t="e">
        <f ca="1">结果表!D122</f>
        <v>#REF!</v>
      </c>
      <c r="E8" s="3167"/>
      <c r="F8" s="3167"/>
      <c r="G8" s="3167"/>
      <c r="H8" s="3167"/>
      <c r="I8" s="3167"/>
    </row>
    <row r="9" spans="1:9" ht="15">
      <c r="A9" s="3168" t="s">
        <v>927</v>
      </c>
      <c r="B9" s="3168"/>
      <c r="C9" s="3168"/>
      <c r="D9" s="3168" t="e">
        <f ca="1">结果表!D123</f>
        <v>#REF!</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45702</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9"/>
      <c r="C12" s="3179"/>
      <c r="D12" s="3179"/>
    </row>
    <row r="13" spans="1:4" ht="30" customHeight="1">
      <c r="A13" s="3174" t="str">
        <f>IF(项目基本情况!B8="抵押","3.抵押双方在办理抵押登记手续时，应使用本公司出具的正式《房地产评估报告》，特提醒报告使用者注意。","——")</f>
        <v>——</v>
      </c>
      <c r="B13" s="3179"/>
      <c r="C13" s="3179"/>
      <c r="D13" s="3179"/>
    </row>
    <row r="14" spans="1:4" ht="15.75" customHeight="1">
      <c r="A14" s="3174" t="str">
        <f>IF(项目基本情况!B8="抵押","4.本次评估估价师所知悉的法定优先受偿款情况说明如下：","——")</f>
        <v>——</v>
      </c>
      <c r="B14" s="3179"/>
      <c r="C14" s="3179"/>
      <c r="D14" s="3179"/>
    </row>
    <row r="15" spans="1:4" ht="42" customHeight="1">
      <c r="A15" s="3174" t="str">
        <f>IF(项目基本情况!B8="抵押","（1）"&amp;CONCATENATE(项目基本情况!L20,项目基本情况!L21,项目基本情况!L22),"——")</f>
        <v>——</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cellIs" dxfId="165" priority="13" stopIfTrue="1" operator="lessThan">
      <formula>$B$2</formula>
    </cfRule>
    <cfRule type="expression" dxfId="164" priority="12">
      <formula>AND($C15-TODAY()&lt;30,TODAY()&lt;$C15)</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cellIs" dxfId="160" priority="2" stopIfTrue="1" operator="lessThan">
      <formula>$B$2</formula>
    </cfRule>
    <cfRule type="expression" dxfId="159"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基准地价修正-商业</vt:lpstr>
      <vt:lpstr>基准地价修正-办公</vt:lpstr>
      <vt:lpstr>基准地价修正-交通</vt:lpstr>
      <vt:lpstr>Sheet1</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'基准地价修正-交通'!Print_Area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'基准地价修正-交通'!季度</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2025-02-14T09:30:44Z</dcterms:modified>
</cp:coreProperties>
</file>